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A" sheetId="64" r:id="rId18"/>
    <sheet name="案例B" sheetId="65" r:id="rId19"/>
    <sheet name="成本法" sheetId="11" r:id="rId20"/>
    <sheet name="假设开发法" sheetId="12" state="hidden" r:id="rId21"/>
    <sheet name="收益法" sheetId="15"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s>
  <externalReferences>
    <externalReference r:id="rId40"/>
    <externalReference r:id="rId41"/>
  </externalReferences>
  <definedNames>
    <definedName name="_xlnm._FilterDatabase" localSheetId="17" hidden="1">案例A!$A$2:$IU$311</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王</author>
  </authors>
  <commentList>
    <comment ref="Q308" authorId="0">
      <text>
        <r>
          <rPr>
            <sz val="9"/>
            <rFont val="宋体"/>
            <charset val="134"/>
          </rPr>
          <t>合同签为</t>
        </r>
        <r>
          <rPr>
            <sz val="9"/>
            <rFont val="Times New Roman"/>
            <charset val="134"/>
          </rPr>
          <t>58</t>
        </r>
        <r>
          <rPr>
            <sz val="9"/>
            <rFont val="宋体"/>
            <charset val="134"/>
          </rPr>
          <t>万，看房时问陆洲实际成交价为</t>
        </r>
        <r>
          <rPr>
            <sz val="9"/>
            <rFont val="Times New Roman"/>
            <charset val="134"/>
          </rPr>
          <t>70</t>
        </r>
        <r>
          <rPr>
            <sz val="9"/>
            <rFont val="宋体"/>
            <charset val="134"/>
          </rPr>
          <t xml:space="preserve">万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<sst xmlns="http://schemas.openxmlformats.org/spreadsheetml/2006/main" count="15621" uniqueCount="4885">
  <si>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</si>
  <si>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</si>
  <si>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</si>
  <si>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</si>
  <si>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</si>
  <si>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</si>
  <si>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</si>
  <si>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</si>
  <si>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</si>
  <si>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</si>
  <si>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</si>
  <si>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</si>
  <si>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</si>
  <si>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</si>
  <si>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</si>
  <si>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</si>
  <si>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</si>
  <si>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</si>
  <si>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</si>
  <si>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</si>
  <si>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</si>
  <si>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</si>
  <si>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</si>
  <si>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</si>
  <si>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</si>
  <si>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</si>
  <si>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</si>
  <si>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</si>
  <si>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</si>
  <si>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</si>
  <si>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</si>
  <si>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</si>
  <si>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</si>
  <si>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</si>
  <si>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</si>
  <si>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</si>
  <si>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</si>
  <si>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</si>
  <si>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</si>
  <si>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</si>
  <si>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</si>
  <si>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</si>
  <si>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</si>
  <si>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</si>
  <si>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</si>
  <si>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</si>
  <si>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</si>
  <si>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</si>
  <si>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</si>
  <si>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</si>
  <si>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</si>
  <si>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</si>
  <si>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</si>
  <si>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</si>
  <si>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</si>
  <si>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</si>
  <si>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</si>
  <si>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</si>
  <si>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</si>
  <si>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</si>
  <si>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</si>
  <si>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</si>
  <si>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</si>
  <si>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</si>
  <si>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</si>
  <si>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</si>
  <si>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</si>
  <si>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</si>
  <si>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</si>
  <si>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</si>
  <si>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</si>
  <si>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</si>
  <si>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</si>
  <si>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</si>
  <si>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</si>
  <si>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</si>
  <si>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</si>
  <si>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</si>
  <si>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</si>
  <si>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</si>
  <si>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</si>
  <si>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</si>
  <si>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</si>
  <si>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</si>
  <si>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</si>
  <si>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</si>
  <si>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</si>
  <si>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</si>
  <si>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</si>
  <si>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</si>
  <si>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</si>
  <si>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</si>
  <si>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</si>
  <si>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</si>
  <si>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</si>
  <si>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</si>
  <si>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</si>
  <si>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</si>
  <si>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</si>
  <si>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</si>
  <si>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</si>
  <si>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</si>
  <si>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</si>
  <si>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</si>
  <si>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</si>
  <si>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</si>
  <si>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</si>
  <si>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</si>
  <si>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</si>
  <si>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</si>
  <si>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</si>
  <si>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</si>
  <si>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</si>
  <si>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</si>
  <si>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</si>
  <si>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</si>
  <si>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</si>
  <si>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</si>
  <si>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</si>
  <si>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</si>
  <si>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</si>
  <si>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</si>
  <si>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</si>
  <si>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</si>
  <si>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</si>
  <si>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</si>
  <si>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</si>
  <si>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</si>
  <si>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</si>
  <si>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</si>
  <si>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</si>
  <si>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</si>
  <si>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</si>
  <si>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</si>
  <si>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</si>
  <si>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</si>
  <si>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</si>
  <si>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</si>
  <si>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</si>
  <si>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</si>
  <si>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</si>
  <si>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</si>
  <si>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</si>
  <si>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</si>
  <si>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</si>
  <si>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</si>
  <si>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</si>
  <si>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</si>
  <si>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</si>
  <si>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</si>
  <si>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</si>
  <si>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</si>
  <si>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</si>
  <si>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</si>
  <si>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</si>
  <si>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</si>
  <si>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</si>
  <si>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</si>
  <si>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</si>
  <si>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</si>
  <si>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</si>
  <si>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</si>
  <si>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</si>
  <si>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</si>
  <si>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</si>
  <si>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</si>
  <si>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</si>
  <si>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</si>
  <si>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</si>
  <si>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</si>
  <si>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</si>
  <si>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</si>
  <si>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</si>
  <si>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</si>
  <si>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</si>
  <si>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</si>
  <si>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</si>
  <si>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</si>
  <si>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</si>
  <si>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</si>
  <si>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</si>
  <si>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</si>
  <si>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</si>
  <si>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</si>
  <si>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</si>
  <si>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</si>
  <si>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</si>
  <si>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</si>
  <si>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</si>
  <si>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</si>
  <si>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</si>
  <si>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</si>
  <si>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</si>
  <si>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</si>
  <si>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</si>
  <si>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</si>
  <si>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</si>
  <si>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</si>
  <si>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</si>
  <si>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</si>
  <si>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</si>
  <si>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</si>
  <si>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</si>
  <si>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</si>
  <si>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</si>
  <si>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</si>
  <si>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</si>
  <si>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</si>
  <si>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</si>
  <si>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</si>
  <si>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</si>
  <si>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</si>
  <si>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</si>
  <si>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</si>
  <si>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</si>
  <si>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</si>
  <si>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</si>
  <si>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</si>
  <si>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</si>
  <si>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</si>
  <si>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</si>
  <si>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</si>
  <si>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</si>
  <si>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</si>
  <si>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</si>
  <si>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</si>
  <si>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</si>
  <si>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</si>
  <si>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</si>
  <si>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</si>
  <si>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</si>
  <si>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</si>
  <si>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</si>
  <si>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</si>
  <si>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</si>
  <si>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</si>
  <si>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</si>
  <si>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</si>
  <si>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</si>
  <si>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</si>
  <si>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</si>
  <si>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</si>
  <si>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</si>
  <si>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</si>
  <si>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</si>
  <si>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</si>
  <si>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</si>
  <si>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</si>
  <si>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</si>
  <si>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</si>
  <si>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</si>
  <si>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</si>
  <si>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</si>
  <si>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</si>
  <si>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</si>
  <si>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</si>
  <si>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</si>
  <si>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</si>
  <si>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</si>
  <si>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</si>
  <si>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</si>
  <si>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</si>
  <si>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</si>
  <si>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</si>
  <si>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</si>
  <si>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</si>
  <si>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</si>
  <si>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</si>
  <si>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</si>
  <si>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</si>
  <si>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</si>
  <si>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</si>
  <si>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</si>
  <si>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</si>
  <si>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</si>
  <si>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</si>
  <si>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</si>
  <si>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</si>
  <si>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</si>
  <si>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</si>
  <si>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</si>
  <si>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</si>
  <si>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</si>
  <si>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</si>
  <si>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</si>
  <si>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</si>
  <si>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</si>
  <si>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</si>
  <si>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</si>
  <si>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</si>
  <si>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</si>
  <si>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</si>
  <si>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</si>
  <si>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</si>
  <si>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</si>
  <si>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</si>
  <si>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</si>
  <si>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</si>
  <si>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</si>
  <si>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</si>
  <si>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</si>
  <si>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</si>
  <si>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</si>
  <si>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</si>
  <si>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</si>
  <si>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</si>
  <si>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</si>
  <si>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</si>
  <si>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</si>
  <si>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</si>
  <si>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</si>
  <si>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</si>
  <si>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</si>
  <si>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</si>
  <si>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</si>
  <si>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</si>
  <si>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</si>
  <si>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</si>
  <si>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</si>
  <si>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</si>
  <si>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</si>
  <si>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</si>
  <si>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</si>
  <si>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</si>
  <si>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</si>
  <si>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</si>
  <si>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</si>
  <si>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</si>
  <si>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</si>
  <si>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</si>
  <si>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</si>
  <si>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</si>
  <si>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</si>
  <si>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</si>
  <si>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</si>
  <si>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</si>
  <si>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</si>
  <si>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</si>
  <si>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</si>
  <si>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</si>
  <si>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</si>
  <si>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</si>
  <si>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</si>
  <si>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</si>
  <si>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</si>
  <si>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</si>
  <si>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</si>
  <si>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</si>
  <si>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</si>
  <si>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</si>
  <si>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</si>
  <si>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</si>
  <si>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</si>
  <si>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</si>
  <si>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</si>
  <si>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</si>
  <si>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</si>
  <si>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</si>
  <si>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</si>
  <si>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</si>
  <si>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</si>
  <si>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</si>
  <si>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</si>
  <si>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</si>
  <si>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</si>
  <si>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</si>
  <si>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</si>
  <si>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</si>
  <si>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</si>
  <si>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</si>
  <si>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</si>
  <si>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</si>
  <si>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</si>
  <si>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</si>
  <si>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</si>
  <si>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</si>
  <si>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</si>
  <si>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</si>
  <si>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</si>
  <si>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</si>
  <si>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</si>
  <si>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</si>
  <si>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</si>
  <si>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</si>
  <si>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</si>
  <si>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</si>
  <si>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</si>
  <si>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</si>
  <si>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</si>
  <si>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</si>
  <si>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</si>
  <si>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</si>
  <si>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</si>
  <si>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</si>
  <si>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</si>
  <si>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</si>
  <si>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</si>
  <si>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</si>
  <si>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</si>
  <si>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</si>
  <si>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</si>
  <si>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</si>
  <si>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</si>
  <si>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</si>
  <si>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</si>
  <si>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</si>
  <si>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</si>
  <si>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</si>
  <si>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</si>
  <si>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</si>
  <si>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</si>
  <si>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</si>
  <si>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</si>
  <si>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</si>
  <si>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</si>
  <si>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</si>
  <si>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</si>
  <si>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</si>
  <si>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</si>
  <si>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</si>
  <si>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</si>
  <si>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</si>
  <si>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</si>
  <si>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</si>
  <si>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</si>
  <si>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</si>
  <si>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</si>
  <si>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</si>
  <si>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</si>
  <si>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</si>
  <si>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</si>
  <si>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</si>
  <si>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</si>
  <si>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</si>
  <si>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</si>
  <si>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</si>
  <si>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</si>
  <si>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</si>
  <si>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</si>
  <si>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</si>
  <si>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</si>
  <si>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</si>
  <si>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</si>
  <si>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</si>
  <si>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</si>
  <si>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</si>
  <si>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</si>
  <si>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</si>
  <si>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</si>
  <si>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</si>
  <si>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</si>
  <si>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</si>
  <si>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</si>
  <si>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</si>
  <si>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</si>
  <si>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</si>
  <si>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</si>
  <si>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</si>
  <si>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</si>
  <si>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</si>
  <si>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</si>
  <si>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</si>
  <si>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</si>
  <si>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</si>
  <si>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</si>
  <si>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</si>
  <si>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</si>
  <si>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</si>
  <si>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</si>
  <si>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</si>
  <si>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</si>
  <si>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</si>
  <si>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</si>
  <si>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</si>
  <si>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</si>
  <si>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</si>
  <si>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</si>
  <si>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</si>
  <si>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</si>
  <si>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</si>
  <si>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</si>
  <si>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</si>
  <si>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</si>
  <si>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</si>
  <si>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</si>
  <si>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</si>
  <si>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</si>
  <si>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</si>
  <si>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</si>
  <si>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</si>
  <si>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</si>
  <si>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</si>
  <si>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</si>
  <si>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</si>
  <si>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</si>
  <si>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</si>
  <si>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</si>
  <si>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</si>
  <si>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</si>
  <si>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</si>
  <si>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</si>
  <si>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</si>
  <si>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</si>
  <si>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</si>
  <si>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</si>
  <si>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</si>
  <si>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</si>
  <si>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</si>
  <si>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</si>
  <si>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</si>
  <si>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</si>
  <si>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</si>
  <si>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</si>
  <si>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</si>
  <si>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</si>
  <si>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</si>
  <si>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</si>
  <si>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</si>
  <si>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</si>
  <si>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</si>
  <si>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</si>
  <si>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</si>
  <si>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</si>
  <si>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</si>
  <si>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</si>
  <si>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</si>
  <si>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</si>
  <si>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</si>
  <si>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</si>
  <si>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</si>
  <si>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</si>
  <si>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</si>
  <si>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</si>
  <si>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</si>
  <si>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</si>
  <si>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</si>
  <si>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</si>
  <si>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</si>
  <si>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</si>
  <si>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</si>
  <si>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</si>
  <si>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</si>
  <si>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</si>
  <si>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</si>
  <si>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</si>
  <si>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</si>
  <si>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</si>
  <si>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</si>
  <si>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</si>
  <si>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</si>
  <si>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</si>
  <si>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</si>
  <si>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</si>
  <si>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</si>
  <si>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</si>
  <si>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</si>
  <si>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</si>
  <si>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</si>
  <si>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</si>
  <si>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</si>
  <si>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</si>
  <si>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</si>
  <si>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</si>
  <si>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</si>
  <si>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</si>
  <si>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</si>
  <si>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</si>
  <si>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</si>
  <si>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</si>
  <si>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</si>
  <si>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</si>
  <si>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</si>
  <si>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</si>
  <si>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</si>
  <si>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</si>
  <si>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</si>
  <si>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</si>
  <si>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</si>
  <si>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</si>
  <si>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</si>
  <si>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</si>
  <si>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</si>
  <si>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</si>
  <si>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</si>
  <si>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</si>
  <si>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</si>
  <si>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</si>
  <si>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</si>
  <si>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</si>
  <si>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</si>
  <si>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</si>
  <si>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</si>
  <si>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</si>
  <si>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</si>
  <si>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</si>
  <si>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</si>
  <si>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</si>
  <si>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</si>
  <si>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</si>
  <si>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</si>
  <si>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</si>
  <si>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</si>
  <si>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</si>
  <si>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</si>
  <si>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</si>
  <si>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</si>
  <si>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</si>
  <si>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</si>
  <si>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</si>
  <si>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</si>
  <si>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</si>
  <si>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</si>
  <si>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</si>
  <si>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</si>
  <si>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</si>
  <si>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</si>
  <si>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</si>
  <si>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</si>
  <si>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</si>
  <si>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</si>
  <si>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</si>
  <si>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</si>
  <si>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</si>
  <si>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</si>
  <si>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</si>
  <si>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</si>
  <si>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</si>
  <si>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</si>
  <si>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</si>
  <si>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</si>
  <si>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</si>
  <si>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</si>
  <si>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</si>
  <si>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</si>
  <si>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</si>
  <si>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</si>
  <si>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</si>
  <si>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</si>
  <si>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</si>
  <si>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</si>
  <si>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</si>
  <si>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</si>
  <si>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</si>
  <si>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</si>
  <si>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</si>
  <si>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</si>
  <si>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</si>
  <si>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</si>
  <si>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</si>
  <si>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</si>
  <si>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</si>
  <si>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</si>
  <si>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</si>
  <si>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</si>
  <si>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</si>
  <si>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</si>
  <si>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</si>
  <si>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</si>
  <si>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</si>
  <si>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</si>
  <si>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</si>
  <si>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</si>
  <si>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</si>
  <si>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</si>
  <si>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</si>
  <si>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</si>
  <si>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</si>
  <si>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</si>
  <si>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</si>
  <si>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</si>
  <si>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</si>
  <si>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</si>
  <si>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</si>
  <si>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</si>
  <si>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</si>
  <si>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</si>
  <si>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</si>
  <si>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</si>
  <si>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</si>
  <si>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</si>
  <si>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</si>
  <si>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</si>
  <si>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</si>
  <si>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</si>
  <si>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</si>
  <si>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</si>
  <si>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</si>
  <si>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</si>
  <si>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</si>
  <si>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</si>
  <si>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</si>
  <si>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</si>
  <si>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</si>
  <si>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</si>
  <si>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</si>
  <si>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</si>
  <si>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</si>
  <si>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</si>
  <si>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</si>
  <si>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</si>
  <si>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</si>
  <si>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</si>
  <si>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</si>
  <si>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</si>
  <si>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</si>
  <si>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</si>
  <si>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</si>
  <si>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</si>
  <si>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</si>
  <si>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</si>
  <si>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</si>
  <si>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</si>
  <si>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</si>
  <si>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</si>
  <si>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</si>
  <si>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</si>
  <si>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</si>
  <si>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</si>
  <si>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</si>
  <si>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</si>
  <si>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</si>
  <si>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</si>
  <si>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</si>
  <si>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</si>
  <si>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</si>
  <si>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</si>
  <si>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</si>
  <si>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</si>
  <si>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</si>
  <si>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</si>
  <si>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</si>
  <si>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</si>
  <si>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</si>
  <si>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</si>
  <si>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</si>
  <si>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</si>
  <si>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</si>
  <si>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</si>
  <si>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</si>
  <si>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</si>
  <si>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</si>
  <si>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</si>
  <si>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</si>
  <si>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</si>
  <si>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</si>
  <si>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</si>
  <si>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</si>
  <si>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</si>
  <si>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</si>
  <si>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</si>
  <si>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</si>
  <si>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</si>
  <si>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</si>
  <si>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</si>
  <si>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</si>
  <si>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</si>
  <si>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</si>
  <si>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</si>
  <si>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</si>
  <si>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</si>
  <si>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</si>
  <si>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</si>
  <si>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</si>
  <si>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</si>
  <si>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</si>
  <si>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</si>
  <si>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</si>
  <si>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</si>
  <si>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</si>
  <si>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</si>
  <si>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</si>
  <si>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</si>
  <si>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</si>
  <si>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</si>
  <si>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</si>
  <si>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</si>
  <si>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</si>
  <si>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</si>
  <si>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</si>
  <si>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</si>
  <si>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</si>
  <si>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</si>
  <si>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</si>
  <si>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</si>
  <si>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</si>
  <si>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</si>
  <si>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</si>
  <si>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</si>
  <si>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</si>
  <si>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</si>
  <si>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</si>
  <si>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</si>
  <si>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</si>
  <si>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</si>
  <si>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</si>
  <si>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</si>
  <si>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</si>
  <si>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</si>
  <si>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</si>
  <si>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</si>
  <si>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</si>
  <si>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</si>
  <si>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</si>
  <si>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</si>
  <si>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</si>
  <si>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</si>
  <si>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</si>
  <si>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</si>
  <si>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</si>
  <si>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</si>
  <si>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</si>
  <si>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</si>
  <si>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</si>
  <si>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</si>
  <si>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</si>
  <si>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</si>
  <si>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</si>
  <si>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</si>
  <si>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</si>
  <si>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</si>
  <si>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</si>
  <si>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</si>
  <si>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</si>
  <si>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</si>
  <si>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</si>
  <si>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</si>
  <si>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</si>
  <si>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</si>
  <si>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</si>
  <si>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</si>
  <si>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</si>
  <si>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</si>
  <si>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</si>
  <si>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</si>
  <si>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</si>
  <si>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</si>
  <si>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</si>
  <si>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</si>
  <si>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</si>
  <si>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</si>
  <si>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</si>
  <si>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</si>
  <si>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</si>
  <si>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</si>
  <si>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</si>
  <si>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</si>
  <si>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</si>
  <si>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</si>
  <si>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</si>
  <si>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</si>
  <si>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</si>
  <si>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</si>
  <si>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</si>
  <si>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</si>
  <si>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</si>
  <si>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</si>
  <si>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</si>
  <si>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</si>
  <si>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</si>
  <si>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</si>
  <si>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</si>
  <si>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</si>
  <si>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</si>
  <si>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</si>
  <si>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</si>
  <si>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</si>
  <si>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</si>
  <si>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</si>
  <si>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</si>
  <si>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</si>
  <si>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</si>
  <si>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</si>
  <si>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</si>
  <si>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</si>
  <si>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</si>
  <si>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</si>
  <si>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</si>
  <si>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</si>
  <si>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</si>
  <si>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</si>
  <si>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</si>
  <si>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</si>
  <si>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</si>
  <si>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</si>
  <si>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</si>
  <si>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</si>
  <si>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</si>
  <si>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</si>
  <si>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</si>
  <si>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</si>
  <si>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</si>
  <si>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</si>
  <si>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</si>
  <si>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</si>
  <si>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</si>
  <si>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</si>
  <si>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</si>
  <si>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</si>
  <si>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</si>
  <si>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</si>
  <si>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</si>
  <si>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</si>
  <si>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</si>
  <si>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</si>
  <si>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朝向</t>
  </si>
  <si>
    <t>南北</t>
  </si>
  <si>
    <t>东</t>
  </si>
  <si>
    <t>南</t>
  </si>
  <si>
    <t>楼层</t>
  </si>
  <si>
    <t>2/6</t>
  </si>
  <si>
    <t>7/9</t>
  </si>
  <si>
    <t>6/6</t>
  </si>
  <si>
    <r>
      <rPr>
        <b/>
        <sz val="11"/>
        <rFont val="宋体"/>
        <charset val="134"/>
      </rPr>
      <t>实物状况</t>
    </r>
  </si>
  <si>
    <r>
      <rPr>
        <sz val="11"/>
        <color indexed="8"/>
        <rFont val="宋体"/>
        <charset val="134"/>
      </rPr>
      <t>建筑类型</t>
    </r>
  </si>
  <si>
    <t>多层板楼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</si>
  <si>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</si>
  <si>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</si>
  <si>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</si>
  <si>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</si>
  <si>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</si>
  <si>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t>钢混</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</si>
  <si>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</si>
  <si>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</si>
  <si>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</si>
  <si>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</si>
  <si>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单位自管</t>
  </si>
  <si>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</si>
  <si>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</si>
  <si>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</si>
  <si>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</si>
  <si>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</si>
  <si>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</si>
  <si>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</si>
  <si>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</si>
  <si>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</si>
  <si>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</si>
  <si>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</si>
  <si>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</si>
  <si>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</si>
  <si>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</si>
  <si>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</si>
  <si>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</si>
  <si>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</si>
  <si>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</si>
  <si>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</si>
  <si>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</si>
  <si>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</si>
  <si>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</si>
  <si>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</si>
  <si>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</si>
  <si>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</si>
  <si>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</si>
  <si>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</si>
  <si>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</si>
  <si>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</si>
  <si>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</si>
  <si>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</si>
  <si>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西</t>
  </si>
  <si>
    <t>100</t>
  </si>
  <si>
    <t>102</t>
  </si>
  <si>
    <t>96</t>
  </si>
  <si>
    <t>高层板楼</t>
  </si>
  <si>
    <t>连板</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</si>
  <si>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</si>
  <si>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</si>
  <si>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</si>
  <si>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</si>
  <si>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</si>
  <si>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</si>
  <si>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</si>
  <si>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</si>
  <si>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</si>
  <si>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</si>
  <si>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</si>
  <si>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</si>
  <si>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</si>
  <si>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</si>
  <si>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</si>
  <si>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</si>
  <si>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</si>
  <si>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</si>
  <si>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</si>
  <si>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</si>
  <si>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</si>
  <si>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</si>
  <si>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评估日期</t>
  </si>
  <si>
    <t>贷款机构</t>
  </si>
  <si>
    <t>评估人电话</t>
  </si>
  <si>
    <t>记录时间</t>
  </si>
  <si>
    <t>康正代办</t>
  </si>
  <si>
    <t>更改日期</t>
  </si>
  <si>
    <t>评估通知单</t>
  </si>
  <si>
    <t>仅限于抵押物</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</si>
  <si>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</si>
  <si>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</si>
  <si>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</si>
  <si>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</si>
  <si>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</si>
  <si>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</si>
  <si>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</si>
  <si>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</si>
  <si>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</si>
  <si>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</si>
  <si>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</si>
  <si>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</si>
  <si>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</si>
  <si>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</si>
  <si>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</si>
  <si>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</si>
  <si>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</si>
  <si>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</si>
  <si>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</si>
  <si>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</si>
  <si>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</si>
  <si>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</si>
  <si>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t>年</t>
  </si>
  <si>
    <t>月</t>
  </si>
  <si>
    <t>日</t>
  </si>
  <si>
    <t>收费</t>
  </si>
  <si>
    <t>资金管理中心</t>
  </si>
  <si>
    <t>工行</t>
  </si>
  <si>
    <t>评估人</t>
  </si>
  <si>
    <t>工程进度</t>
  </si>
  <si>
    <t>结论</t>
  </si>
  <si>
    <t>备注</t>
  </si>
  <si>
    <t>复核人</t>
  </si>
  <si>
    <t>交付时间</t>
  </si>
  <si>
    <t>评估月份</t>
  </si>
  <si>
    <t>办公电话</t>
  </si>
  <si>
    <t>移动电话</t>
  </si>
  <si>
    <t>周次</t>
  </si>
  <si>
    <t>编号</t>
  </si>
  <si>
    <t>制作人</t>
  </si>
  <si>
    <t>变更内容</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</si>
  <si>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</si>
  <si>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</si>
  <si>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</si>
  <si>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</si>
  <si>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</si>
  <si>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</si>
  <si>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</si>
  <si>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</si>
  <si>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</si>
  <si>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</si>
  <si>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</si>
  <si>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</si>
  <si>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</si>
  <si>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</si>
  <si>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</si>
  <si>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</si>
  <si>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</si>
  <si>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</si>
  <si>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</si>
  <si>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</si>
  <si>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</si>
  <si>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</si>
  <si>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2002-22-P-04743-U</t>
  </si>
  <si>
    <t>赵文祝</t>
  </si>
  <si>
    <t>110102580310193</t>
  </si>
  <si>
    <t>13901141641、66185388</t>
  </si>
  <si>
    <t>海淀区</t>
  </si>
  <si>
    <t>清河三街99号海清园</t>
  </si>
  <si>
    <t>3号楼</t>
  </si>
  <si>
    <t>1406号</t>
  </si>
  <si>
    <t>二室一厅一卫一厨</t>
  </si>
  <si>
    <t>复式、平层√、跃层、错层</t>
  </si>
  <si>
    <t>北京住房公积金管理中心海淀第一管理部</t>
  </si>
  <si>
    <t>魏伯欣</t>
  </si>
  <si>
    <t>现房</t>
  </si>
  <si>
    <t>可抵押商品住宅</t>
  </si>
  <si>
    <t>邹晓鸣</t>
  </si>
  <si>
    <t>五</t>
  </si>
  <si>
    <t>三</t>
  </si>
  <si>
    <t>邓晓澜</t>
  </si>
  <si>
    <t>新增</t>
  </si>
  <si>
    <t>合同</t>
  </si>
  <si>
    <t>肖雅珍</t>
  </si>
  <si>
    <t>双方</t>
  </si>
  <si>
    <t>含公共维修基金、契税、中介费</t>
  </si>
  <si>
    <t>2003-22-P-07328-U</t>
  </si>
  <si>
    <t>雷鸣</t>
  </si>
  <si>
    <t>230103197906175552</t>
  </si>
  <si>
    <t>13311293667</t>
  </si>
  <si>
    <t>五棵松路26号院</t>
  </si>
  <si>
    <t>1号楼</t>
  </si>
  <si>
    <t>408号</t>
  </si>
  <si>
    <t>林强</t>
  </si>
  <si>
    <t>一</t>
  </si>
  <si>
    <t>二</t>
  </si>
  <si>
    <t>出正式报告</t>
  </si>
  <si>
    <t>买卖合同</t>
  </si>
  <si>
    <t>李晶</t>
  </si>
  <si>
    <t>现售</t>
  </si>
  <si>
    <t>不含税费及出让金</t>
  </si>
  <si>
    <t>2003-22-P-08031-U</t>
  </si>
  <si>
    <t>许松</t>
  </si>
  <si>
    <t>110108197503304916</t>
  </si>
  <si>
    <t>万柳万泉新新家园</t>
  </si>
  <si>
    <t>7号楼</t>
  </si>
  <si>
    <t>1门</t>
  </si>
  <si>
    <t>402号</t>
  </si>
  <si>
    <t>三室一厅二卫一厨</t>
  </si>
  <si>
    <t>自制合同</t>
  </si>
  <si>
    <t>单位售于职工</t>
  </si>
  <si>
    <t>含出让金、税费</t>
  </si>
  <si>
    <t>2004-21-P-00334-U</t>
  </si>
  <si>
    <t>龚苹</t>
  </si>
  <si>
    <t>110108197510317221</t>
  </si>
  <si>
    <r>
      <rPr>
        <sz val="10"/>
        <rFont val="宋体"/>
        <charset val="134"/>
      </rPr>
      <t>大慧寺</t>
    </r>
    <r>
      <rPr>
        <sz val="10"/>
        <rFont val="Times New Roman"/>
        <charset val="134"/>
      </rPr>
      <t>12</t>
    </r>
    <r>
      <rPr>
        <sz val="10"/>
        <rFont val="宋体"/>
        <charset val="134"/>
      </rPr>
      <t>号</t>
    </r>
  </si>
  <si>
    <r>
      <rPr>
        <sz val="10"/>
        <rFont val="Times New Roman"/>
        <charset val="134"/>
      </rPr>
      <t>1</t>
    </r>
    <r>
      <rPr>
        <sz val="10"/>
        <rFont val="宋体"/>
        <charset val="134"/>
      </rPr>
      <t>号楼</t>
    </r>
  </si>
  <si>
    <r>
      <rPr>
        <sz val="10"/>
        <rFont val="Times New Roman"/>
        <charset val="134"/>
      </rPr>
      <t>1001</t>
    </r>
    <r>
      <rPr>
        <sz val="10"/>
        <rFont val="宋体"/>
        <charset val="134"/>
      </rPr>
      <t>号</t>
    </r>
  </si>
  <si>
    <t>二室一门厅一卫一厨</t>
  </si>
  <si>
    <t>中央国家机关住房资金管理中心</t>
  </si>
  <si>
    <t>八</t>
  </si>
  <si>
    <t xml:space="preserve"> </t>
  </si>
  <si>
    <t>刘菁</t>
  </si>
  <si>
    <t>不含出让金</t>
  </si>
  <si>
    <t>2004-21-P-00360-U</t>
  </si>
  <si>
    <t>周彤</t>
  </si>
  <si>
    <t>110102690616116</t>
  </si>
  <si>
    <t>双榆树知春里</t>
  </si>
  <si>
    <t>16号楼</t>
  </si>
  <si>
    <t>901号</t>
  </si>
  <si>
    <t>三室一厅一卫一厨</t>
  </si>
  <si>
    <t>九</t>
  </si>
  <si>
    <t>现房合同</t>
  </si>
  <si>
    <t>国管</t>
  </si>
  <si>
    <t>正常交易</t>
  </si>
  <si>
    <t>不含税费</t>
  </si>
  <si>
    <t>2004-21-P-00513-U</t>
  </si>
  <si>
    <t>韩京伟</t>
  </si>
  <si>
    <t>130223197911230015</t>
  </si>
  <si>
    <t>13681221632</t>
  </si>
  <si>
    <t>学院南路皂君庙14号4号楼</t>
  </si>
  <si>
    <t>4门</t>
  </si>
  <si>
    <t>101号</t>
  </si>
  <si>
    <t>十一</t>
  </si>
  <si>
    <t>双方为亲戚，成交价低</t>
  </si>
  <si>
    <t>2004-22-P-00455-U</t>
  </si>
  <si>
    <t>刘洪兵</t>
  </si>
  <si>
    <t>110111710404283</t>
  </si>
  <si>
    <t>60387645</t>
  </si>
  <si>
    <t>马甸电信宿舍</t>
  </si>
  <si>
    <t>3门</t>
  </si>
  <si>
    <t>6层603号</t>
  </si>
  <si>
    <t>赵志维</t>
  </si>
  <si>
    <t>北京住房公积金管理中心西城第一管理部</t>
  </si>
  <si>
    <t>廉租户，不收评估费</t>
  </si>
  <si>
    <t>中介</t>
  </si>
  <si>
    <t>不含税费、出让金</t>
  </si>
  <si>
    <t>2004-22-P-00581-U</t>
  </si>
  <si>
    <t>张晓海</t>
  </si>
  <si>
    <t>110108690202493</t>
  </si>
  <si>
    <t>13161921376</t>
  </si>
  <si>
    <t>皂君庙乙2号院</t>
  </si>
  <si>
    <t>4号楼</t>
  </si>
  <si>
    <t>204号</t>
  </si>
  <si>
    <t>一 室一卫一厨</t>
  </si>
  <si>
    <t>合同价款不实，实际成交价为241000</t>
  </si>
  <si>
    <t>买卖契约</t>
  </si>
  <si>
    <t>含税费</t>
  </si>
  <si>
    <t>2004-22-P-00765-U</t>
  </si>
  <si>
    <t>马荣奎</t>
  </si>
  <si>
    <t>110108600905271</t>
  </si>
  <si>
    <t>13501091868、62885258</t>
  </si>
  <si>
    <t>二龙闸宿舍楼至料场</t>
  </si>
  <si>
    <t>302号</t>
  </si>
  <si>
    <t>崔岩岩</t>
  </si>
  <si>
    <t>含出让金、过户费</t>
  </si>
  <si>
    <t>2004-22-P-00950-U</t>
  </si>
  <si>
    <t>李陆</t>
  </si>
  <si>
    <t>62035908、86778905</t>
  </si>
  <si>
    <t>蓟门里东3号楼</t>
  </si>
  <si>
    <t>1105</t>
  </si>
  <si>
    <t>二手房</t>
  </si>
  <si>
    <t>李欣</t>
  </si>
  <si>
    <t>2004-22-P-01005-U</t>
  </si>
  <si>
    <t>谷久文</t>
  </si>
  <si>
    <t>210102197012256951</t>
  </si>
  <si>
    <t>交通大学路1号院</t>
  </si>
  <si>
    <t>2号楼</t>
  </si>
  <si>
    <t>1807号</t>
  </si>
  <si>
    <t>四</t>
  </si>
  <si>
    <t>张斌</t>
  </si>
  <si>
    <t>无税费</t>
  </si>
  <si>
    <t>2004-22-P-01239-U</t>
  </si>
  <si>
    <t>王芳</t>
  </si>
  <si>
    <t>110108660924276</t>
  </si>
  <si>
    <t>13621316155</t>
  </si>
  <si>
    <t>翠微东里</t>
  </si>
  <si>
    <t>1503号</t>
  </si>
  <si>
    <t>彭莹</t>
  </si>
  <si>
    <t>2004-22-P-01572-U</t>
  </si>
  <si>
    <t>孟玲</t>
  </si>
  <si>
    <t>110108771214972</t>
  </si>
  <si>
    <t>花园东路14号院</t>
  </si>
  <si>
    <t>2门</t>
  </si>
  <si>
    <t>201号</t>
  </si>
  <si>
    <t>张捍东</t>
  </si>
  <si>
    <t>N</t>
  </si>
  <si>
    <t>双方认识</t>
  </si>
  <si>
    <t>2004-22-P-01923-U</t>
  </si>
  <si>
    <t>朱维彬</t>
  </si>
  <si>
    <t>510403720803351</t>
  </si>
  <si>
    <t>13520512662  67756517</t>
  </si>
  <si>
    <t>太月园</t>
  </si>
  <si>
    <t>306号</t>
  </si>
  <si>
    <t>未过户</t>
  </si>
  <si>
    <t>杨红英</t>
  </si>
  <si>
    <t>杨文镛</t>
  </si>
  <si>
    <t>2004-22-P-02048-U</t>
  </si>
  <si>
    <t>阚达</t>
  </si>
  <si>
    <t>11022319770926391X</t>
  </si>
  <si>
    <t>牡丹园北里</t>
  </si>
  <si>
    <t>1204号</t>
  </si>
  <si>
    <t>白殿臣</t>
  </si>
  <si>
    <t>2004-22-P-02185-U</t>
  </si>
  <si>
    <t>杨兵</t>
  </si>
  <si>
    <t>513027197311041710</t>
  </si>
  <si>
    <t>62982979</t>
  </si>
  <si>
    <t>清河朱房路北北京毛纺厂家属宿舍</t>
  </si>
  <si>
    <t>9号楼</t>
  </si>
  <si>
    <t>2单元</t>
  </si>
  <si>
    <t>1号</t>
  </si>
  <si>
    <t>卖契</t>
  </si>
  <si>
    <t>含过户费</t>
  </si>
  <si>
    <t>2004-22-P-02342-U</t>
  </si>
  <si>
    <t>孙昆昆</t>
  </si>
  <si>
    <t>372822197705110568</t>
  </si>
  <si>
    <t>13621023271、68314422-5577</t>
  </si>
  <si>
    <t>北四环中路209号健翔园</t>
  </si>
  <si>
    <t>2106号</t>
  </si>
  <si>
    <t>二室二厅二卫一厨</t>
  </si>
  <si>
    <t>葛鲁宁</t>
  </si>
  <si>
    <t>含出让金</t>
  </si>
  <si>
    <t>2004-22-P-02631-U</t>
  </si>
  <si>
    <t>沈涛</t>
  </si>
  <si>
    <t>110108640924227</t>
  </si>
  <si>
    <t>文慧园北路9号今典花园</t>
  </si>
  <si>
    <t>5号楼</t>
  </si>
  <si>
    <t>1210号</t>
  </si>
  <si>
    <t>王维国</t>
  </si>
  <si>
    <t>双方为朋友</t>
  </si>
  <si>
    <t>不含税费、含出让金</t>
  </si>
  <si>
    <t>2004-22-P-03017-U</t>
  </si>
  <si>
    <t>陈秀</t>
  </si>
  <si>
    <t>110108196308170460</t>
  </si>
  <si>
    <t>上庄乡西郊农场家属院北区</t>
  </si>
  <si>
    <t>14号楼</t>
  </si>
  <si>
    <t>502号</t>
  </si>
  <si>
    <t>买卖协议</t>
  </si>
  <si>
    <t>黄有媛</t>
  </si>
  <si>
    <t>2004.3.25</t>
  </si>
  <si>
    <t>亲戚</t>
  </si>
  <si>
    <t>2004-22-P-03046-U</t>
  </si>
  <si>
    <t>陈欢</t>
  </si>
  <si>
    <t>110108197003212783</t>
  </si>
  <si>
    <t>13801361447、64286123</t>
  </si>
  <si>
    <t>万泉河路68号紫金庄园</t>
  </si>
  <si>
    <t>一室一厅一卫一厨</t>
  </si>
  <si>
    <t>双方为朋友，交易价偏低</t>
  </si>
  <si>
    <t>六</t>
  </si>
  <si>
    <t>宋福岑</t>
  </si>
  <si>
    <t>双方为朋友，非正常交易</t>
  </si>
  <si>
    <t>2004-22-P-03047-U</t>
  </si>
  <si>
    <t>樊胜</t>
  </si>
  <si>
    <t>110105197212207551</t>
  </si>
  <si>
    <t>二里庄北里</t>
  </si>
  <si>
    <t>501号</t>
  </si>
  <si>
    <t>范润桃</t>
  </si>
  <si>
    <t>认识</t>
  </si>
  <si>
    <t>2004-22-P-03218-U</t>
  </si>
  <si>
    <t>刘进伟</t>
  </si>
  <si>
    <t>410311730228303</t>
  </si>
  <si>
    <t>静淑东里</t>
  </si>
  <si>
    <t>103号</t>
  </si>
  <si>
    <t>陈光伟</t>
  </si>
  <si>
    <t>2004-22-P-03282-U</t>
  </si>
  <si>
    <t>左坚</t>
  </si>
  <si>
    <t>110102680202336</t>
  </si>
  <si>
    <t>13910684976</t>
  </si>
  <si>
    <t>皂君东里</t>
  </si>
  <si>
    <t>211号</t>
  </si>
  <si>
    <t>颜景霁</t>
  </si>
  <si>
    <t>2004-22-P-03834-U</t>
  </si>
  <si>
    <t>任涛</t>
  </si>
  <si>
    <t>370811196412200038</t>
  </si>
  <si>
    <t>68949663、13911818633</t>
  </si>
  <si>
    <t>魏公村路8号院</t>
  </si>
  <si>
    <t>1404号</t>
  </si>
  <si>
    <t>二室二厅一卫一厨</t>
  </si>
  <si>
    <t>2004-22-P-04014-U</t>
  </si>
  <si>
    <t>刘保国</t>
  </si>
  <si>
    <t>370902196401201210</t>
  </si>
  <si>
    <t>13911690538、51688143</t>
  </si>
  <si>
    <t>皂君庙14号院</t>
  </si>
  <si>
    <t>8号楼</t>
  </si>
  <si>
    <t>1806号</t>
  </si>
  <si>
    <t>陈茁</t>
  </si>
  <si>
    <t>三室二厅二卫一厨</t>
  </si>
  <si>
    <t>邓晓谰</t>
  </si>
  <si>
    <t>2004-22-P-04284-U</t>
  </si>
  <si>
    <t>徐一华</t>
  </si>
  <si>
    <t>330719780907503</t>
  </si>
  <si>
    <t>远大园五区</t>
  </si>
  <si>
    <t>11号楼</t>
  </si>
  <si>
    <t>16F号</t>
  </si>
  <si>
    <t>张一静</t>
  </si>
  <si>
    <t>2004-22-P-04440-U</t>
  </si>
  <si>
    <t>李焕珍</t>
  </si>
  <si>
    <t>110103550725002</t>
  </si>
  <si>
    <t>土城北路59号</t>
  </si>
  <si>
    <t>5号</t>
  </si>
  <si>
    <t>王润彪</t>
  </si>
  <si>
    <t>2004-22-P-04743-U</t>
  </si>
  <si>
    <t>2004-22-P-06129-U</t>
  </si>
  <si>
    <t>赵新刚</t>
  </si>
  <si>
    <t>130622740515481</t>
  </si>
  <si>
    <t>13641011001</t>
  </si>
  <si>
    <t>建材城西二里</t>
  </si>
  <si>
    <t>乙2单元</t>
  </si>
  <si>
    <t>5层504号</t>
  </si>
  <si>
    <t>含3万元装修款</t>
  </si>
  <si>
    <t>2004-22-P-06160-U</t>
  </si>
  <si>
    <t>刘照森</t>
  </si>
  <si>
    <t>110108196204245755</t>
  </si>
  <si>
    <t>13611039583、82645243</t>
  </si>
  <si>
    <t>知春里小区</t>
  </si>
  <si>
    <t>17号楼</t>
  </si>
  <si>
    <t>207号</t>
  </si>
  <si>
    <t>七</t>
  </si>
  <si>
    <t>不含任何税费</t>
  </si>
  <si>
    <t>2004-22-P-07060-U</t>
  </si>
  <si>
    <t>王爱茹</t>
  </si>
  <si>
    <t>110108540728634</t>
  </si>
  <si>
    <t>6号</t>
  </si>
  <si>
    <t>冯伯麟</t>
  </si>
  <si>
    <t>2004-22-P-07502-U</t>
  </si>
  <si>
    <t>卢萍</t>
  </si>
  <si>
    <t>520111620810064</t>
  </si>
  <si>
    <t>62759839</t>
  </si>
  <si>
    <t>1706号</t>
  </si>
  <si>
    <t>刘朝阳</t>
  </si>
  <si>
    <t>协议</t>
  </si>
  <si>
    <t>不含</t>
  </si>
  <si>
    <t>2004-22-P-07700-U</t>
  </si>
  <si>
    <t>赵春荣、李玉华</t>
  </si>
  <si>
    <r>
      <rPr>
        <sz val="10"/>
        <rFont val="Times New Roman"/>
        <charset val="134"/>
      </rPr>
      <t>65900119760319034X</t>
    </r>
    <r>
      <rPr>
        <sz val="10"/>
        <rFont val="宋体"/>
        <charset val="134"/>
      </rPr>
      <t>、659001197611243210</t>
    </r>
  </si>
  <si>
    <t>13911687353、62132383</t>
  </si>
  <si>
    <t>2004号</t>
  </si>
  <si>
    <t>二十</t>
  </si>
  <si>
    <t>易杰</t>
  </si>
  <si>
    <t>2004-22-P-08254-U</t>
  </si>
  <si>
    <t>张鸿铃</t>
  </si>
  <si>
    <t>510102640808659</t>
  </si>
  <si>
    <t>13641083395</t>
  </si>
  <si>
    <t>大钟寺三建宿舍</t>
  </si>
  <si>
    <t>7门748号</t>
  </si>
  <si>
    <t>张鸿玲</t>
  </si>
  <si>
    <t>2004-22-P-08847-U</t>
  </si>
  <si>
    <t>王学明</t>
  </si>
  <si>
    <t>532323196907071514</t>
  </si>
  <si>
    <t>13901030378</t>
  </si>
  <si>
    <t>恩济庄永安东里</t>
  </si>
  <si>
    <t>5门</t>
  </si>
  <si>
    <t>602号</t>
  </si>
  <si>
    <t>三室三厅一卫一厨</t>
  </si>
  <si>
    <t>双方为朋友，成交价偏低</t>
  </si>
  <si>
    <t>2004-22-P-08991-U</t>
  </si>
  <si>
    <t>肖荣</t>
  </si>
  <si>
    <t>110108730116374</t>
  </si>
  <si>
    <t>永定路西里</t>
  </si>
  <si>
    <r>
      <rPr>
        <sz val="10"/>
        <rFont val="Times New Roman"/>
        <charset val="134"/>
      </rPr>
      <t>10</t>
    </r>
    <r>
      <rPr>
        <sz val="10"/>
        <rFont val="宋体"/>
        <charset val="134"/>
      </rPr>
      <t>号楼</t>
    </r>
    <r>
      <rPr>
        <sz val="10"/>
        <rFont val="Times New Roman"/>
        <charset val="134"/>
      </rPr>
      <t xml:space="preserve"> </t>
    </r>
  </si>
  <si>
    <t>0801号</t>
  </si>
  <si>
    <t>三室二厅一卫一厨</t>
  </si>
  <si>
    <t>白景生</t>
  </si>
  <si>
    <t>含税费及出让金</t>
  </si>
  <si>
    <t>2004-22-P-10644-U</t>
  </si>
  <si>
    <t>任淑艳</t>
  </si>
  <si>
    <t>110108196210287329</t>
  </si>
  <si>
    <t>马连洼菊园二区</t>
  </si>
  <si>
    <t>4单元</t>
  </si>
  <si>
    <t>202号</t>
  </si>
  <si>
    <t>王胜章</t>
  </si>
  <si>
    <t>四室一厅一卫一厨</t>
  </si>
  <si>
    <t>2004-22-P-10686-U</t>
  </si>
  <si>
    <t>2004-22-P-11451-U</t>
  </si>
  <si>
    <t>刘威</t>
  </si>
  <si>
    <t>110111197612240323</t>
  </si>
  <si>
    <t>13910150126</t>
  </si>
  <si>
    <t>厢黄旗</t>
  </si>
  <si>
    <t>19号楼</t>
  </si>
  <si>
    <t>3单元</t>
  </si>
  <si>
    <t>评估值中不含装修，已跟客户说明，并告知评估值会高</t>
  </si>
  <si>
    <t>北京土人景观规划设计研究所</t>
  </si>
  <si>
    <t>双方认识，以原价销售</t>
  </si>
  <si>
    <t>含出让金，不含装修款，另付15万</t>
  </si>
  <si>
    <t>2004-22-P-11577-U</t>
  </si>
  <si>
    <t>刘效铎</t>
  </si>
  <si>
    <t>110105195712235445</t>
  </si>
  <si>
    <t>莲花苑</t>
  </si>
  <si>
    <t>2302号</t>
  </si>
  <si>
    <t>彭军</t>
  </si>
  <si>
    <t>2004-22-P-11698-U</t>
  </si>
  <si>
    <t>刘蕴秀</t>
  </si>
  <si>
    <t>410203660227202</t>
  </si>
  <si>
    <t>13520682888</t>
  </si>
  <si>
    <t>知春里12号楼</t>
  </si>
  <si>
    <t>606号</t>
  </si>
  <si>
    <t>三室一门厅一卫一厨</t>
  </si>
  <si>
    <t>褚林富</t>
  </si>
  <si>
    <t>2004-22-P-12425-U</t>
  </si>
  <si>
    <t>韩改玲</t>
  </si>
  <si>
    <t>419003731124454</t>
  </si>
  <si>
    <t>四层407</t>
  </si>
  <si>
    <t>王晓明</t>
  </si>
  <si>
    <t>2004-22-P-12496-U</t>
  </si>
  <si>
    <t>吴爱华</t>
  </si>
  <si>
    <t>110102600117274</t>
  </si>
  <si>
    <t>68354102、13691211153</t>
  </si>
  <si>
    <t>复兴路32号</t>
  </si>
  <si>
    <t>10号楼</t>
  </si>
  <si>
    <t>432号</t>
  </si>
  <si>
    <t>十</t>
  </si>
  <si>
    <t>万育东</t>
  </si>
  <si>
    <t>双方为亲戚</t>
  </si>
  <si>
    <t>2004-22-P-12717-U</t>
  </si>
  <si>
    <t>魏吉祥</t>
  </si>
  <si>
    <t>110108650409239</t>
  </si>
  <si>
    <t>82071246</t>
  </si>
  <si>
    <t>学清路16号学知园</t>
  </si>
  <si>
    <t>1005号</t>
  </si>
  <si>
    <t>2004-22-P-12833-U</t>
  </si>
  <si>
    <t>任婕</t>
  </si>
  <si>
    <t>110108197404127125</t>
  </si>
  <si>
    <t>13601291836</t>
  </si>
  <si>
    <t>蓝靛厂春荫园</t>
  </si>
  <si>
    <t>6层8单元6C</t>
  </si>
  <si>
    <t>邓哓澜</t>
  </si>
  <si>
    <t>购房协议</t>
  </si>
  <si>
    <t>含交易费用</t>
  </si>
  <si>
    <t>2004-22-P-12836-U</t>
  </si>
  <si>
    <t>谢青</t>
  </si>
  <si>
    <t>362101197609140028</t>
  </si>
  <si>
    <t>13691162028</t>
  </si>
  <si>
    <t>西二旗铭科苑</t>
  </si>
  <si>
    <t>12号楼</t>
  </si>
  <si>
    <t>1006号</t>
  </si>
  <si>
    <t>杨奇森</t>
  </si>
  <si>
    <t>2004年10月</t>
  </si>
  <si>
    <t>曹佐清</t>
  </si>
  <si>
    <t>310107197309165490</t>
  </si>
  <si>
    <t>十层1006号</t>
  </si>
  <si>
    <t>2004-22-P-12837-U</t>
  </si>
  <si>
    <t>梁瑾</t>
  </si>
  <si>
    <t>142701700707122</t>
  </si>
  <si>
    <t>13910968616</t>
  </si>
  <si>
    <t>知春东里</t>
  </si>
  <si>
    <t>2004-22-P-13162-U</t>
  </si>
  <si>
    <t>文家临</t>
  </si>
  <si>
    <t>110105610327182</t>
  </si>
  <si>
    <t>13611207632</t>
  </si>
  <si>
    <t>阜光里2号楼</t>
  </si>
  <si>
    <t>301号</t>
  </si>
  <si>
    <t>2004-22-P-13444-U</t>
  </si>
  <si>
    <t>高峰</t>
  </si>
  <si>
    <t>339005770218231</t>
  </si>
  <si>
    <t>13521572462</t>
  </si>
  <si>
    <t>龙翔路甲10号</t>
  </si>
  <si>
    <t>1604号</t>
  </si>
  <si>
    <t>不含出让金（实际成交价为51万）</t>
  </si>
  <si>
    <t>2004-22-P-13982-U</t>
  </si>
  <si>
    <t>翟洪伟</t>
  </si>
  <si>
    <t>110108196812204922</t>
  </si>
  <si>
    <t>13701007676</t>
  </si>
  <si>
    <t>厂洼街7号院</t>
  </si>
  <si>
    <t>含家具、电器</t>
  </si>
  <si>
    <t>2004-22-P-13997-U</t>
  </si>
  <si>
    <t>张海涛</t>
  </si>
  <si>
    <t>370825197701160717</t>
  </si>
  <si>
    <t>13041106532</t>
  </si>
  <si>
    <t>A座</t>
  </si>
  <si>
    <t>十七层1702号</t>
  </si>
  <si>
    <t>2004-22-P-14198-U</t>
  </si>
  <si>
    <t>康亮</t>
  </si>
  <si>
    <t>110108197412023721</t>
  </si>
  <si>
    <t>小南庄</t>
  </si>
  <si>
    <t>15层</t>
  </si>
  <si>
    <t>1504号</t>
  </si>
  <si>
    <t>鲁彦</t>
  </si>
  <si>
    <t>成交价偏低（买方原为租户）</t>
  </si>
  <si>
    <t>2004-22-P-14239-U</t>
  </si>
  <si>
    <t>宋泽强</t>
  </si>
  <si>
    <t>37020619740814281</t>
  </si>
  <si>
    <t>13601061609</t>
  </si>
  <si>
    <t>海淀南路8号楼</t>
  </si>
  <si>
    <t>1104号</t>
  </si>
  <si>
    <t>双方认识，协商价高</t>
  </si>
  <si>
    <t>不含税费出让金</t>
  </si>
  <si>
    <t>2004-22-P-14261-U</t>
  </si>
  <si>
    <t>马戈芳</t>
  </si>
  <si>
    <t>410305197302213025</t>
  </si>
  <si>
    <t>13611280467、58861117</t>
  </si>
  <si>
    <t>安宁庄西路15号</t>
  </si>
  <si>
    <t>九层902号</t>
  </si>
  <si>
    <t>含装修、家具</t>
  </si>
  <si>
    <t>2004-22-P-14498-U</t>
  </si>
  <si>
    <t>栗勇</t>
  </si>
  <si>
    <t>210402770602355</t>
  </si>
  <si>
    <t>13501157901</t>
  </si>
  <si>
    <t>清河龙岗路12号清缘里中区</t>
  </si>
  <si>
    <t>甲-1010</t>
  </si>
  <si>
    <t>10-11</t>
  </si>
  <si>
    <t>二室一厅二卫一厨</t>
  </si>
  <si>
    <t>复式、平层、跃层√、错层</t>
  </si>
  <si>
    <t>裴蓓</t>
  </si>
  <si>
    <t>马成宾</t>
  </si>
  <si>
    <t>2004-22-P-14716-U</t>
  </si>
  <si>
    <t>安静涛</t>
  </si>
  <si>
    <t>110108690703682</t>
  </si>
  <si>
    <t>13681440009</t>
  </si>
  <si>
    <t>万柳阳春光华家园</t>
  </si>
  <si>
    <t>2004-22-P-14791-U</t>
  </si>
  <si>
    <t>毕建青</t>
  </si>
  <si>
    <t>110108630111004</t>
  </si>
  <si>
    <t>13651386676</t>
  </si>
  <si>
    <t>稻香园小区</t>
  </si>
  <si>
    <t>203号</t>
  </si>
  <si>
    <t>2004-22-P-14871-U</t>
  </si>
  <si>
    <t>何鑫</t>
  </si>
  <si>
    <t>21050219770723032X</t>
  </si>
  <si>
    <t>13810283949</t>
  </si>
  <si>
    <t>八里庄北里13号楼</t>
  </si>
  <si>
    <t>2004-22-P-15275-U</t>
  </si>
  <si>
    <t>黄宇涛</t>
  </si>
  <si>
    <t>530102750710181</t>
  </si>
  <si>
    <t>13910291752</t>
  </si>
  <si>
    <t>伍江</t>
  </si>
  <si>
    <t>2004-22-P-15656-U</t>
  </si>
  <si>
    <t>李广花</t>
  </si>
  <si>
    <t>110109196809031828</t>
  </si>
  <si>
    <t>13311108331、1366100573</t>
  </si>
  <si>
    <t>铁道部宿舍普惠北里</t>
  </si>
  <si>
    <t>5-4号</t>
  </si>
  <si>
    <t>单学伦</t>
  </si>
  <si>
    <t>2004-22-P-15876-U</t>
  </si>
  <si>
    <t>张楠</t>
  </si>
  <si>
    <t>110108790904974</t>
  </si>
  <si>
    <t>二里庄</t>
  </si>
  <si>
    <t>34号楼</t>
  </si>
  <si>
    <t>秦如明</t>
  </si>
  <si>
    <t>2004-22-P-15950-U</t>
  </si>
  <si>
    <t>尹源</t>
  </si>
  <si>
    <t>110101195008042046</t>
  </si>
  <si>
    <t>82801231</t>
  </si>
  <si>
    <t>1105号</t>
  </si>
  <si>
    <t>2004-22-P-16139-U</t>
  </si>
  <si>
    <t>王明进</t>
  </si>
  <si>
    <t>320303196605073657</t>
  </si>
  <si>
    <t>13651326912、88818128</t>
  </si>
  <si>
    <t>厂洼西街10号院</t>
  </si>
  <si>
    <t>38门</t>
  </si>
  <si>
    <t>二层201号</t>
  </si>
  <si>
    <t>十二</t>
  </si>
  <si>
    <t>蒋京伟</t>
  </si>
  <si>
    <t>2004-22-P-16299-U</t>
  </si>
  <si>
    <t>马翔</t>
  </si>
  <si>
    <t>110108640908634</t>
  </si>
  <si>
    <t>13641046108</t>
  </si>
  <si>
    <t>蓟门东里</t>
  </si>
  <si>
    <r>
      <rPr>
        <sz val="10"/>
        <rFont val="宋体"/>
        <charset val="134"/>
      </rPr>
      <t>1</t>
    </r>
    <r>
      <rPr>
        <sz val="10"/>
        <color indexed="8"/>
        <rFont val="宋体"/>
        <charset val="134"/>
      </rPr>
      <t>门</t>
    </r>
  </si>
  <si>
    <r>
      <rPr>
        <sz val="10"/>
        <rFont val="宋体"/>
        <charset val="134"/>
      </rPr>
      <t>1103</t>
    </r>
    <r>
      <rPr>
        <sz val="10"/>
        <color indexed="8"/>
        <rFont val="宋体"/>
        <charset val="134"/>
      </rPr>
      <t>号</t>
    </r>
  </si>
  <si>
    <t>无</t>
  </si>
  <si>
    <t>2004-22-P-16398-U</t>
  </si>
  <si>
    <t>徐放</t>
  </si>
  <si>
    <t>610102197210173131</t>
  </si>
  <si>
    <t>五棵松路20号美丽园（一期）</t>
  </si>
  <si>
    <t>四单元</t>
  </si>
  <si>
    <t>四室二厅二卫一厨</t>
  </si>
  <si>
    <t>洪毅</t>
  </si>
  <si>
    <t>2004-22-P-17495-U</t>
  </si>
  <si>
    <t>曹兵海</t>
  </si>
  <si>
    <t>130604196301281278</t>
  </si>
  <si>
    <t>62733850</t>
  </si>
  <si>
    <t>百旺家苑东区</t>
  </si>
  <si>
    <t>1单元</t>
  </si>
  <si>
    <t>401号</t>
  </si>
  <si>
    <t>2004-22-P-18266-U</t>
  </si>
  <si>
    <t>荆涛</t>
  </si>
  <si>
    <t>430105690620131</t>
  </si>
  <si>
    <t>13301310017</t>
  </si>
  <si>
    <t>6门</t>
  </si>
  <si>
    <t>史依泽</t>
  </si>
  <si>
    <t>2004-22-P-18756-U</t>
  </si>
  <si>
    <t>刘旭</t>
  </si>
  <si>
    <t>132423197310287115</t>
  </si>
  <si>
    <t>13693529025</t>
  </si>
  <si>
    <t>王京全</t>
  </si>
  <si>
    <t>王京权</t>
  </si>
  <si>
    <t>2005-21-P -01761-U</t>
  </si>
  <si>
    <t>魏鹏</t>
  </si>
  <si>
    <t>210102198002116650</t>
  </si>
  <si>
    <t>13911534253、82685477-905</t>
  </si>
  <si>
    <t>双榆树北路甲5楼</t>
  </si>
  <si>
    <t>17号</t>
  </si>
  <si>
    <t>北京住房公积金管理中心海淀管理部</t>
  </si>
  <si>
    <t>2005-3-1D1-189CD</t>
  </si>
  <si>
    <t>正式报告</t>
  </si>
  <si>
    <t>范玉</t>
  </si>
  <si>
    <t>韩静</t>
  </si>
  <si>
    <t>2005-21-P-00207-U</t>
  </si>
  <si>
    <t>李楠</t>
  </si>
  <si>
    <t>110102800811155</t>
  </si>
  <si>
    <t>13601328699</t>
  </si>
  <si>
    <t>青云里满庭芳园</t>
  </si>
  <si>
    <t>805号</t>
  </si>
  <si>
    <t>黄磊</t>
  </si>
  <si>
    <t>2005-21-P-00292-U</t>
  </si>
  <si>
    <t>吴绍芬</t>
  </si>
  <si>
    <t>420111197610277029</t>
  </si>
  <si>
    <t>13718081876</t>
  </si>
  <si>
    <r>
      <rPr>
        <sz val="10"/>
        <color indexed="8"/>
        <rFont val="宋体"/>
        <charset val="134"/>
      </rPr>
      <t>德胜门西大街</t>
    </r>
    <r>
      <rPr>
        <sz val="10"/>
        <color indexed="8"/>
        <rFont val="Times New Roman"/>
        <charset val="134"/>
      </rPr>
      <t>7</t>
    </r>
    <r>
      <rPr>
        <sz val="10"/>
        <color indexed="8"/>
        <rFont val="宋体"/>
        <charset val="134"/>
      </rPr>
      <t>号院</t>
    </r>
  </si>
  <si>
    <r>
      <rPr>
        <sz val="10"/>
        <color indexed="8"/>
        <rFont val="宋体"/>
        <charset val="134"/>
      </rPr>
      <t>8</t>
    </r>
    <r>
      <rPr>
        <sz val="10"/>
        <color indexed="8"/>
        <rFont val="宋体"/>
        <charset val="134"/>
      </rPr>
      <t>幢</t>
    </r>
  </si>
  <si>
    <r>
      <rPr>
        <sz val="10"/>
        <color indexed="8"/>
        <rFont val="宋体"/>
        <charset val="134"/>
      </rPr>
      <t>410</t>
    </r>
    <r>
      <rPr>
        <sz val="10"/>
        <color indexed="8"/>
        <rFont val="宋体"/>
        <charset val="134"/>
      </rPr>
      <t>号</t>
    </r>
  </si>
  <si>
    <t>陆明</t>
  </si>
  <si>
    <t>该栋房屋坐落于地铁上，楼后为地铁回库站，有噪音</t>
  </si>
  <si>
    <t>2005-21-P-00367-U</t>
  </si>
  <si>
    <t>沈枫</t>
  </si>
  <si>
    <t>110108197001293743</t>
  </si>
  <si>
    <t>13381026001、68763734</t>
  </si>
  <si>
    <t>玉海园二里</t>
  </si>
  <si>
    <t>三层</t>
  </si>
  <si>
    <t>姜劲松</t>
  </si>
  <si>
    <t>不含税费、不含出让金</t>
  </si>
  <si>
    <t>2005-21-P-00465-U</t>
  </si>
  <si>
    <t>王广章</t>
  </si>
  <si>
    <t>110108770901931</t>
  </si>
  <si>
    <t>紫竹院街道三虎桥</t>
  </si>
  <si>
    <t>8门</t>
  </si>
  <si>
    <t>马琳琳</t>
  </si>
  <si>
    <t>2005-3-1D1-010CJ</t>
  </si>
  <si>
    <t>沈刚</t>
  </si>
  <si>
    <t>2005-21-P-00509-U</t>
  </si>
  <si>
    <t>孙爱珍</t>
  </si>
  <si>
    <t>110224711204202</t>
  </si>
  <si>
    <t>13661363532</t>
  </si>
  <si>
    <t>知春里</t>
  </si>
  <si>
    <t>15号楼</t>
  </si>
  <si>
    <t>107号</t>
  </si>
  <si>
    <t>北京住房公积金管理中心大兴管理部</t>
  </si>
  <si>
    <t>2005-21-P-00514-U</t>
  </si>
  <si>
    <t>张宏</t>
  </si>
  <si>
    <t>37050219770419003X</t>
  </si>
  <si>
    <t>学清路5号城华园</t>
  </si>
  <si>
    <t>0913号</t>
  </si>
  <si>
    <t>2005-3-1D1-017CJ</t>
  </si>
  <si>
    <t>唐文伟</t>
  </si>
  <si>
    <t>2005-21-P-00623-U</t>
  </si>
  <si>
    <t>张京</t>
  </si>
  <si>
    <t>360111197307200049</t>
  </si>
  <si>
    <t>13810185645、86270045</t>
  </si>
  <si>
    <t>城华园</t>
  </si>
  <si>
    <t>十八层</t>
  </si>
  <si>
    <t>1822号</t>
  </si>
  <si>
    <t>2005-3-D1-031CJ</t>
  </si>
  <si>
    <t>延喜玲</t>
  </si>
  <si>
    <t>2005-21-P-00661-U</t>
  </si>
  <si>
    <t>冯国勇</t>
  </si>
  <si>
    <t>110108810719821</t>
  </si>
  <si>
    <t>13651071347</t>
  </si>
  <si>
    <t>花园北路乙28号院</t>
  </si>
  <si>
    <t>115号</t>
  </si>
  <si>
    <t>许振华</t>
  </si>
  <si>
    <t>2005-3-1D1-036CJ</t>
  </si>
  <si>
    <t>初审意见书</t>
  </si>
  <si>
    <t>初审换正式</t>
  </si>
  <si>
    <t>2005-21-P-00669-U</t>
  </si>
  <si>
    <t>陈蕊</t>
  </si>
  <si>
    <t>110102197901133042</t>
  </si>
  <si>
    <t>永泰园</t>
  </si>
  <si>
    <t>2406号</t>
  </si>
  <si>
    <t>2005-3-1D1-038CJ</t>
  </si>
  <si>
    <t>关大立</t>
  </si>
  <si>
    <t>2005-21-P-00707-U</t>
  </si>
  <si>
    <t>泽仁多吉</t>
  </si>
  <si>
    <t>110108750424631</t>
  </si>
  <si>
    <t>13301133386</t>
  </si>
  <si>
    <t>西三旗沁春家园</t>
  </si>
  <si>
    <t>6号楼</t>
  </si>
  <si>
    <t>王春艳</t>
  </si>
  <si>
    <t>复式√、平层、跃层、错层</t>
  </si>
  <si>
    <t>出初审</t>
  </si>
  <si>
    <t>2005-21-P-00838-U</t>
  </si>
  <si>
    <t>庄海翔</t>
  </si>
  <si>
    <t>110108197301273736</t>
  </si>
  <si>
    <t>五棵松路51号院</t>
  </si>
  <si>
    <t>1号路</t>
  </si>
  <si>
    <t>北京住房资金管理中心海淀管理部</t>
  </si>
  <si>
    <t>2005-3-D1-070CJ</t>
  </si>
  <si>
    <t>李树新</t>
  </si>
  <si>
    <t>2005-21-P-00894-U</t>
  </si>
  <si>
    <t>刘真</t>
  </si>
  <si>
    <t>120101197811062565</t>
  </si>
  <si>
    <t>13718424219</t>
  </si>
  <si>
    <t>建材城中路1号</t>
  </si>
  <si>
    <t>18号楼</t>
  </si>
  <si>
    <t>宋瑞雪</t>
  </si>
  <si>
    <t>北京住房公积金管理中心中央国家机关分中心</t>
  </si>
  <si>
    <t>袁洁</t>
  </si>
  <si>
    <t>含装修费</t>
  </si>
  <si>
    <t>2005-21-P-00953-U</t>
  </si>
  <si>
    <t>李超钢</t>
  </si>
  <si>
    <t>定慧东里</t>
  </si>
  <si>
    <t>核定资产</t>
  </si>
  <si>
    <t>2005-21-P-01002-U</t>
  </si>
  <si>
    <t>陈崧哲</t>
  </si>
  <si>
    <t>412921197507142018</t>
  </si>
  <si>
    <t>13810028720、89796082</t>
  </si>
  <si>
    <t>暂安处2号院</t>
  </si>
  <si>
    <t>601号</t>
  </si>
  <si>
    <t>张铁忠</t>
  </si>
  <si>
    <t>含装修</t>
  </si>
  <si>
    <t>2005-21-P-01016-U</t>
  </si>
  <si>
    <t>张云</t>
  </si>
  <si>
    <t>110108641115008</t>
  </si>
  <si>
    <t>13718218280、62511057、82572611</t>
  </si>
  <si>
    <t>泉宗路2号万柳光大家园</t>
  </si>
  <si>
    <t>0309号</t>
  </si>
  <si>
    <t>谢爱华</t>
  </si>
  <si>
    <t>2005-21-P-01148-U</t>
  </si>
  <si>
    <t>程海忠</t>
  </si>
  <si>
    <t>110108196805036051</t>
  </si>
  <si>
    <t>皂君西里</t>
  </si>
  <si>
    <t>403号</t>
  </si>
  <si>
    <t>王纪宴</t>
  </si>
  <si>
    <t>2005-21-P-01184-U</t>
  </si>
  <si>
    <t>仵文林</t>
  </si>
  <si>
    <t>420106197012014850</t>
  </si>
  <si>
    <t>13621353059、68822059-803</t>
  </si>
  <si>
    <t>西翠路5号今日家园</t>
  </si>
  <si>
    <t>1211号</t>
  </si>
  <si>
    <t>可抵押经济适用住宅</t>
  </si>
  <si>
    <t>2005-3-D1-00121CJD</t>
  </si>
  <si>
    <t>许冬雷</t>
  </si>
  <si>
    <t>2005-21-P-01197-U</t>
  </si>
  <si>
    <t>姚涛</t>
  </si>
  <si>
    <t>152625197608100031</t>
  </si>
  <si>
    <t>13552340182</t>
  </si>
  <si>
    <t>八里庄路 61号</t>
  </si>
  <si>
    <t>571</t>
  </si>
  <si>
    <t>2005-3-D1-124CJD</t>
  </si>
  <si>
    <t>朱悦明</t>
  </si>
  <si>
    <t>2005-21-P-01231-U</t>
  </si>
  <si>
    <t>闪烁</t>
  </si>
  <si>
    <t>110104197103313025</t>
  </si>
  <si>
    <t>13683054287、62333660</t>
  </si>
  <si>
    <t>平层（带阁楼）</t>
  </si>
  <si>
    <t>2005-3-D1-00128CJD</t>
  </si>
  <si>
    <t>崔金娥</t>
  </si>
  <si>
    <t>二手</t>
  </si>
  <si>
    <t>2005-21-P-01322-U</t>
  </si>
  <si>
    <t>张艳琦</t>
  </si>
  <si>
    <t>372928197502070045</t>
  </si>
  <si>
    <t>13391802881</t>
  </si>
  <si>
    <t>太月园小区</t>
  </si>
  <si>
    <t>1602</t>
  </si>
  <si>
    <t>王玉民</t>
  </si>
  <si>
    <t>2005-3-D1-141CD</t>
  </si>
  <si>
    <t>2005-21-P-01335-U</t>
  </si>
  <si>
    <t>贾德星</t>
  </si>
  <si>
    <t>110108690706181</t>
  </si>
  <si>
    <t>13683385730、63827577、62130135</t>
  </si>
  <si>
    <t>北洼路28号院</t>
  </si>
  <si>
    <t xml:space="preserve">十 </t>
  </si>
  <si>
    <t>黄纹</t>
  </si>
  <si>
    <t>含家具、装修、电器</t>
  </si>
  <si>
    <t>2005-21-P-01469-U</t>
  </si>
  <si>
    <t>石瑞生</t>
  </si>
  <si>
    <t>410202197411250517</t>
  </si>
  <si>
    <t>13910314302、65108449、81735713</t>
  </si>
  <si>
    <t>志强南园</t>
  </si>
  <si>
    <t>1308号</t>
  </si>
  <si>
    <t>高文礼</t>
  </si>
  <si>
    <t>2005年9月2日</t>
  </si>
  <si>
    <t>2005-21-P-01501-U</t>
  </si>
  <si>
    <t>董文龙</t>
  </si>
  <si>
    <t>370825196502035310</t>
  </si>
  <si>
    <t>紫竹院三虎桥</t>
  </si>
  <si>
    <t>2005-3-1D1-166CJD</t>
  </si>
  <si>
    <t>张玉荣</t>
  </si>
  <si>
    <t>2005-21-P-01514-U</t>
  </si>
  <si>
    <t>提刘旺</t>
  </si>
  <si>
    <t>110101195501182536</t>
  </si>
  <si>
    <t>0808号</t>
  </si>
  <si>
    <t>顾磊</t>
  </si>
  <si>
    <t>2005-3-1D1-169CD</t>
  </si>
  <si>
    <t>2005-21-P-01565-U</t>
  </si>
  <si>
    <t>羌英</t>
  </si>
  <si>
    <t>110102700313272</t>
  </si>
  <si>
    <t>紫竹院路33号美林公寓</t>
  </si>
  <si>
    <t>6C号</t>
  </si>
  <si>
    <t>岳经宏</t>
  </si>
  <si>
    <t>2005-3-1D1-174CJD</t>
  </si>
  <si>
    <t>2005-21-P-01678-U</t>
  </si>
  <si>
    <t>郭一川</t>
  </si>
  <si>
    <t>132401197612310618</t>
  </si>
  <si>
    <t>文慧园</t>
  </si>
  <si>
    <t>刘长月</t>
  </si>
  <si>
    <t>2005年9月26日</t>
  </si>
  <si>
    <t>成交价偏低</t>
  </si>
  <si>
    <t>2005-21-P-01751-U</t>
  </si>
  <si>
    <t>沈阳洋</t>
  </si>
  <si>
    <t>652829197810251524</t>
  </si>
  <si>
    <t>86333886、89760026、89718818</t>
  </si>
  <si>
    <t xml:space="preserve">学清路16号学知园 </t>
  </si>
  <si>
    <t>807号</t>
  </si>
  <si>
    <t>宁玉霞</t>
  </si>
  <si>
    <t>2005年10月11日</t>
  </si>
  <si>
    <t>2005-21-P-01940-U</t>
  </si>
  <si>
    <t>冯国亮</t>
  </si>
  <si>
    <t>23083019710302263X</t>
  </si>
  <si>
    <t>13910283200、85252999、81725090</t>
  </si>
  <si>
    <t>万泉河稻香园</t>
  </si>
  <si>
    <t>23号楼</t>
  </si>
  <si>
    <t>105号</t>
  </si>
  <si>
    <t>何龙灿</t>
  </si>
  <si>
    <t>2005-21-P-02008-U</t>
  </si>
  <si>
    <t>梁爽</t>
  </si>
  <si>
    <t>310103196412261624</t>
  </si>
  <si>
    <t>13520362592</t>
  </si>
  <si>
    <t>2005-3-D1-207CJD</t>
  </si>
  <si>
    <t>谷燕</t>
  </si>
  <si>
    <t>2005-21-P-02050-U</t>
  </si>
  <si>
    <t>张平</t>
  </si>
  <si>
    <t>320902196802280520</t>
  </si>
  <si>
    <t>13683252966</t>
  </si>
  <si>
    <t>皂君庙14号院1号楼</t>
  </si>
  <si>
    <t>801</t>
  </si>
  <si>
    <t>2005-3-1D1-214CJD</t>
  </si>
  <si>
    <t>姜琦琳</t>
  </si>
  <si>
    <t>2005-21-P-02094-U</t>
  </si>
  <si>
    <t>王伟业</t>
  </si>
  <si>
    <t>1502026306011251</t>
  </si>
  <si>
    <t>13910539623</t>
  </si>
  <si>
    <t>圆明园花园公寓一区</t>
  </si>
  <si>
    <t>6号楼（现为圆明园西路88号院19#）</t>
  </si>
  <si>
    <t>7单元</t>
  </si>
  <si>
    <t>赵书柱</t>
  </si>
  <si>
    <t>双方为同事，价低</t>
  </si>
  <si>
    <t>2005-3-1D1-217CD</t>
  </si>
  <si>
    <t>非正常</t>
  </si>
  <si>
    <t>2005-21-P-02130-U</t>
  </si>
  <si>
    <t>侯文毅</t>
  </si>
  <si>
    <t>110105195311227559</t>
  </si>
  <si>
    <t>13691055188、82669629、62550398</t>
  </si>
  <si>
    <t>王公坟</t>
  </si>
  <si>
    <t>2门701号</t>
  </si>
  <si>
    <t>孟秋香、李婧</t>
  </si>
  <si>
    <t>2005-3-1D1-224CJD</t>
  </si>
  <si>
    <t>2005-21-P-02194-U</t>
  </si>
  <si>
    <t>甘泉</t>
  </si>
  <si>
    <t>232330198110254614</t>
  </si>
  <si>
    <t>13366085959</t>
  </si>
  <si>
    <t>罗庄西里</t>
  </si>
  <si>
    <t>四层402</t>
  </si>
  <si>
    <t>评估优惠</t>
  </si>
  <si>
    <t>张恒峡</t>
  </si>
  <si>
    <t>2005-21-P-02215-U</t>
  </si>
  <si>
    <t>黄曜晖</t>
  </si>
  <si>
    <t>452427197402150036</t>
  </si>
  <si>
    <t>13911795720、82371671</t>
  </si>
  <si>
    <t>清华东路27号院</t>
  </si>
  <si>
    <t>10单元</t>
  </si>
  <si>
    <t>六层603号</t>
  </si>
  <si>
    <t>一室二厅一卫一厨（带阁楼）</t>
  </si>
  <si>
    <t>2005-3-1D1-234CJD</t>
  </si>
  <si>
    <t>符霜叶</t>
  </si>
  <si>
    <t>2005-21-P-02224-U</t>
  </si>
  <si>
    <t>刘翔</t>
  </si>
  <si>
    <t>210102197907315617</t>
  </si>
  <si>
    <t>13693307416、58887165-5</t>
  </si>
  <si>
    <t>甲1号楼</t>
  </si>
  <si>
    <t>八层东801号</t>
  </si>
  <si>
    <t>王树刚</t>
  </si>
  <si>
    <t>2005-21-P-02293-U</t>
  </si>
  <si>
    <t>臧晓明</t>
  </si>
  <si>
    <t>110108761108971</t>
  </si>
  <si>
    <t>13911991616</t>
  </si>
  <si>
    <t>志新村</t>
  </si>
  <si>
    <t>27号楼</t>
  </si>
  <si>
    <t>五层504号</t>
  </si>
  <si>
    <t>2005-3-1D1-241CJD</t>
  </si>
  <si>
    <t>缑雪峰</t>
  </si>
  <si>
    <t>2005-21-P-02344-U</t>
  </si>
  <si>
    <t>劳学铭</t>
  </si>
  <si>
    <t>330825197403275316</t>
  </si>
  <si>
    <t>13641285293</t>
  </si>
  <si>
    <t>北蜂窝</t>
  </si>
  <si>
    <t>63号楼</t>
  </si>
  <si>
    <t>5门601号</t>
  </si>
  <si>
    <t>胡哲明</t>
  </si>
  <si>
    <t>李爱民</t>
  </si>
  <si>
    <t>2005-21-P-02356-U</t>
  </si>
  <si>
    <t>王玉国</t>
  </si>
  <si>
    <t>120222197201237310</t>
  </si>
  <si>
    <t>62242712、13671229959</t>
  </si>
  <si>
    <t>4#楼</t>
  </si>
  <si>
    <t>702号</t>
  </si>
  <si>
    <t>北京宽广电信高技术发展有限公司</t>
  </si>
  <si>
    <t>单位卖内部员工</t>
  </si>
  <si>
    <t>2005-21-P-02409-U</t>
  </si>
  <si>
    <t>石春秀</t>
  </si>
  <si>
    <t>110102195605011180</t>
  </si>
  <si>
    <t>13718377526、51896198、63951910</t>
  </si>
  <si>
    <t>羊坊店路115号院7号楼</t>
  </si>
  <si>
    <t>四层9号</t>
  </si>
  <si>
    <t>2005-3-1D1-259CJD</t>
  </si>
  <si>
    <t>张妮</t>
  </si>
  <si>
    <t>张国威</t>
  </si>
  <si>
    <t>2005-21-P-02468-U</t>
  </si>
  <si>
    <t>曹萍</t>
  </si>
  <si>
    <t>110226198002180049</t>
  </si>
  <si>
    <t>羊坊店西路10号楼</t>
  </si>
  <si>
    <t>于涛</t>
  </si>
  <si>
    <t>2005-21-P-02511-U</t>
  </si>
  <si>
    <t>杨红梅</t>
  </si>
  <si>
    <t>150102197202100521</t>
  </si>
  <si>
    <t>13911784956、62800115-8306</t>
  </si>
  <si>
    <t>八层801号</t>
  </si>
  <si>
    <t>于向丽</t>
  </si>
  <si>
    <t>2005-21-P-02529-U</t>
  </si>
  <si>
    <t>132321197110146539</t>
  </si>
  <si>
    <t>13641099169、82012262、62363691</t>
  </si>
  <si>
    <t>阳光南里</t>
  </si>
  <si>
    <t>24号楼</t>
  </si>
  <si>
    <t>六层604号</t>
  </si>
  <si>
    <t>张彤梅</t>
  </si>
  <si>
    <t>2005-21-P-02558-U</t>
  </si>
  <si>
    <t>崔淑萍</t>
  </si>
  <si>
    <t>110108195806206329</t>
  </si>
  <si>
    <t>13141170412</t>
  </si>
  <si>
    <t>七贤村</t>
  </si>
  <si>
    <t>一室一卫一厨</t>
  </si>
  <si>
    <t>2005-3-1D1-284CJD</t>
  </si>
  <si>
    <t>张允亮</t>
  </si>
  <si>
    <t>2005-21-P-02585-U</t>
  </si>
  <si>
    <t>张晓春</t>
  </si>
  <si>
    <t>320122196811134439</t>
  </si>
  <si>
    <t>13681448699</t>
  </si>
  <si>
    <t>望山园</t>
  </si>
  <si>
    <t>0408号</t>
  </si>
  <si>
    <t>乔锡涛</t>
  </si>
  <si>
    <t>2005-3-1D1-288CD</t>
  </si>
  <si>
    <t>、</t>
  </si>
  <si>
    <t>2005-21-P-02686-U</t>
  </si>
  <si>
    <t>王丰</t>
  </si>
  <si>
    <t>110105197801201115</t>
  </si>
  <si>
    <t>13366259688、66112437、66510099-619、62026525、66742318</t>
  </si>
  <si>
    <t>四层404号</t>
  </si>
  <si>
    <t>杜春泉</t>
  </si>
  <si>
    <t>2005-3-1D1-301CJD</t>
  </si>
  <si>
    <t>2005-21-P-02739-U</t>
  </si>
  <si>
    <t>李丹</t>
  </si>
  <si>
    <t>130102197706050640</t>
  </si>
  <si>
    <t>13811271276、13651170912</t>
  </si>
  <si>
    <t>花园路3号院</t>
  </si>
  <si>
    <t>1608</t>
  </si>
  <si>
    <t>2005-3-1D1-308CD</t>
  </si>
  <si>
    <t>龚秀华</t>
  </si>
  <si>
    <t>2005-21-P-02804-U</t>
  </si>
  <si>
    <t>陈琳</t>
  </si>
  <si>
    <t>350211197605060025</t>
  </si>
  <si>
    <t>会城门</t>
  </si>
  <si>
    <t>4门502</t>
  </si>
  <si>
    <t>范永刚</t>
  </si>
  <si>
    <t>张兴华</t>
  </si>
  <si>
    <t>2005-21-P-02843-U</t>
  </si>
  <si>
    <t>李立斌</t>
  </si>
  <si>
    <t>210111780418151</t>
  </si>
  <si>
    <t xml:space="preserve">海淀区 </t>
  </si>
  <si>
    <t>西外太平庄</t>
  </si>
  <si>
    <t>231号</t>
  </si>
  <si>
    <t>黄跃平</t>
  </si>
  <si>
    <t>2005-21-P-02844-U</t>
  </si>
  <si>
    <t>金旭光</t>
  </si>
  <si>
    <t>140302197901191011</t>
  </si>
  <si>
    <t>马连洼菊园</t>
  </si>
  <si>
    <t>贾树明</t>
  </si>
  <si>
    <t>2005-21-P-02871-U</t>
  </si>
  <si>
    <t>田志华</t>
  </si>
  <si>
    <t>51113219721130002X</t>
  </si>
  <si>
    <t>13681041779</t>
  </si>
  <si>
    <t>车道沟南里</t>
  </si>
  <si>
    <t>2005-3-1D1-327CJD</t>
  </si>
  <si>
    <t>汪海鹰</t>
  </si>
  <si>
    <t>2005-21-P-02873-U</t>
  </si>
  <si>
    <t>张卓</t>
  </si>
  <si>
    <t>140102197812222356</t>
  </si>
  <si>
    <t>双榆树东里</t>
  </si>
  <si>
    <t>22号楼</t>
  </si>
  <si>
    <t>315号</t>
  </si>
  <si>
    <t>王连敏</t>
  </si>
  <si>
    <t>2005-21-P-02900-U</t>
  </si>
  <si>
    <t>程玉梅</t>
  </si>
  <si>
    <t>372523197609050040</t>
  </si>
  <si>
    <t>81254996、88416487、89199343</t>
  </si>
  <si>
    <t>北洼路七贤村</t>
  </si>
  <si>
    <t>鲁燕</t>
  </si>
  <si>
    <t>2005-21-P-03027-U</t>
  </si>
  <si>
    <t>阿日娜</t>
  </si>
  <si>
    <t>110105197901114166</t>
  </si>
  <si>
    <t>小南庄怡秀园</t>
  </si>
  <si>
    <t>1707号</t>
  </si>
  <si>
    <t>张莉</t>
  </si>
  <si>
    <t>2005-21-P-03045-U</t>
  </si>
  <si>
    <t>崔庆</t>
  </si>
  <si>
    <t>130602197710182117</t>
  </si>
  <si>
    <t>13311383617、51722861、82716077</t>
  </si>
  <si>
    <t>102号</t>
  </si>
  <si>
    <t>1</t>
  </si>
  <si>
    <t>2005-3-1D1-00357CD</t>
  </si>
  <si>
    <t>胡光庆</t>
  </si>
  <si>
    <t>2005-21-P-03071-U</t>
  </si>
  <si>
    <t>姚远</t>
  </si>
  <si>
    <t>110108197501166310</t>
  </si>
  <si>
    <t>13911084308、62389100</t>
  </si>
  <si>
    <t>42号楼</t>
  </si>
  <si>
    <t>2门303号</t>
  </si>
  <si>
    <t>2005-3-1D1-360CJD</t>
  </si>
  <si>
    <t>梁润和</t>
  </si>
  <si>
    <t>2005-21-P-03136-U</t>
  </si>
  <si>
    <t>申璐因</t>
  </si>
  <si>
    <t>132623680725002</t>
  </si>
  <si>
    <t>13811751472</t>
  </si>
  <si>
    <t>八里庄街道定慧寺东里</t>
  </si>
  <si>
    <t>7层705号</t>
  </si>
  <si>
    <t>2005-3-1D1-00364CJD</t>
  </si>
  <si>
    <t>徐静</t>
  </si>
  <si>
    <t>2005-21-P-03167-U</t>
  </si>
  <si>
    <t>齐丽娟</t>
  </si>
  <si>
    <t>132436196409100389</t>
  </si>
  <si>
    <t>玉海园三里</t>
  </si>
  <si>
    <t>2单元207号</t>
  </si>
  <si>
    <t>姜红曦</t>
  </si>
  <si>
    <t>赵亚群</t>
  </si>
  <si>
    <t>初审</t>
  </si>
  <si>
    <t>2005-21-P-03209-U</t>
  </si>
  <si>
    <t>付立</t>
  </si>
  <si>
    <t>110108197304230045</t>
  </si>
  <si>
    <t>13520211153、88125722-8101</t>
  </si>
  <si>
    <t>八里庄街道田村路12号</t>
  </si>
  <si>
    <t>14单元</t>
  </si>
  <si>
    <t>8号</t>
  </si>
  <si>
    <t>程志强</t>
  </si>
  <si>
    <t>2005-21-P-03235-U</t>
  </si>
  <si>
    <t>刘海鹰</t>
  </si>
  <si>
    <t>110111731221082</t>
  </si>
  <si>
    <t>天秀花园荷塘月舍</t>
  </si>
  <si>
    <t>李玉平</t>
  </si>
  <si>
    <t>2005-21-P-03299-U</t>
  </si>
  <si>
    <t>陈志华</t>
  </si>
  <si>
    <t>110105196712065460</t>
  </si>
  <si>
    <t>三才堂水清木华园</t>
  </si>
  <si>
    <t>509号</t>
  </si>
  <si>
    <t>邓外杨</t>
  </si>
  <si>
    <t>2005-21-P-03346-U</t>
  </si>
  <si>
    <t>焦会贤</t>
  </si>
  <si>
    <t>110108691229072</t>
  </si>
  <si>
    <t>双榆树北路</t>
  </si>
  <si>
    <t>甲10号</t>
  </si>
  <si>
    <t>徐振东</t>
  </si>
  <si>
    <t>2005-21-P-03373-U</t>
  </si>
  <si>
    <t>陈之平、王茗</t>
  </si>
  <si>
    <t>330102197902160334、350103198109223146</t>
  </si>
  <si>
    <t>13910533265、68402445</t>
  </si>
  <si>
    <t>13门</t>
  </si>
  <si>
    <t>1352号</t>
  </si>
  <si>
    <t>耿勇</t>
  </si>
  <si>
    <t>2005-21-P-03383-U</t>
  </si>
  <si>
    <t>马镇海</t>
  </si>
  <si>
    <t>11010819650409221X</t>
  </si>
  <si>
    <t>塔院消夏园</t>
  </si>
  <si>
    <t>503号</t>
  </si>
  <si>
    <t>董宝强</t>
  </si>
  <si>
    <t>2005-21-P-03384-U</t>
  </si>
  <si>
    <t>吴亚斌</t>
  </si>
  <si>
    <t>110108197010206031</t>
  </si>
  <si>
    <t>13661317010</t>
  </si>
  <si>
    <t>大柳树甲17号</t>
  </si>
  <si>
    <t>3门333号</t>
  </si>
  <si>
    <t>周锡华</t>
  </si>
  <si>
    <t>2005-21-P-03504-U</t>
  </si>
  <si>
    <t>张淼</t>
  </si>
  <si>
    <t>220702197503143622</t>
  </si>
  <si>
    <t>四道口路5号院</t>
  </si>
  <si>
    <t>7层702号</t>
  </si>
  <si>
    <t>王建中</t>
  </si>
  <si>
    <t>2005-3-1D1-00426CJD</t>
  </si>
  <si>
    <t>2005-21-P-03506-U</t>
  </si>
  <si>
    <t>李承秀</t>
  </si>
  <si>
    <t>110108197203170442</t>
  </si>
  <si>
    <t>13001299869、82531196</t>
  </si>
  <si>
    <t>上地东里五区</t>
  </si>
  <si>
    <t>王臺祥</t>
  </si>
  <si>
    <t>2005-21-P-03536-U</t>
  </si>
  <si>
    <t>杨先润</t>
  </si>
  <si>
    <t>520102197805261630</t>
  </si>
  <si>
    <t>0902号</t>
  </si>
  <si>
    <t>贺淑清</t>
  </si>
  <si>
    <t>杨淑清</t>
  </si>
  <si>
    <t>2005-21-P-03538-U</t>
  </si>
  <si>
    <t>胡京轩</t>
  </si>
  <si>
    <t>110108196210045717</t>
  </si>
  <si>
    <t>厂洼小区</t>
  </si>
  <si>
    <t>13号楼</t>
  </si>
  <si>
    <t>1903号</t>
  </si>
  <si>
    <t>朱宁</t>
  </si>
  <si>
    <t>2005-21-P-03539-U</t>
  </si>
  <si>
    <t>崔永华</t>
  </si>
  <si>
    <t>370829741013351</t>
  </si>
  <si>
    <t>13693204966</t>
  </si>
  <si>
    <t>志强园</t>
  </si>
  <si>
    <r>
      <rPr>
        <sz val="10"/>
        <color indexed="8"/>
        <rFont val="宋体"/>
        <charset val="134"/>
      </rPr>
      <t>4</t>
    </r>
    <r>
      <rPr>
        <sz val="10"/>
        <rFont val="宋体"/>
        <charset val="134"/>
      </rPr>
      <t>号楼</t>
    </r>
  </si>
  <si>
    <r>
      <rPr>
        <sz val="10"/>
        <color indexed="8"/>
        <rFont val="宋体"/>
        <charset val="134"/>
      </rPr>
      <t>312</t>
    </r>
    <r>
      <rPr>
        <sz val="10"/>
        <rFont val="宋体"/>
        <charset val="134"/>
      </rPr>
      <t>号</t>
    </r>
  </si>
  <si>
    <t>王宝华</t>
  </si>
  <si>
    <t>2005-21-P-03593-U</t>
  </si>
  <si>
    <t>万博</t>
  </si>
  <si>
    <t>211282197901291229</t>
  </si>
  <si>
    <t>1612号</t>
  </si>
  <si>
    <t>王青</t>
  </si>
  <si>
    <t>2005-3-1D1-434CJD</t>
  </si>
  <si>
    <t>2005-21-P-19098-U</t>
  </si>
  <si>
    <t>秦胜</t>
  </si>
  <si>
    <t>140427197407016413</t>
  </si>
  <si>
    <t>13161959918</t>
  </si>
  <si>
    <t>联慧路101号院</t>
  </si>
  <si>
    <t>C座</t>
  </si>
  <si>
    <t>2138号</t>
  </si>
  <si>
    <t>李晓岩</t>
  </si>
  <si>
    <t>胡定核</t>
  </si>
  <si>
    <t>吴铭</t>
  </si>
  <si>
    <t>2005-22-P-00560-U</t>
  </si>
  <si>
    <t>王亚培</t>
  </si>
  <si>
    <t>11010819490919635X</t>
  </si>
  <si>
    <t>62221648</t>
  </si>
  <si>
    <t>学院南路安装公司宿舍</t>
  </si>
  <si>
    <t>3层4号</t>
  </si>
  <si>
    <t>郭瑞麟</t>
  </si>
  <si>
    <t xml:space="preserve">正常 </t>
  </si>
  <si>
    <t>2005-22-P-01327-U</t>
  </si>
  <si>
    <t>柴淑卿</t>
  </si>
  <si>
    <t>11010119670510151X</t>
  </si>
  <si>
    <t>宝盛里</t>
  </si>
  <si>
    <t>20号楼</t>
  </si>
  <si>
    <t>4层402</t>
  </si>
  <si>
    <t>林秀兰</t>
  </si>
  <si>
    <t>2005-22-P-01438-U</t>
  </si>
  <si>
    <t>华泽加</t>
  </si>
  <si>
    <t>630103197902191218</t>
  </si>
  <si>
    <t>远大园六区</t>
  </si>
  <si>
    <t>5E号</t>
  </si>
  <si>
    <t>杨国英</t>
  </si>
  <si>
    <t>2005-22-P-01864-U</t>
  </si>
  <si>
    <t>穆兆勇</t>
  </si>
  <si>
    <t>370823700721111</t>
  </si>
  <si>
    <t>西三旗育新花园小区</t>
  </si>
  <si>
    <t>北京住房公积金管理中心中共中央直属机关分中心</t>
  </si>
  <si>
    <t>变更</t>
  </si>
  <si>
    <t>梁静</t>
  </si>
  <si>
    <t>邻居交易</t>
  </si>
  <si>
    <t>2005-22-P-02589-U</t>
  </si>
  <si>
    <t>刘昭度、刘伯年</t>
  </si>
  <si>
    <t>340103194910153016、110108198011105771</t>
  </si>
  <si>
    <t>106号</t>
  </si>
  <si>
    <t>该套房地下为物业食堂；墙外有地下室换风出口有一定噪音影响</t>
  </si>
  <si>
    <t>张平、白一</t>
  </si>
  <si>
    <t>双方为同事</t>
  </si>
  <si>
    <t>2005-22-P-02801-U</t>
  </si>
  <si>
    <t>牛红梅</t>
  </si>
  <si>
    <t>110105630425214</t>
  </si>
  <si>
    <t>68945721</t>
  </si>
  <si>
    <t>刘立丽、郭善琴</t>
  </si>
  <si>
    <t>2005-22-P-02815-U</t>
  </si>
  <si>
    <t>庚力</t>
  </si>
  <si>
    <t>110104670303201</t>
  </si>
  <si>
    <t>13901063716</t>
  </si>
  <si>
    <t>金庄一号院</t>
  </si>
  <si>
    <t>单位内部调剂房，有工龄折扣</t>
  </si>
  <si>
    <t>2005-22-P-02887-U</t>
  </si>
  <si>
    <t>王秋英</t>
  </si>
  <si>
    <t>211402196901021485</t>
  </si>
  <si>
    <t>13691083859</t>
  </si>
  <si>
    <t>万泉庄小区</t>
  </si>
  <si>
    <t>209号</t>
  </si>
  <si>
    <t>系数1.333</t>
  </si>
  <si>
    <t>张利</t>
  </si>
  <si>
    <t>不含装修税金</t>
  </si>
  <si>
    <t>2005-22-P-03158-U</t>
  </si>
  <si>
    <t>李云文</t>
  </si>
  <si>
    <t>510215700315049</t>
  </si>
  <si>
    <t>13621384671</t>
  </si>
  <si>
    <t>芙蓉里</t>
  </si>
  <si>
    <t>刘绍韬</t>
  </si>
  <si>
    <t>2005-3-D1-00125</t>
  </si>
  <si>
    <t>2005-22-P-03248-U</t>
  </si>
  <si>
    <t>刘丽霞</t>
  </si>
  <si>
    <t>110108700619002</t>
  </si>
  <si>
    <t>13718030511</t>
  </si>
  <si>
    <r>
      <rPr>
        <sz val="10"/>
        <rFont val="宋体"/>
        <charset val="134"/>
      </rPr>
      <t>小南庄</t>
    </r>
    <r>
      <rPr>
        <sz val="10"/>
        <color indexed="8"/>
        <rFont val="宋体"/>
        <charset val="134"/>
      </rPr>
      <t>34号楼</t>
    </r>
  </si>
  <si>
    <r>
      <rPr>
        <sz val="10"/>
        <rFont val="宋体"/>
        <charset val="134"/>
      </rPr>
      <t>342</t>
    </r>
    <r>
      <rPr>
        <sz val="10"/>
        <color indexed="8"/>
        <rFont val="宋体"/>
        <charset val="134"/>
      </rPr>
      <t>号</t>
    </r>
  </si>
  <si>
    <t>王玉花</t>
  </si>
  <si>
    <t>2005-22-P-03458-U</t>
  </si>
  <si>
    <t>沈洁</t>
  </si>
  <si>
    <t>610202197903010023</t>
  </si>
  <si>
    <t>13811800263</t>
  </si>
  <si>
    <t>马连洼兰园</t>
  </si>
  <si>
    <t>张允京</t>
  </si>
  <si>
    <t>2005-3-D1-00143</t>
  </si>
  <si>
    <t>2005-22-P-03753-U</t>
  </si>
  <si>
    <t>侯东梅</t>
  </si>
  <si>
    <t>110108196805246024</t>
  </si>
  <si>
    <t>13501322611</t>
  </si>
  <si>
    <t>志强园27号楼（楼牌号为志强北园27号楼）</t>
  </si>
  <si>
    <t>602</t>
  </si>
  <si>
    <t>马静静</t>
  </si>
  <si>
    <t>2005-22-P-04083-U</t>
  </si>
  <si>
    <t>郭强</t>
  </si>
  <si>
    <t>110108197401297612</t>
  </si>
  <si>
    <t>上庄乡上庄村南西郊农场家属院</t>
  </si>
  <si>
    <t>刘国忠</t>
  </si>
  <si>
    <t>2005-22-P-04254-U</t>
  </si>
  <si>
    <t>赵辉</t>
  </si>
  <si>
    <t>110104196810264520</t>
  </si>
  <si>
    <t>13520706566</t>
  </si>
  <si>
    <t>民族大学西路66号院</t>
  </si>
  <si>
    <t>三层3B08号</t>
  </si>
  <si>
    <t>杨霞</t>
  </si>
  <si>
    <t>双方为朋友，价格低</t>
  </si>
  <si>
    <t>2005-22-P-04561-U</t>
  </si>
  <si>
    <t>李淑梅</t>
  </si>
  <si>
    <t>110111197201100326</t>
  </si>
  <si>
    <t>13121909686</t>
  </si>
  <si>
    <t>车公庄西路35号三区6号楼</t>
  </si>
  <si>
    <t>407号</t>
  </si>
  <si>
    <t>白秀卿</t>
  </si>
  <si>
    <t>2005-22-P-04641-U</t>
  </si>
  <si>
    <t>李艳</t>
  </si>
  <si>
    <t>431002198009260061</t>
  </si>
  <si>
    <t>13693389706</t>
  </si>
  <si>
    <t>25门</t>
  </si>
  <si>
    <t>单位购买，分给职工</t>
  </si>
  <si>
    <t>2005-22-P-04809-U</t>
  </si>
  <si>
    <t>郗卫华</t>
  </si>
  <si>
    <t>11010519730930872X</t>
  </si>
  <si>
    <t>13910768065</t>
  </si>
  <si>
    <t>1705号</t>
  </si>
  <si>
    <t>郝卫华</t>
  </si>
  <si>
    <t>略低，双方为朋友</t>
  </si>
  <si>
    <t>2005-22-P-04879-U</t>
  </si>
  <si>
    <t>韩尚华</t>
  </si>
  <si>
    <t>372328197101141559</t>
  </si>
  <si>
    <t>13683651981</t>
  </si>
  <si>
    <t>曙光花园小区望山园</t>
  </si>
  <si>
    <t>1507号</t>
  </si>
  <si>
    <t>张立</t>
  </si>
  <si>
    <t>正常（由于明年房主才能腾房，交易时价格略低）</t>
  </si>
  <si>
    <t>含公共维修基金13324</t>
  </si>
  <si>
    <t>2005-22-P-05023-U</t>
  </si>
  <si>
    <t>姜玉珍</t>
  </si>
  <si>
    <t>372927197102170024</t>
  </si>
  <si>
    <t>51685843</t>
  </si>
  <si>
    <t>2005-22-P-05560-U</t>
  </si>
  <si>
    <t>静恩基</t>
  </si>
  <si>
    <t>150402730129031</t>
  </si>
  <si>
    <t>13901141207</t>
  </si>
  <si>
    <t>二层2B07号</t>
  </si>
  <si>
    <t>单位卖给本单位职工价低</t>
  </si>
  <si>
    <t>北京经济发展投资公司</t>
  </si>
  <si>
    <t>单位卖给本单位职工，价低</t>
  </si>
  <si>
    <t>2005-22-P-05586-U</t>
  </si>
  <si>
    <t>盛武容</t>
  </si>
  <si>
    <t>110225196406140339</t>
  </si>
  <si>
    <t>13641212646</t>
  </si>
  <si>
    <t>远大园四区</t>
  </si>
  <si>
    <t>708号</t>
  </si>
  <si>
    <t>刘晓林</t>
  </si>
  <si>
    <t>实际成交价为62万，内含7万车位钱；该栋楼为原开发商交给土地方的还建楼，2栋单独围合，物业、绿化都不同</t>
  </si>
  <si>
    <t>邹晓明</t>
  </si>
  <si>
    <t>2005-3-D1-00215</t>
  </si>
  <si>
    <t>含车位7万、空调等家电</t>
  </si>
  <si>
    <t>2005-22-P-05630-U</t>
  </si>
  <si>
    <t>320105197303241412</t>
  </si>
  <si>
    <t>天秀花园安和园</t>
  </si>
  <si>
    <t>汤毅义</t>
  </si>
  <si>
    <t>2005-3-D1-00217</t>
  </si>
  <si>
    <t>不含税费、含装修、家具</t>
  </si>
  <si>
    <t>2005-22-P-05772-U</t>
  </si>
  <si>
    <t>张铂</t>
  </si>
  <si>
    <t>110108197612216018</t>
  </si>
  <si>
    <t>2005-3-D1-00219</t>
  </si>
  <si>
    <t>汪守玉</t>
  </si>
  <si>
    <t>2005-22-P-06000-U</t>
  </si>
  <si>
    <t>李俊英</t>
  </si>
  <si>
    <t>110103196806201520</t>
  </si>
  <si>
    <t>13641058813</t>
  </si>
  <si>
    <t>蓝靛厂翠叠园</t>
  </si>
  <si>
    <t>02层3单元</t>
  </si>
  <si>
    <t>2E号</t>
  </si>
  <si>
    <t>周琰</t>
  </si>
  <si>
    <t>2005-22-P-06061-U</t>
  </si>
  <si>
    <t>温新民、左金风</t>
  </si>
  <si>
    <r>
      <rPr>
        <sz val="10"/>
        <rFont val="宋体"/>
        <charset val="134"/>
      </rPr>
      <t>652801196604012214</t>
    </r>
    <r>
      <rPr>
        <sz val="10"/>
        <color indexed="8"/>
        <rFont val="宋体"/>
        <charset val="134"/>
      </rPr>
      <t>、610113197102171621</t>
    </r>
  </si>
  <si>
    <t>68323881</t>
  </si>
  <si>
    <t>魏公村小区</t>
  </si>
  <si>
    <r>
      <rPr>
        <sz val="10"/>
        <rFont val="宋体"/>
        <charset val="134"/>
      </rPr>
      <t>17</t>
    </r>
    <r>
      <rPr>
        <sz val="10"/>
        <color indexed="8"/>
        <rFont val="宋体"/>
        <charset val="134"/>
      </rPr>
      <t>号楼</t>
    </r>
  </si>
  <si>
    <r>
      <rPr>
        <sz val="10"/>
        <rFont val="宋体"/>
        <charset val="134"/>
      </rPr>
      <t>5</t>
    </r>
    <r>
      <rPr>
        <sz val="10"/>
        <color indexed="8"/>
        <rFont val="宋体"/>
        <charset val="134"/>
      </rPr>
      <t>门</t>
    </r>
  </si>
  <si>
    <r>
      <rPr>
        <sz val="10"/>
        <rFont val="宋体"/>
        <charset val="134"/>
      </rPr>
      <t>2</t>
    </r>
    <r>
      <rPr>
        <sz val="10"/>
        <color indexed="8"/>
        <rFont val="宋体"/>
        <charset val="134"/>
      </rPr>
      <t>层5号</t>
    </r>
  </si>
  <si>
    <t>马星明</t>
  </si>
  <si>
    <t>2005-22-P-06391-U</t>
  </si>
  <si>
    <t>江新</t>
  </si>
  <si>
    <t>360102670423584</t>
  </si>
  <si>
    <t>清华东路27号院..</t>
  </si>
  <si>
    <t>6层602号</t>
  </si>
  <si>
    <t>北京市长地房地产开发有限责任公司</t>
  </si>
  <si>
    <t>2005-22-P-06800-U</t>
  </si>
  <si>
    <t>张志强</t>
  </si>
  <si>
    <t>武警学员017169</t>
  </si>
  <si>
    <t>永泰东里怡清园</t>
  </si>
  <si>
    <t>12单元</t>
  </si>
  <si>
    <t>马骏</t>
  </si>
  <si>
    <t>预售</t>
  </si>
  <si>
    <t>2005-22-P-07071-U</t>
  </si>
  <si>
    <t>王朝阳</t>
  </si>
  <si>
    <t>370221197701015814</t>
  </si>
  <si>
    <t>曙光花园望河园</t>
  </si>
  <si>
    <t>8单元</t>
  </si>
  <si>
    <t>程兰</t>
  </si>
  <si>
    <t>邹哓鸣</t>
  </si>
  <si>
    <t>刘梅</t>
  </si>
  <si>
    <t>2005-22-P-07205-U</t>
  </si>
  <si>
    <t>杨京春</t>
  </si>
  <si>
    <t>110101197304113522</t>
  </si>
  <si>
    <t>13611338000</t>
  </si>
  <si>
    <t>花园北路20号牡丹园北里</t>
  </si>
  <si>
    <t>801号</t>
  </si>
  <si>
    <t>2005-3-D1-00259</t>
  </si>
  <si>
    <t>张治宇</t>
  </si>
  <si>
    <t>2005-22-P-07256-U</t>
  </si>
  <si>
    <t>陈静、刘劲松</t>
  </si>
  <si>
    <t>110108197701090023、110108196908207212</t>
  </si>
  <si>
    <t>13911555416</t>
  </si>
  <si>
    <t>白石桥路46号</t>
  </si>
  <si>
    <t>南区11号楼</t>
  </si>
  <si>
    <t>212号</t>
  </si>
  <si>
    <t>张鸣</t>
  </si>
  <si>
    <t>2005-22-P-07817-U</t>
  </si>
  <si>
    <t>郝志宏</t>
  </si>
  <si>
    <t>142222197212040316</t>
  </si>
  <si>
    <t>13910138066</t>
  </si>
  <si>
    <t>知春路17号院</t>
  </si>
  <si>
    <t>4幢</t>
  </si>
  <si>
    <t>1102号</t>
  </si>
  <si>
    <t>王学述</t>
  </si>
  <si>
    <t>2005-22-P-08068-U</t>
  </si>
  <si>
    <t>狄艳丽</t>
  </si>
  <si>
    <t>110224197305091425</t>
  </si>
  <si>
    <t>13701257545</t>
  </si>
  <si>
    <t>上地东里一区</t>
  </si>
  <si>
    <t>王春辉</t>
  </si>
  <si>
    <t>双方为同事、价低</t>
  </si>
  <si>
    <t>2005-22-P-08069-U</t>
  </si>
  <si>
    <t>刘伟</t>
  </si>
  <si>
    <t>371326197611100024</t>
  </si>
  <si>
    <t>13693186825</t>
  </si>
  <si>
    <t>上地佳园</t>
  </si>
  <si>
    <t>郭春辉</t>
  </si>
  <si>
    <t>2005-22-P-08286-U</t>
  </si>
  <si>
    <t>袁江帆</t>
  </si>
  <si>
    <t>420104197609261624</t>
  </si>
  <si>
    <r>
      <rPr>
        <sz val="10"/>
        <rFont val="宋体"/>
        <charset val="134"/>
      </rPr>
      <t>志强园</t>
    </r>
    <r>
      <rPr>
        <sz val="10"/>
        <color indexed="8"/>
        <rFont val="宋体"/>
        <charset val="134"/>
      </rPr>
      <t>26号楼（楼牌号为志强北园26号楼）</t>
    </r>
  </si>
  <si>
    <t>王苏宏</t>
  </si>
  <si>
    <t>2005-22-P-08324-U</t>
  </si>
  <si>
    <t>王征</t>
  </si>
  <si>
    <t>110108810212541</t>
  </si>
  <si>
    <t>13701159444</t>
  </si>
  <si>
    <t>紫竹院南路2号</t>
  </si>
  <si>
    <t>巩卫星</t>
  </si>
  <si>
    <t>2005-3-D1-00303</t>
  </si>
  <si>
    <t>2005-22-P-08374-U</t>
  </si>
  <si>
    <t>李东辉</t>
  </si>
  <si>
    <t>110108197303193713</t>
  </si>
  <si>
    <t>13611359967、88448900</t>
  </si>
  <si>
    <t>永定路1号</t>
  </si>
  <si>
    <t xml:space="preserve">3号楼 </t>
  </si>
  <si>
    <t>15号</t>
  </si>
  <si>
    <t>2005-22-P-08417-U</t>
  </si>
  <si>
    <t>李明慧</t>
  </si>
  <si>
    <t>230183197505221652</t>
  </si>
  <si>
    <t>13611339907</t>
  </si>
  <si>
    <t>605号</t>
  </si>
  <si>
    <t>马永红</t>
  </si>
  <si>
    <t>2005-22-P-08453-U</t>
  </si>
  <si>
    <t>王为华</t>
  </si>
  <si>
    <t>11010519691128771X</t>
  </si>
  <si>
    <t>张伍堂</t>
  </si>
  <si>
    <t>2005-22-P-08647-U</t>
  </si>
  <si>
    <t>吕刚</t>
  </si>
  <si>
    <t>630104761220201</t>
  </si>
  <si>
    <t>13521440810</t>
  </si>
  <si>
    <t>北洼西里22号中海雅园</t>
  </si>
  <si>
    <t>中7号楼</t>
  </si>
  <si>
    <t>6层</t>
  </si>
  <si>
    <t>701号</t>
  </si>
  <si>
    <t>2005-22-P-08707-U</t>
  </si>
  <si>
    <t>王界峰</t>
  </si>
  <si>
    <t>110101196508264010</t>
  </si>
  <si>
    <t>十一层</t>
  </si>
  <si>
    <t>1114号</t>
  </si>
  <si>
    <t>2005-3-D1-0031</t>
  </si>
  <si>
    <t>张勇</t>
  </si>
  <si>
    <t>2005-22-P-09048-U</t>
  </si>
  <si>
    <t>高健</t>
  </si>
  <si>
    <t>110108711216636</t>
  </si>
  <si>
    <r>
      <rPr>
        <sz val="10"/>
        <rFont val="宋体"/>
        <charset val="134"/>
      </rPr>
      <t>407</t>
    </r>
    <r>
      <rPr>
        <sz val="10"/>
        <color indexed="8"/>
        <rFont val="宋体"/>
        <charset val="134"/>
      </rPr>
      <t>号</t>
    </r>
  </si>
  <si>
    <t>2005-3-D1-00328</t>
  </si>
  <si>
    <t>吕又年</t>
  </si>
  <si>
    <t>2005-22-P-09411-U</t>
  </si>
  <si>
    <t>张佤</t>
  </si>
  <si>
    <t>110102671014192</t>
  </si>
  <si>
    <r>
      <rPr>
        <sz val="10"/>
        <rFont val="宋体"/>
        <charset val="134"/>
      </rPr>
      <t>142</t>
    </r>
    <r>
      <rPr>
        <sz val="10"/>
        <color indexed="8"/>
        <rFont val="宋体"/>
        <charset val="134"/>
      </rPr>
      <t>号</t>
    </r>
  </si>
  <si>
    <t>高世驯</t>
  </si>
  <si>
    <t>2005-22-P-09428-U</t>
  </si>
  <si>
    <t>刘向红</t>
  </si>
  <si>
    <t>130203196204072425</t>
  </si>
  <si>
    <t>13641360621</t>
  </si>
  <si>
    <t>车公庄西路38号院</t>
  </si>
  <si>
    <t>12号</t>
  </si>
  <si>
    <t>2005-3-D1CJ-00345</t>
  </si>
  <si>
    <t>李瑞铭</t>
  </si>
  <si>
    <t>2005-22-P-09602-U</t>
  </si>
  <si>
    <t>傅连舟</t>
  </si>
  <si>
    <t>110108640410681</t>
  </si>
  <si>
    <t>13911462022</t>
  </si>
  <si>
    <t>北京汇众实业总公司</t>
  </si>
  <si>
    <t>2005-3-D1-00348</t>
  </si>
  <si>
    <t>2005-22-P-09931-U</t>
  </si>
  <si>
    <t>靳宏伟</t>
  </si>
  <si>
    <t>220181197610110212</t>
  </si>
  <si>
    <t>13911792479</t>
  </si>
  <si>
    <t>北三环西路</t>
  </si>
  <si>
    <t>唐晓云</t>
  </si>
  <si>
    <t>2005-22-P-10147-U</t>
  </si>
  <si>
    <t>施美珍、黄志良</t>
  </si>
  <si>
    <t>330722196710127947、410305196810155357</t>
  </si>
  <si>
    <t>13693058444</t>
  </si>
  <si>
    <t>西三环北路厂洼街1号院</t>
  </si>
  <si>
    <t>13号</t>
  </si>
  <si>
    <t>薛漫风</t>
  </si>
  <si>
    <t>2005-22-P-10149-U</t>
  </si>
  <si>
    <t>程钢</t>
  </si>
  <si>
    <t>110102197311013032</t>
  </si>
  <si>
    <r>
      <rPr>
        <sz val="10"/>
        <rFont val="宋体"/>
        <charset val="134"/>
      </rPr>
      <t>马甸西村路</t>
    </r>
    <r>
      <rPr>
        <sz val="10"/>
        <color indexed="8"/>
        <rFont val="宋体"/>
        <charset val="134"/>
      </rPr>
      <t>7号</t>
    </r>
  </si>
  <si>
    <r>
      <rPr>
        <sz val="10"/>
        <rFont val="宋体"/>
        <charset val="134"/>
      </rPr>
      <t>3</t>
    </r>
    <r>
      <rPr>
        <sz val="10"/>
        <color indexed="8"/>
        <rFont val="宋体"/>
        <charset val="134"/>
      </rPr>
      <t>号楼</t>
    </r>
  </si>
  <si>
    <r>
      <rPr>
        <sz val="10"/>
        <rFont val="宋体"/>
        <charset val="134"/>
      </rPr>
      <t>9</t>
    </r>
    <r>
      <rPr>
        <sz val="10"/>
        <color indexed="8"/>
        <rFont val="宋体"/>
        <charset val="134"/>
      </rPr>
      <t>号</t>
    </r>
  </si>
  <si>
    <t>欷燕玲</t>
  </si>
  <si>
    <t>2005-22-P-10245-U</t>
  </si>
  <si>
    <t>王丽华</t>
  </si>
  <si>
    <t>360403197208200349</t>
  </si>
  <si>
    <t>82335443、13911173680</t>
  </si>
  <si>
    <t>16层</t>
  </si>
  <si>
    <t>1607号</t>
  </si>
  <si>
    <t>2005-3-DCJ-00527</t>
  </si>
  <si>
    <t>易莉</t>
  </si>
  <si>
    <t>2005-22-P-10355-U</t>
  </si>
  <si>
    <t>郭芸蕊</t>
  </si>
  <si>
    <t>110102197704072340</t>
  </si>
  <si>
    <t>13810018115、13901283545</t>
  </si>
  <si>
    <t>新外大街21号</t>
  </si>
  <si>
    <t>505号</t>
  </si>
  <si>
    <t>赵红</t>
  </si>
  <si>
    <t>2005-22-P-10423-U</t>
  </si>
  <si>
    <t>彭豫群</t>
  </si>
  <si>
    <t>110105197401093821</t>
  </si>
  <si>
    <t>13651367551</t>
  </si>
  <si>
    <t>清华南路皂君西里</t>
  </si>
  <si>
    <t>11门</t>
  </si>
  <si>
    <t>鄂明根</t>
  </si>
  <si>
    <t>2005-22-P-10575-U</t>
  </si>
  <si>
    <t>施伟钢</t>
  </si>
  <si>
    <t>110221197804108317</t>
  </si>
  <si>
    <t>13051489480</t>
  </si>
  <si>
    <t>后白堆子</t>
  </si>
  <si>
    <t>一室一门厅一卫一厨</t>
  </si>
  <si>
    <t>2005-22-P-10630-U</t>
  </si>
  <si>
    <t>王伟</t>
  </si>
  <si>
    <t>220102196805163322</t>
  </si>
  <si>
    <t>普惠南里</t>
  </si>
  <si>
    <t>5门5层15号</t>
  </si>
  <si>
    <t>吴清安</t>
  </si>
  <si>
    <t>2005-22-P-10656-U</t>
  </si>
  <si>
    <t>王锋</t>
  </si>
  <si>
    <t>140431197511147610</t>
  </si>
  <si>
    <t>1门107号</t>
  </si>
  <si>
    <t>武京京</t>
  </si>
  <si>
    <t>2005-22-P-10679-U</t>
  </si>
  <si>
    <t>李志刚</t>
  </si>
  <si>
    <t>110226197508254717</t>
  </si>
  <si>
    <t>13341109727</t>
  </si>
  <si>
    <t>建清园小区</t>
  </si>
  <si>
    <t>5单元</t>
  </si>
  <si>
    <t>561号</t>
  </si>
  <si>
    <t>姚平生</t>
  </si>
  <si>
    <t>非正常（同事交易，价格偏低）</t>
  </si>
  <si>
    <t>2005-22-P-10686-U</t>
  </si>
  <si>
    <t>张艳霞</t>
  </si>
  <si>
    <t>110102720402008</t>
  </si>
  <si>
    <t>泉宗路10号</t>
  </si>
  <si>
    <t>1801号</t>
  </si>
  <si>
    <t>王旭</t>
  </si>
  <si>
    <t>含装修和家电费用</t>
  </si>
  <si>
    <t>2005-22-P-10735-U</t>
  </si>
  <si>
    <t>刘晓华</t>
  </si>
  <si>
    <t>110102640317042</t>
  </si>
  <si>
    <t>13691235111</t>
  </si>
  <si>
    <t>412号</t>
  </si>
  <si>
    <t>燕洁代李连革</t>
  </si>
  <si>
    <t>2005-22-P-10836-U</t>
  </si>
  <si>
    <t>史立伟</t>
  </si>
  <si>
    <t>610103731219361</t>
  </si>
  <si>
    <t>13601309739</t>
  </si>
  <si>
    <t>万寿路西街11号</t>
  </si>
  <si>
    <t>关闳</t>
  </si>
  <si>
    <t>2005-22-P-10879-U</t>
  </si>
  <si>
    <t>董林</t>
  </si>
  <si>
    <t>110224197502084048</t>
  </si>
  <si>
    <t>13621051175</t>
  </si>
  <si>
    <t>10号</t>
  </si>
  <si>
    <t>周远虹</t>
  </si>
  <si>
    <t>2005-22-P-10974-U</t>
  </si>
  <si>
    <t>刘平青</t>
  </si>
  <si>
    <t>422425197307221037</t>
  </si>
  <si>
    <t>13520607918</t>
  </si>
  <si>
    <t>四层401号</t>
  </si>
  <si>
    <t>006</t>
  </si>
  <si>
    <t>刘凤臣</t>
  </si>
  <si>
    <t>2005-22-P-11156-U</t>
  </si>
  <si>
    <t>桑斌修</t>
  </si>
  <si>
    <t>410224750217071</t>
  </si>
  <si>
    <t>13501136349</t>
  </si>
  <si>
    <t>29门</t>
  </si>
  <si>
    <t>王震</t>
  </si>
  <si>
    <t>2005-22-P-11209-U</t>
  </si>
  <si>
    <t>温嘉骏</t>
  </si>
  <si>
    <t>110104197806230816</t>
  </si>
  <si>
    <t>13691410623、62239422</t>
  </si>
  <si>
    <t>索家坟</t>
  </si>
  <si>
    <t>3层308号</t>
  </si>
  <si>
    <t>薛湘丽</t>
  </si>
  <si>
    <t>2005-22-P-11210-U</t>
  </si>
  <si>
    <t>李云龙</t>
  </si>
  <si>
    <t>110102197102223017</t>
  </si>
  <si>
    <t>塔3号楼</t>
  </si>
  <si>
    <t>7号</t>
  </si>
  <si>
    <t>刘晓伟</t>
  </si>
  <si>
    <t>2005-22-P-11221-U</t>
  </si>
  <si>
    <t>冯克文</t>
  </si>
  <si>
    <t>110105600902251</t>
  </si>
  <si>
    <t>13651030187</t>
  </si>
  <si>
    <t>大柳树5号</t>
  </si>
  <si>
    <t>毕彦勋</t>
  </si>
  <si>
    <t>2005-22-P-11269-U</t>
  </si>
  <si>
    <t>于洪强</t>
  </si>
  <si>
    <t>110108660202607</t>
  </si>
  <si>
    <t>13601297676</t>
  </si>
  <si>
    <t>五棵松路81号永金里</t>
  </si>
  <si>
    <t>7门</t>
  </si>
  <si>
    <t>李春红</t>
  </si>
  <si>
    <t>2005-22-P-11338-U</t>
  </si>
  <si>
    <t>董海宁、杨朝晖</t>
  </si>
  <si>
    <t>110108197108288522、110108197102263711</t>
  </si>
  <si>
    <t>13621044585</t>
  </si>
  <si>
    <t>双榆树北里</t>
  </si>
  <si>
    <t>2005-22-P-11339-U</t>
  </si>
  <si>
    <t>张何妨</t>
  </si>
  <si>
    <t>360312198002103725</t>
  </si>
  <si>
    <t>13717539686</t>
  </si>
  <si>
    <t>明光北里</t>
  </si>
  <si>
    <t>1508号</t>
  </si>
  <si>
    <t>2005-22-P-11685-U</t>
  </si>
  <si>
    <t>李雅勖</t>
  </si>
  <si>
    <t>110108197206256313</t>
  </si>
  <si>
    <t>13501132898</t>
  </si>
  <si>
    <t>王桂兰</t>
  </si>
  <si>
    <t>非正常（房产合并，交易价格偏高）</t>
  </si>
  <si>
    <t>2005-22-P-11686-U</t>
  </si>
  <si>
    <t>于燕君</t>
  </si>
  <si>
    <t>110225196607122823</t>
  </si>
  <si>
    <t>711号</t>
  </si>
  <si>
    <t>林云</t>
  </si>
  <si>
    <t>2005-22-P-11707-U</t>
  </si>
  <si>
    <t>万晓梅</t>
  </si>
  <si>
    <t>110229197004271328</t>
  </si>
  <si>
    <t>66139303</t>
  </si>
  <si>
    <t>三义庙新华服装厂大华衬衫厂宿舍</t>
  </si>
  <si>
    <t>5号楼（现三义庙北17号楼）</t>
  </si>
  <si>
    <t>韩锁</t>
  </si>
  <si>
    <t>2005-22-P-11717-U</t>
  </si>
  <si>
    <t>何宇</t>
  </si>
  <si>
    <t>430103197812074512</t>
  </si>
  <si>
    <t>孙雅琴</t>
  </si>
  <si>
    <t>含装修费（约2万）</t>
  </si>
  <si>
    <t>2005-22-P-11798-U</t>
  </si>
  <si>
    <t>张孝飞</t>
  </si>
  <si>
    <t>430225197004206533</t>
  </si>
  <si>
    <t>13520277489</t>
  </si>
  <si>
    <t>华建机器翻译有限公司</t>
  </si>
  <si>
    <t>单位卖职工，偏低</t>
  </si>
  <si>
    <t>2005-22-P-11926-U</t>
  </si>
  <si>
    <t>陈岩</t>
  </si>
  <si>
    <t>110102750728333</t>
  </si>
  <si>
    <t>68462877</t>
  </si>
  <si>
    <t>北洼路环保局宿舍</t>
  </si>
  <si>
    <t>刘心田</t>
  </si>
  <si>
    <t>无交易日期</t>
  </si>
  <si>
    <t>2005-22-P-12134-U</t>
  </si>
  <si>
    <t>穆悦</t>
  </si>
  <si>
    <t>110108690316226</t>
  </si>
  <si>
    <t>芙蓉里小区</t>
  </si>
  <si>
    <t>1门131号</t>
  </si>
  <si>
    <t>茅雀鸣</t>
  </si>
  <si>
    <t>2005-22-P-12160-U</t>
  </si>
  <si>
    <t>丁海燕</t>
  </si>
  <si>
    <t>110226770122004</t>
  </si>
  <si>
    <t>13391677121</t>
  </si>
  <si>
    <t>1601号</t>
  </si>
  <si>
    <t>张剑峰</t>
  </si>
  <si>
    <t>2005-22-P-12321-U</t>
  </si>
  <si>
    <t>唐海燕</t>
  </si>
  <si>
    <t>612325197512190022</t>
  </si>
  <si>
    <t>13691528245</t>
  </si>
  <si>
    <t>景王坟</t>
  </si>
  <si>
    <t>李锋</t>
  </si>
  <si>
    <t>2005-22-P-12561-U</t>
  </si>
  <si>
    <t>方芳</t>
  </si>
  <si>
    <t>432401197302284021</t>
  </si>
  <si>
    <t>13601075322</t>
  </si>
  <si>
    <t>三义庙北3号楼</t>
  </si>
  <si>
    <t>16号</t>
  </si>
  <si>
    <t>朱盛洪</t>
  </si>
  <si>
    <t>2005-22-P-12570-U</t>
  </si>
  <si>
    <t>陈岑</t>
  </si>
  <si>
    <t>511123197910030018</t>
  </si>
  <si>
    <t>四层402号</t>
  </si>
  <si>
    <t>张琪琨</t>
  </si>
  <si>
    <t>2005-22-P-12718-U</t>
  </si>
  <si>
    <t>冯雅碧</t>
  </si>
  <si>
    <t>140202197410053065</t>
  </si>
  <si>
    <t>808号</t>
  </si>
  <si>
    <t>8</t>
  </si>
  <si>
    <t>三室二厅二卫一厨(现改为二室二厅二卫一厨)</t>
  </si>
  <si>
    <t>赵伟丽</t>
  </si>
  <si>
    <t>2005-22-P-12784-U</t>
  </si>
  <si>
    <t>王志永</t>
  </si>
  <si>
    <t>110226197402184714</t>
  </si>
  <si>
    <t>半壁店</t>
  </si>
  <si>
    <t>甲1号院</t>
  </si>
  <si>
    <t>1-1-402号</t>
  </si>
  <si>
    <t>王国岳</t>
  </si>
  <si>
    <t>2005-22-P-12844-U</t>
  </si>
  <si>
    <t>杨晓奕</t>
  </si>
  <si>
    <t>330106196810100028</t>
  </si>
  <si>
    <t>13661014007、81937691</t>
  </si>
  <si>
    <t>知春里豪景佳苑</t>
  </si>
  <si>
    <t>907号</t>
  </si>
  <si>
    <t>9</t>
  </si>
  <si>
    <t>张凡</t>
  </si>
  <si>
    <t>2005-22-P-12899-U</t>
  </si>
  <si>
    <t>温志超</t>
  </si>
  <si>
    <t>133031198007020032</t>
  </si>
  <si>
    <t>13581830549</t>
  </si>
  <si>
    <t>学院南路皂君东里</t>
  </si>
  <si>
    <t>29号楼</t>
  </si>
  <si>
    <t>4号</t>
  </si>
  <si>
    <t>孟正雅</t>
  </si>
  <si>
    <t>2005-22-P-12921-U</t>
  </si>
  <si>
    <t>郑力</t>
  </si>
  <si>
    <t>110108197211276335</t>
  </si>
  <si>
    <t>13681171797、68399208</t>
  </si>
  <si>
    <t>28号楼</t>
  </si>
  <si>
    <t>刘绿波</t>
  </si>
  <si>
    <t>2005-22-P-13224-U</t>
  </si>
  <si>
    <t>袁福生</t>
  </si>
  <si>
    <t>220124740316565</t>
  </si>
  <si>
    <t>13911069353、51961036</t>
  </si>
  <si>
    <t>马春明</t>
  </si>
  <si>
    <t>2005-22-P-13329-U</t>
  </si>
  <si>
    <t>李春敬</t>
  </si>
  <si>
    <t>110109196701050023</t>
  </si>
  <si>
    <t>永金里</t>
  </si>
  <si>
    <t>柯进</t>
  </si>
  <si>
    <t>2005-22-P-13330-U</t>
  </si>
  <si>
    <t>祁雪萍</t>
  </si>
  <si>
    <t>11010819720104686X</t>
  </si>
  <si>
    <t>86385385</t>
  </si>
  <si>
    <t>稻香园西里</t>
  </si>
  <si>
    <t>刘东霞</t>
  </si>
  <si>
    <t>2005-22-P-13331-U</t>
  </si>
  <si>
    <t>王瑞</t>
  </si>
  <si>
    <t>11011119800511301X</t>
  </si>
  <si>
    <t>13911837634</t>
  </si>
  <si>
    <t>吴家村路10号院</t>
  </si>
  <si>
    <t>3门602号</t>
  </si>
  <si>
    <t>夏伟</t>
  </si>
  <si>
    <t>2005-22-P-13426-U</t>
  </si>
  <si>
    <t>辛杰</t>
  </si>
  <si>
    <t>610303197509241634</t>
  </si>
  <si>
    <t>13901132844、66428888-4115</t>
  </si>
  <si>
    <t>文慧园北路甲26号</t>
  </si>
  <si>
    <t>三室一厅一卫一厨(现改为二室二厅一卫一厨)</t>
  </si>
  <si>
    <t>方向</t>
  </si>
  <si>
    <t>2005-22-P-13614-U</t>
  </si>
  <si>
    <t>王建康</t>
  </si>
  <si>
    <t>110108650822681</t>
  </si>
  <si>
    <t>86568559</t>
  </si>
  <si>
    <t>2005-22-P-13640-U</t>
  </si>
  <si>
    <t>安二峰</t>
  </si>
  <si>
    <t>41110219751005201X</t>
  </si>
  <si>
    <t>13691493551</t>
  </si>
  <si>
    <t>5层</t>
  </si>
  <si>
    <t>14号</t>
  </si>
  <si>
    <t>2005-22-P-13770-U</t>
  </si>
  <si>
    <t>张锡成</t>
  </si>
  <si>
    <t>440981197811201713</t>
  </si>
  <si>
    <t>13810964217、67802181</t>
  </si>
  <si>
    <t>阜成路北三街7号院</t>
  </si>
  <si>
    <t>908号</t>
  </si>
  <si>
    <t>姚宝瑛</t>
  </si>
  <si>
    <t>2005-22-P-13958-U</t>
  </si>
  <si>
    <t>王天宇、张婷</t>
  </si>
  <si>
    <t>230103720914221、330702760909122</t>
  </si>
  <si>
    <t>13910525742</t>
  </si>
  <si>
    <t>黄庄南知春里</t>
  </si>
  <si>
    <t>史利清</t>
  </si>
  <si>
    <t>2005-22-P-13968-U</t>
  </si>
  <si>
    <t>于鑫</t>
  </si>
  <si>
    <t>110108197303175742</t>
  </si>
  <si>
    <t>68913834、13301257354</t>
  </si>
  <si>
    <t>玉海园五里</t>
  </si>
  <si>
    <t>董进花</t>
  </si>
  <si>
    <t>2005-22-P-14357-U</t>
  </si>
  <si>
    <t>康卫娜</t>
  </si>
  <si>
    <t>220381197704091826</t>
  </si>
  <si>
    <t>13121022920</t>
  </si>
  <si>
    <t>八里庄北里</t>
  </si>
  <si>
    <t>604号</t>
  </si>
  <si>
    <t>张维</t>
  </si>
  <si>
    <t>2005-22-P-14435-U</t>
  </si>
  <si>
    <t>杨长青</t>
  </si>
  <si>
    <t>110108640615041</t>
  </si>
  <si>
    <t>13901238142</t>
  </si>
  <si>
    <t>上地西里风芳园</t>
  </si>
  <si>
    <t>五室二厅三卫一厨</t>
  </si>
  <si>
    <t>金保琴</t>
  </si>
  <si>
    <t>2005-22-P-14469-U</t>
  </si>
  <si>
    <t>丁玉娟</t>
  </si>
  <si>
    <t>110106740517032</t>
  </si>
  <si>
    <t>13651276240</t>
  </si>
  <si>
    <t>翠微路 17号</t>
  </si>
  <si>
    <t>B楼</t>
  </si>
  <si>
    <t>九层921</t>
  </si>
  <si>
    <t>李胜利</t>
  </si>
  <si>
    <t>2005-22-P-14630-U</t>
  </si>
  <si>
    <t>王建民</t>
  </si>
  <si>
    <t>370685197803162217</t>
  </si>
  <si>
    <t>89160055</t>
  </si>
  <si>
    <t>蓟门里小区</t>
  </si>
  <si>
    <t>东11号楼</t>
  </si>
  <si>
    <t>东门</t>
  </si>
  <si>
    <t>5层3号</t>
  </si>
  <si>
    <t>刘子亮（夏春华代）</t>
  </si>
  <si>
    <t>含中介费</t>
  </si>
  <si>
    <t>2005-22-P-14685-U</t>
  </si>
  <si>
    <t>魏晓菊</t>
  </si>
  <si>
    <t>410402197909251024</t>
  </si>
  <si>
    <t>13031050085</t>
  </si>
  <si>
    <t>学院南路34号</t>
  </si>
  <si>
    <t>1402号</t>
  </si>
  <si>
    <t>孙新</t>
  </si>
  <si>
    <t>2005-22-P-15021-U</t>
  </si>
  <si>
    <t>谢经平</t>
  </si>
  <si>
    <t>110108751102931</t>
  </si>
  <si>
    <t>13691280818</t>
  </si>
  <si>
    <t>马桂华</t>
  </si>
  <si>
    <t>2005-22-P-15062-U</t>
  </si>
  <si>
    <t>刘颖</t>
  </si>
  <si>
    <t>110108801209001</t>
  </si>
  <si>
    <t>花园北路29号西侧</t>
  </si>
  <si>
    <t>刘葳</t>
  </si>
  <si>
    <t>2005-22-P-15194-U</t>
  </si>
  <si>
    <t>张燕玲</t>
  </si>
  <si>
    <t>110105650810084</t>
  </si>
  <si>
    <t>13601320252</t>
  </si>
  <si>
    <t>冯杰</t>
  </si>
  <si>
    <t>2005-22-P-15971-U</t>
  </si>
  <si>
    <t>付友</t>
  </si>
  <si>
    <t>232330710909281</t>
  </si>
  <si>
    <t>13381026826、13031018399</t>
  </si>
  <si>
    <t>林北路9号院</t>
  </si>
  <si>
    <t xml:space="preserve">8门 </t>
  </si>
  <si>
    <t>林美华、卢旭</t>
  </si>
  <si>
    <t>2005-22-P-16045-U</t>
  </si>
  <si>
    <t>丁晓萍</t>
  </si>
  <si>
    <t>220103197304012121</t>
  </si>
  <si>
    <t>2005-22-P-16220-U</t>
  </si>
  <si>
    <t>梁前进</t>
  </si>
  <si>
    <t>110108196305196331</t>
  </si>
  <si>
    <t>13051975422</t>
  </si>
  <si>
    <t>牡丹园东里</t>
  </si>
  <si>
    <t>6单元</t>
  </si>
  <si>
    <t>于长生</t>
  </si>
  <si>
    <t>2005-22-P-16384-U</t>
  </si>
  <si>
    <t>冯大成</t>
  </si>
  <si>
    <t>610104198001186136</t>
  </si>
  <si>
    <t xml:space="preserve">2号楼 </t>
  </si>
  <si>
    <t>415号</t>
  </si>
  <si>
    <t>可抵押经济适用房</t>
  </si>
  <si>
    <t>刘大陆</t>
  </si>
  <si>
    <t>2005-22-P-16412-U</t>
  </si>
  <si>
    <t>曹键</t>
  </si>
  <si>
    <t>110223690702006</t>
  </si>
  <si>
    <t>北太平庄路</t>
  </si>
  <si>
    <t>116号</t>
  </si>
  <si>
    <t>刘美珍</t>
  </si>
  <si>
    <t>换正式报告</t>
  </si>
  <si>
    <t>2005-22-P-16462-U</t>
  </si>
  <si>
    <t>闫晓琳</t>
  </si>
  <si>
    <t>142202198005030026</t>
  </si>
  <si>
    <t>13810643641</t>
  </si>
  <si>
    <t>1909号</t>
  </si>
  <si>
    <t>王锡远</t>
  </si>
  <si>
    <t>2005-22-P-16763-U</t>
  </si>
  <si>
    <t>陈一</t>
  </si>
  <si>
    <t>110105197507239446</t>
  </si>
  <si>
    <t>13701278942、87843688</t>
  </si>
  <si>
    <t>董纳</t>
  </si>
  <si>
    <t>2005-22-P-16764-U</t>
  </si>
  <si>
    <t>汪斌</t>
  </si>
  <si>
    <t>640102196712100013</t>
  </si>
  <si>
    <t>13381158902</t>
  </si>
  <si>
    <t>多营</t>
  </si>
  <si>
    <t>13051278115、13901390847</t>
  </si>
  <si>
    <t>不含税费、含装修及家电</t>
  </si>
  <si>
    <t>2005-22-P-17286-U</t>
  </si>
  <si>
    <t>刘国晶</t>
  </si>
  <si>
    <t>110109196904010021</t>
  </si>
  <si>
    <t>13693157727、13601056071</t>
  </si>
  <si>
    <t>马占奎</t>
  </si>
  <si>
    <t>2005-22-P-17334-U</t>
  </si>
  <si>
    <t>管毅</t>
  </si>
  <si>
    <t>120103197809101732</t>
  </si>
  <si>
    <t>13601094005、88079731</t>
  </si>
  <si>
    <t>定慧东里9号楼</t>
  </si>
  <si>
    <t>1307号</t>
  </si>
  <si>
    <t>曹泽川</t>
  </si>
  <si>
    <t>2005-22-P-17456-U</t>
  </si>
  <si>
    <t>刘晓燕</t>
  </si>
  <si>
    <t>110106196112071222</t>
  </si>
  <si>
    <t>62454857、13522996019</t>
  </si>
  <si>
    <t>法华寺民族学院宿舍</t>
  </si>
  <si>
    <t>陈君</t>
  </si>
  <si>
    <t>宋宇</t>
  </si>
  <si>
    <t>2005-22-P-17757-U</t>
  </si>
  <si>
    <t>罗峥、曹彦宏</t>
  </si>
  <si>
    <t>43290219701030002X、420106196408024815</t>
  </si>
  <si>
    <t>13661135915、68981056</t>
  </si>
  <si>
    <t>北洼路9号世纪新景园</t>
  </si>
  <si>
    <t>25层25C</t>
  </si>
  <si>
    <t>彭俊</t>
  </si>
  <si>
    <t>二室二厅二卫一厨（已改为二室二厅一卫一厨）</t>
  </si>
  <si>
    <t/>
  </si>
  <si>
    <t>急卖</t>
  </si>
  <si>
    <t>不含税费、含装修、家具、电器</t>
  </si>
  <si>
    <t>2005-22-P-17759-U</t>
  </si>
  <si>
    <t>张淑媛</t>
  </si>
  <si>
    <t>530122198002150226</t>
  </si>
  <si>
    <t>13693557692、82339978-513</t>
  </si>
  <si>
    <t>林永学</t>
  </si>
  <si>
    <t>2005-22-P-17820-U</t>
  </si>
  <si>
    <t>孙玉杰</t>
  </si>
  <si>
    <t>22031919720228323X</t>
  </si>
  <si>
    <t>13311181234、62206310</t>
  </si>
  <si>
    <t>西三环北路厂洼</t>
  </si>
  <si>
    <t>0901号</t>
  </si>
  <si>
    <t>张海森</t>
  </si>
  <si>
    <t>2005-22-P-17857-U</t>
  </si>
  <si>
    <t>张丽丽</t>
  </si>
  <si>
    <t>110108197309088228</t>
  </si>
  <si>
    <t>13681478470</t>
  </si>
  <si>
    <t>塔院迎春园</t>
  </si>
  <si>
    <t>802号</t>
  </si>
  <si>
    <t>孔令杰</t>
  </si>
  <si>
    <t>2005-22-P-17861-U</t>
  </si>
  <si>
    <t>马楠</t>
  </si>
  <si>
    <t>110108197812032221</t>
  </si>
  <si>
    <t>62344079、13911155086</t>
  </si>
  <si>
    <t>学清路六道口村甲39号</t>
  </si>
  <si>
    <t>5门501</t>
  </si>
  <si>
    <t>秦力力</t>
  </si>
  <si>
    <t>2005-22-P-17971-U</t>
  </si>
  <si>
    <t>王丽娟</t>
  </si>
  <si>
    <t>110102631019276</t>
  </si>
  <si>
    <t>13611337615</t>
  </si>
  <si>
    <t xml:space="preserve">3单元 </t>
  </si>
  <si>
    <t>温乃萍</t>
  </si>
  <si>
    <t>2005-22-P-17972-U</t>
  </si>
  <si>
    <t>王捷</t>
  </si>
  <si>
    <t>110102196307142785</t>
  </si>
  <si>
    <t>13126789570</t>
  </si>
  <si>
    <t>二单元六层262号</t>
  </si>
  <si>
    <t>三室二厅三卫一厨</t>
  </si>
  <si>
    <t>朱显华</t>
  </si>
  <si>
    <t>2005-22-P-17973-U</t>
  </si>
  <si>
    <t>陶丽红</t>
  </si>
  <si>
    <t>130224197707020164</t>
  </si>
  <si>
    <t>13601074385</t>
  </si>
  <si>
    <t>上地东里二区</t>
  </si>
  <si>
    <t>2门五层</t>
  </si>
  <si>
    <t>502</t>
  </si>
  <si>
    <t>冯师英</t>
  </si>
  <si>
    <t>2005-22-P-17986-U</t>
  </si>
  <si>
    <t>于甲川</t>
  </si>
  <si>
    <t>210603197211283032</t>
  </si>
  <si>
    <t>13601350086</t>
  </si>
  <si>
    <t>清枫华景园</t>
  </si>
  <si>
    <t>崔桂月</t>
  </si>
  <si>
    <t>2005-22-P-18106-U</t>
  </si>
  <si>
    <t>多苏敏</t>
  </si>
  <si>
    <t>320102590816242</t>
  </si>
  <si>
    <t>焦素云</t>
  </si>
  <si>
    <t>2005-22-P-18135-U</t>
  </si>
  <si>
    <t>陈黎</t>
  </si>
  <si>
    <t>420583740329003</t>
  </si>
  <si>
    <t>厂洼</t>
  </si>
  <si>
    <t>刘标</t>
  </si>
  <si>
    <t>2005-22-P-18136-U</t>
  </si>
  <si>
    <t>张志刚</t>
  </si>
  <si>
    <t>110103196605090932</t>
  </si>
  <si>
    <t>海淀大街</t>
  </si>
  <si>
    <t>44号楼</t>
  </si>
  <si>
    <t>6层207号</t>
  </si>
  <si>
    <t>王东东</t>
  </si>
  <si>
    <t>2005-22-P-18172-U</t>
  </si>
  <si>
    <t>李祥福</t>
  </si>
  <si>
    <t>110225195606130376</t>
  </si>
  <si>
    <t>89350749、13693019706</t>
  </si>
  <si>
    <t>新街口外大街15号</t>
  </si>
  <si>
    <t>四层80号</t>
  </si>
  <si>
    <t>徐芙忱</t>
  </si>
  <si>
    <t>沈芙忱</t>
  </si>
  <si>
    <t>62324263、13071161065</t>
  </si>
  <si>
    <t>2005-22-P-18194-U</t>
  </si>
  <si>
    <t>杨光</t>
  </si>
  <si>
    <t>110228197906282126</t>
  </si>
  <si>
    <t>13811469013</t>
  </si>
  <si>
    <t>黄玉坡</t>
  </si>
  <si>
    <t>2005-22-P-18379-U</t>
  </si>
  <si>
    <t>程长春</t>
  </si>
  <si>
    <t>320705790212051</t>
  </si>
  <si>
    <t>13911802633、13161148282、66109223</t>
  </si>
  <si>
    <t>恩济庄82号院</t>
  </si>
  <si>
    <t>刘晖</t>
  </si>
  <si>
    <t>2005-22-P-18399-U</t>
  </si>
  <si>
    <t>白晓宇</t>
  </si>
  <si>
    <t>110108197104296031</t>
  </si>
  <si>
    <t>82635132、13701000461</t>
  </si>
  <si>
    <t>143号</t>
  </si>
  <si>
    <t>三室二厅二卫一厨（原为四室二厅二卫一厨）</t>
  </si>
  <si>
    <t>于忠利</t>
  </si>
  <si>
    <t>2005-22-P-18431-U</t>
  </si>
  <si>
    <t>赵成刚</t>
  </si>
  <si>
    <t>642222750130441</t>
  </si>
  <si>
    <t>13901093946、68988556</t>
  </si>
  <si>
    <t>定慧北里</t>
  </si>
  <si>
    <t>李东</t>
  </si>
  <si>
    <t>偏高</t>
  </si>
  <si>
    <t>2005-22-P-18644-U</t>
  </si>
  <si>
    <t>唐玉璞</t>
  </si>
  <si>
    <t>210621197003146116</t>
  </si>
  <si>
    <t>清河中街69号院</t>
  </si>
  <si>
    <t>12A07号</t>
  </si>
  <si>
    <t>韩新</t>
  </si>
  <si>
    <t>2005-22-P-18686-U</t>
  </si>
  <si>
    <t>刘萍</t>
  </si>
  <si>
    <t>110102196508151522</t>
  </si>
  <si>
    <t>66175678、13671072581</t>
  </si>
  <si>
    <t>交大东路15号院</t>
  </si>
  <si>
    <t>14层</t>
  </si>
  <si>
    <t>1401号</t>
  </si>
  <si>
    <t>朱枫</t>
  </si>
  <si>
    <t>2005-22-P-18725-U</t>
  </si>
  <si>
    <t>郭向英</t>
  </si>
  <si>
    <t>130103197504150914</t>
  </si>
  <si>
    <t>13366765608、68378954</t>
  </si>
  <si>
    <t>刘文</t>
  </si>
  <si>
    <t>2005-22-P-18910-U</t>
  </si>
  <si>
    <t>范占辉</t>
  </si>
  <si>
    <t>130635197411261197</t>
  </si>
  <si>
    <t>13671109946</t>
  </si>
  <si>
    <t xml:space="preserve">2门  </t>
  </si>
  <si>
    <t>朱立强</t>
  </si>
  <si>
    <t>2005-22-P-18917-U</t>
  </si>
  <si>
    <t>段春艳</t>
  </si>
  <si>
    <t>110104197204260823</t>
  </si>
  <si>
    <t>13021185348</t>
  </si>
  <si>
    <t>大柳树路2号三区</t>
  </si>
  <si>
    <t>西七楼</t>
  </si>
  <si>
    <t>222号</t>
  </si>
  <si>
    <t>刘平平</t>
  </si>
  <si>
    <t>2005-22-P-18979-U</t>
  </si>
  <si>
    <t>孟淼</t>
  </si>
  <si>
    <t>120221197909260026</t>
  </si>
  <si>
    <t>13366851432</t>
  </si>
  <si>
    <t>北洼西里</t>
  </si>
  <si>
    <t>王德华</t>
  </si>
  <si>
    <t>2005-22-P-19015-U</t>
  </si>
  <si>
    <t>张洁</t>
  </si>
  <si>
    <t>640102197301150344</t>
  </si>
  <si>
    <t>建西苑南里</t>
  </si>
  <si>
    <t>盛军</t>
  </si>
  <si>
    <t>2005-22-P-19018-U</t>
  </si>
  <si>
    <t>陈永</t>
  </si>
  <si>
    <t>110108195912175415</t>
  </si>
  <si>
    <t>北洼西里33号富丽小区</t>
  </si>
  <si>
    <t>六室三厅三卫一厨</t>
  </si>
  <si>
    <t>此客户优惠免费</t>
  </si>
  <si>
    <t>成交价格低</t>
  </si>
  <si>
    <t>2005-22-P-19079-U</t>
  </si>
  <si>
    <t>何壑英</t>
  </si>
  <si>
    <t>110221197807030025</t>
  </si>
  <si>
    <t>13671006900</t>
  </si>
  <si>
    <t>西二旗智学苑</t>
  </si>
  <si>
    <t>孙勇</t>
  </si>
  <si>
    <t>2005-22-P-19081-U</t>
  </si>
  <si>
    <t>禹海涛</t>
  </si>
  <si>
    <t>110108197204173418</t>
  </si>
  <si>
    <t>13651068007</t>
  </si>
  <si>
    <t>404号</t>
  </si>
  <si>
    <t>石俊志</t>
  </si>
  <si>
    <t>2005-22-P-19082-U</t>
  </si>
  <si>
    <t>丛连涛</t>
  </si>
  <si>
    <t>220422740414041</t>
  </si>
  <si>
    <t>13671259593</t>
  </si>
  <si>
    <t>学院南路</t>
  </si>
  <si>
    <t>84号楼</t>
  </si>
  <si>
    <t>208号</t>
  </si>
  <si>
    <t>李彩林</t>
  </si>
  <si>
    <t>2005-22-P-19098-U</t>
  </si>
  <si>
    <t>2005-22-P-19224-U</t>
  </si>
  <si>
    <t>袁志宏</t>
  </si>
  <si>
    <t>142301197904020010</t>
  </si>
  <si>
    <t>13693089021、88336648</t>
  </si>
  <si>
    <t>德胜门西大街7号院</t>
  </si>
  <si>
    <t>冯爱军</t>
  </si>
  <si>
    <t>2005-22-P-19348-U</t>
  </si>
  <si>
    <t>徐琤</t>
  </si>
  <si>
    <t>420103197605313726</t>
  </si>
  <si>
    <t>13301161358</t>
  </si>
  <si>
    <t>海淀西颐北馆</t>
  </si>
  <si>
    <t>新2号楼</t>
  </si>
  <si>
    <t>刘克里</t>
  </si>
  <si>
    <t>2005-22-P-19478-U</t>
  </si>
  <si>
    <t>黎艳平</t>
  </si>
  <si>
    <t>110108197504283440</t>
  </si>
  <si>
    <t>68729838、13911568043</t>
  </si>
  <si>
    <t>北洼路市科委宿舍</t>
  </si>
  <si>
    <t>2门1002</t>
  </si>
  <si>
    <t>苏敬敏</t>
  </si>
  <si>
    <t>2005-22-P-19513-U</t>
  </si>
  <si>
    <t>陈志刚</t>
  </si>
  <si>
    <t>110108197307072716</t>
  </si>
  <si>
    <t>文慧园路甲2号</t>
  </si>
  <si>
    <t>4门18号</t>
  </si>
  <si>
    <t>郭立长</t>
  </si>
  <si>
    <t>2005-22-P-19517-U</t>
  </si>
  <si>
    <t>王文岩</t>
  </si>
  <si>
    <t>620104197103300267</t>
  </si>
  <si>
    <t>86660236、13701002096</t>
  </si>
  <si>
    <t>高梁桥上园村</t>
  </si>
  <si>
    <t>甲4号楼</t>
  </si>
  <si>
    <t>赵连水</t>
  </si>
  <si>
    <t>卖方电话</t>
  </si>
  <si>
    <t>2005-22-P-19518-U</t>
  </si>
  <si>
    <t>李昕照</t>
  </si>
  <si>
    <t>150102197004254642</t>
  </si>
  <si>
    <t>13910289505、82665329-263</t>
  </si>
  <si>
    <t>907</t>
  </si>
  <si>
    <t>李连生</t>
  </si>
  <si>
    <t>房产合并（偏高）</t>
  </si>
  <si>
    <t>2005-22-P-19636-U</t>
  </si>
  <si>
    <t>李晓军</t>
  </si>
  <si>
    <t>130202197812240670</t>
  </si>
  <si>
    <t>刘亚黛</t>
  </si>
  <si>
    <t>13311569078、87049000</t>
  </si>
  <si>
    <t>2005-22-P-19661-U</t>
  </si>
  <si>
    <t>宋刚</t>
  </si>
  <si>
    <t>412901197408013039</t>
  </si>
  <si>
    <t>65547266-860、13520058263</t>
  </si>
  <si>
    <t>西郊北洼路二区</t>
  </si>
  <si>
    <t>521号</t>
  </si>
  <si>
    <t>宋丽丽</t>
  </si>
  <si>
    <t>2005-22-P-19907-U</t>
  </si>
  <si>
    <t>王峰</t>
  </si>
  <si>
    <t>110226197903160059</t>
  </si>
  <si>
    <t>13501202610</t>
  </si>
  <si>
    <t>永泰西里</t>
  </si>
  <si>
    <r>
      <rPr>
        <sz val="10"/>
        <rFont val="宋体"/>
        <charset val="134"/>
      </rPr>
      <t>2</t>
    </r>
    <r>
      <rPr>
        <sz val="10"/>
        <color indexed="8"/>
        <rFont val="宋体"/>
        <charset val="134"/>
      </rPr>
      <t>号楼</t>
    </r>
  </si>
  <si>
    <r>
      <rPr>
        <sz val="10"/>
        <rFont val="宋体"/>
        <charset val="134"/>
      </rPr>
      <t>11</t>
    </r>
    <r>
      <rPr>
        <sz val="10"/>
        <color indexed="8"/>
        <rFont val="宋体"/>
        <charset val="134"/>
      </rPr>
      <t>门</t>
    </r>
  </si>
  <si>
    <r>
      <rPr>
        <sz val="10"/>
        <rFont val="宋体"/>
        <charset val="134"/>
      </rPr>
      <t>401</t>
    </r>
    <r>
      <rPr>
        <sz val="10"/>
        <color indexed="8"/>
        <rFont val="宋体"/>
        <charset val="134"/>
      </rPr>
      <t>号</t>
    </r>
  </si>
  <si>
    <t>薛京</t>
  </si>
  <si>
    <t>2005-22-P-19933-U</t>
  </si>
  <si>
    <t>杨玉岭</t>
  </si>
  <si>
    <t>410923197306080018</t>
  </si>
  <si>
    <t>2门四层402号</t>
  </si>
  <si>
    <t>北京住房公积金管理中心方庄管理部</t>
  </si>
  <si>
    <t>石慰</t>
  </si>
  <si>
    <t>2005-22-P-19954-U</t>
  </si>
  <si>
    <t>彭仕东</t>
  </si>
  <si>
    <t>110108641202003</t>
  </si>
  <si>
    <t>玉泉路6号院玉阜嘉园</t>
  </si>
  <si>
    <t>周文厚</t>
  </si>
  <si>
    <t>2005-22-P-19960-U</t>
  </si>
  <si>
    <t>唐立功</t>
  </si>
  <si>
    <t>342422197009121119</t>
  </si>
  <si>
    <t>13301365209、88751701</t>
  </si>
  <si>
    <t>恩济庄46号院</t>
  </si>
  <si>
    <t>蒋京生</t>
  </si>
  <si>
    <t>2005-22-P-20092-U</t>
  </si>
  <si>
    <t>马焕廷</t>
  </si>
  <si>
    <t>610124780518003</t>
  </si>
  <si>
    <t>13910393076</t>
  </si>
  <si>
    <t>西二旗一里</t>
  </si>
  <si>
    <t>北京市平瑞商贸公司农业科艺园</t>
  </si>
  <si>
    <t>2005-22-P-20295-U</t>
  </si>
  <si>
    <t>张勉</t>
  </si>
  <si>
    <t>612301197212250811</t>
  </si>
  <si>
    <t>13511059912、62796462</t>
  </si>
  <si>
    <t>西二旗中路6号二区</t>
  </si>
  <si>
    <t>郭小凤</t>
  </si>
  <si>
    <t>2005-22-P-20630-U</t>
  </si>
  <si>
    <t>郑文田</t>
  </si>
  <si>
    <t>110222197011282418</t>
  </si>
  <si>
    <t>五棵松路81号永金里小区</t>
  </si>
  <si>
    <t>2门401号</t>
  </si>
  <si>
    <t>马志华</t>
  </si>
  <si>
    <t>2005-22-P-20735-U</t>
  </si>
  <si>
    <t>周文英</t>
  </si>
  <si>
    <t>110108195102076829</t>
  </si>
  <si>
    <t>82519509、13621089152</t>
  </si>
  <si>
    <t>龙翔路</t>
  </si>
  <si>
    <t>李敏</t>
  </si>
  <si>
    <t>2005-22-P-21239-U</t>
  </si>
  <si>
    <t>刘凤飞</t>
  </si>
  <si>
    <t>340104196702012054</t>
  </si>
  <si>
    <t>13611369391</t>
  </si>
  <si>
    <t>512号</t>
  </si>
  <si>
    <t>郝晓谷</t>
  </si>
  <si>
    <t>四室三厅二卫一厨</t>
  </si>
  <si>
    <t>新增（初审）</t>
  </si>
  <si>
    <t>2005-22-P-21378-U</t>
  </si>
  <si>
    <t>张昆</t>
  </si>
  <si>
    <t>110108197710213718</t>
  </si>
  <si>
    <t>13810597126</t>
  </si>
  <si>
    <t>10门</t>
  </si>
  <si>
    <t>1011号</t>
  </si>
  <si>
    <t>王丽君、张涛</t>
  </si>
  <si>
    <t>可抵押经济适用住房</t>
  </si>
  <si>
    <t>86575311、88260276</t>
  </si>
  <si>
    <t>2005-22-P-21434-U</t>
  </si>
  <si>
    <t>金华</t>
  </si>
  <si>
    <t>110108196302070434</t>
  </si>
  <si>
    <t>13910861203、87010036</t>
  </si>
  <si>
    <t>二龙闸（现新建宫门路21号院）</t>
  </si>
  <si>
    <t>金万恩</t>
  </si>
  <si>
    <t>2005-22-P-21580-U</t>
  </si>
  <si>
    <t>马文军</t>
  </si>
  <si>
    <t>110107197012040972</t>
  </si>
  <si>
    <t>13801312057、82519035</t>
  </si>
  <si>
    <t>五层501号</t>
  </si>
  <si>
    <t>黄湄</t>
  </si>
  <si>
    <t>2005-22-P-22126-U</t>
  </si>
  <si>
    <t>杨华</t>
  </si>
  <si>
    <t>110107197704070312</t>
  </si>
  <si>
    <t>建西苑中里</t>
  </si>
  <si>
    <t>赵长刚</t>
  </si>
  <si>
    <t>2005-22-P-22130-U</t>
  </si>
  <si>
    <t>魏章纪</t>
  </si>
  <si>
    <t>110108196705206412</t>
  </si>
  <si>
    <t>红联南村46号院</t>
  </si>
  <si>
    <t>1号塔楼</t>
  </si>
  <si>
    <t>0705号</t>
  </si>
  <si>
    <t>二室一厅一卫一厨(原三室一厅一卫一厨)</t>
  </si>
  <si>
    <t>安敏珍</t>
  </si>
  <si>
    <t>2005-22-P-22197-U</t>
  </si>
  <si>
    <t>刘平</t>
  </si>
  <si>
    <t>222324197502227523</t>
  </si>
  <si>
    <t>13910912026、58944185</t>
  </si>
  <si>
    <t>西翠路17号院</t>
  </si>
  <si>
    <t>1-202号</t>
  </si>
  <si>
    <t>胡鹏</t>
  </si>
  <si>
    <t>2005-22-P-22252-U</t>
  </si>
  <si>
    <t>郝云</t>
  </si>
  <si>
    <t>120101197606243025</t>
  </si>
  <si>
    <t>13693217336</t>
  </si>
  <si>
    <r>
      <rPr>
        <sz val="10"/>
        <rFont val="宋体"/>
        <charset val="134"/>
      </rPr>
      <t>建材城中路</t>
    </r>
    <r>
      <rPr>
        <sz val="10"/>
        <color indexed="8"/>
        <rFont val="宋体"/>
        <charset val="134"/>
      </rPr>
      <t>1号</t>
    </r>
  </si>
  <si>
    <r>
      <rPr>
        <sz val="10"/>
        <rFont val="宋体"/>
        <charset val="134"/>
      </rPr>
      <t>18</t>
    </r>
    <r>
      <rPr>
        <sz val="10"/>
        <color indexed="8"/>
        <rFont val="宋体"/>
        <charset val="134"/>
      </rPr>
      <t>号楼</t>
    </r>
  </si>
  <si>
    <r>
      <rPr>
        <sz val="10"/>
        <rFont val="宋体"/>
        <charset val="134"/>
      </rPr>
      <t>4</t>
    </r>
    <r>
      <rPr>
        <sz val="10"/>
        <color indexed="8"/>
        <rFont val="宋体"/>
        <charset val="134"/>
      </rPr>
      <t>门</t>
    </r>
  </si>
  <si>
    <t>陆洲</t>
  </si>
  <si>
    <t>2005-22-P-22296-U</t>
  </si>
  <si>
    <t>王京都</t>
  </si>
  <si>
    <t>110104195903240435</t>
  </si>
  <si>
    <t>13501007710</t>
  </si>
  <si>
    <t>刘连江</t>
  </si>
  <si>
    <t>2005-22-P-22364-U</t>
  </si>
  <si>
    <t>付屹帆</t>
  </si>
  <si>
    <t>110108196908280030</t>
  </si>
  <si>
    <t>13501151322</t>
  </si>
  <si>
    <r>
      <rPr>
        <sz val="10"/>
        <color indexed="8"/>
        <rFont val="宋体"/>
        <charset val="134"/>
      </rPr>
      <t>107</t>
    </r>
    <r>
      <rPr>
        <sz val="10"/>
        <rFont val="宋体"/>
        <charset val="134"/>
      </rPr>
      <t>号</t>
    </r>
  </si>
  <si>
    <t>二室一厅一卫(原一室一厅一卫一厨)</t>
  </si>
  <si>
    <t>陈振坡</t>
  </si>
  <si>
    <t>此房购于用做门脸房，成交价偏高</t>
  </si>
  <si>
    <t>2005-22-P-22365-U</t>
  </si>
  <si>
    <t>许勇</t>
  </si>
  <si>
    <t>532501780105093</t>
  </si>
  <si>
    <t>13671332516</t>
  </si>
  <si>
    <t>西二旗一里三区</t>
  </si>
  <si>
    <t>马立生</t>
  </si>
  <si>
    <t>房屋状况</t>
  </si>
  <si>
    <t>新产权证</t>
  </si>
  <si>
    <t>他项权利</t>
  </si>
  <si>
    <t>录入修改时间</t>
  </si>
  <si>
    <t>房屋所有权证号</t>
  </si>
  <si>
    <t>房屋座落</t>
  </si>
  <si>
    <t>地号</t>
  </si>
  <si>
    <t>产别</t>
  </si>
  <si>
    <t>幢号</t>
  </si>
  <si>
    <t>房号</t>
  </si>
  <si>
    <t>结构</t>
  </si>
  <si>
    <t>房屋总层数</t>
  </si>
  <si>
    <t>设计用途</t>
  </si>
  <si>
    <t>建成年代</t>
  </si>
  <si>
    <t>卖方房屋所有权证号</t>
  </si>
  <si>
    <t>房屋所有权人</t>
  </si>
  <si>
    <t>共有情况</t>
  </si>
  <si>
    <t>登记时间</t>
  </si>
  <si>
    <t>房屋性质</t>
  </si>
  <si>
    <t>至年</t>
  </si>
  <si>
    <t>权利人</t>
  </si>
  <si>
    <t>权利种类</t>
  </si>
  <si>
    <t>权利范围</t>
  </si>
  <si>
    <t>权利价值</t>
  </si>
  <si>
    <t>设定日期</t>
  </si>
  <si>
    <t>约定期限</t>
  </si>
  <si>
    <t>注销日期</t>
  </si>
  <si>
    <t>土地使用年限</t>
  </si>
  <si>
    <t>录入修改人</t>
  </si>
  <si>
    <t>房屋耐用年限</t>
  </si>
  <si>
    <t>剩余使用年限</t>
  </si>
  <si>
    <t>京房权证海私移字第060787号</t>
  </si>
  <si>
    <t>海淀区永定路西里</t>
  </si>
  <si>
    <t>私产</t>
  </si>
  <si>
    <t>十七（-2）</t>
  </si>
  <si>
    <t>西北</t>
  </si>
  <si>
    <t>京房权证海私移字第057404号</t>
  </si>
  <si>
    <t>海淀区五棵松路26号院1号楼</t>
  </si>
  <si>
    <t>1门6号</t>
  </si>
  <si>
    <t>京房权证海私移字第059981号</t>
  </si>
  <si>
    <t>海淀区恩济庄永安东里2号楼</t>
  </si>
  <si>
    <t>IV-2-2-28（2）</t>
  </si>
  <si>
    <t>5门602</t>
  </si>
  <si>
    <t>含阳台：8.2M2</t>
  </si>
  <si>
    <t>居室</t>
  </si>
  <si>
    <t>厨房</t>
  </si>
  <si>
    <t>卫生间</t>
  </si>
  <si>
    <t>公共部分</t>
  </si>
  <si>
    <t>小区名称</t>
  </si>
  <si>
    <t>标准</t>
  </si>
  <si>
    <t>屋面</t>
  </si>
  <si>
    <t>外墙面</t>
  </si>
  <si>
    <t>外门窗</t>
  </si>
  <si>
    <t>天棚</t>
  </si>
  <si>
    <t>内墙面</t>
  </si>
  <si>
    <t>楼面</t>
  </si>
  <si>
    <t>内门</t>
  </si>
  <si>
    <t>建筑装饰配件及附属设备</t>
  </si>
  <si>
    <t xml:space="preserve"> 大堂</t>
  </si>
  <si>
    <t>门廊</t>
  </si>
  <si>
    <t>楼梯间</t>
  </si>
  <si>
    <t>特色</t>
  </si>
  <si>
    <t>供水</t>
  </si>
  <si>
    <t>排水</t>
  </si>
  <si>
    <t>供电</t>
  </si>
  <si>
    <t>采暖</t>
  </si>
  <si>
    <t>燃气</t>
  </si>
  <si>
    <t>通讯</t>
  </si>
  <si>
    <t>通风</t>
  </si>
  <si>
    <t>消防</t>
  </si>
  <si>
    <t>计量</t>
  </si>
  <si>
    <t>保安</t>
  </si>
  <si>
    <t>电梯</t>
  </si>
  <si>
    <t>停车</t>
  </si>
  <si>
    <t>物业管理</t>
  </si>
  <si>
    <t>居住区类型</t>
  </si>
  <si>
    <t>商服中心等级</t>
  </si>
  <si>
    <t>道路级别</t>
  </si>
  <si>
    <t>公交</t>
  </si>
  <si>
    <t>配套</t>
  </si>
  <si>
    <t>基础供气</t>
  </si>
  <si>
    <t>绿地率</t>
  </si>
  <si>
    <t>公共绿地</t>
  </si>
  <si>
    <t>楼宇类型</t>
  </si>
  <si>
    <t>环境</t>
  </si>
  <si>
    <t>积聚程度</t>
  </si>
  <si>
    <t>基础设施</t>
  </si>
  <si>
    <t>居住密度</t>
  </si>
  <si>
    <t>园林绿化</t>
  </si>
  <si>
    <t>录入人</t>
  </si>
  <si>
    <t>修改人</t>
  </si>
  <si>
    <t>变更类型</t>
  </si>
  <si>
    <t>贷款额度</t>
  </si>
  <si>
    <t>贷款年限</t>
  </si>
  <si>
    <t>永定路西里10-0801</t>
  </si>
  <si>
    <t>10-0801</t>
  </si>
  <si>
    <t>不上人屋面</t>
  </si>
  <si>
    <t>涂料</t>
  </si>
  <si>
    <t>外窗：铝合金窗；外门：防盗门</t>
  </si>
  <si>
    <t>玻璃吊顶</t>
  </si>
  <si>
    <t>PVC吊顶</t>
  </si>
  <si>
    <t>涂料、木质墙裙</t>
  </si>
  <si>
    <t>瓷砖</t>
  </si>
  <si>
    <t>复合木地板、地砖</t>
  </si>
  <si>
    <t>地砖</t>
  </si>
  <si>
    <t>木门</t>
  </si>
  <si>
    <t>壁柜、门套、窗套、木质暖气罩</t>
  </si>
  <si>
    <t>厨柜、洗菜池、燃气灶、抽油烟机</t>
  </si>
  <si>
    <t>座便器、洗面盆、浴盆</t>
  </si>
  <si>
    <t>地砖地面，涂料墙面</t>
  </si>
  <si>
    <t>市政供水</t>
  </si>
  <si>
    <t>市政排水</t>
  </si>
  <si>
    <t>市政供电</t>
  </si>
  <si>
    <t>集中供暖</t>
  </si>
  <si>
    <t>管道天然气</t>
  </si>
  <si>
    <t>程控电话、有线电视、宽带入楼</t>
  </si>
  <si>
    <t>消防栓</t>
  </si>
  <si>
    <t>电表出户计量</t>
  </si>
  <si>
    <t>24小时保安值勤</t>
  </si>
  <si>
    <t>2部</t>
  </si>
  <si>
    <t>地上停车</t>
  </si>
  <si>
    <t>规范化物业管理</t>
  </si>
  <si>
    <t>普通居住区</t>
  </si>
  <si>
    <t xml:space="preserve">市级、区级、小区级√、街区级    </t>
  </si>
  <si>
    <t>城市主干道、城市次干道√、支路</t>
  </si>
  <si>
    <t>有728、373、337、620路等多条公交线路经过</t>
  </si>
  <si>
    <t>利用周围配套设施</t>
  </si>
  <si>
    <t>中</t>
  </si>
  <si>
    <t>七通一平</t>
  </si>
  <si>
    <t>海淀区五棵松路26号院</t>
  </si>
  <si>
    <t>1号楼1门7层6号</t>
  </si>
  <si>
    <t>外窗：塑钢窗；户门：防盗门</t>
  </si>
  <si>
    <t>厅：地砖；卧室：木地板</t>
  </si>
  <si>
    <t>橱柜</t>
  </si>
  <si>
    <t>座便器、面盆等</t>
  </si>
  <si>
    <t>水泥地面，涂料墙面</t>
  </si>
  <si>
    <t>管道天燃气</t>
  </si>
  <si>
    <t>有线电视、电话线入户</t>
  </si>
  <si>
    <t>电表磁卡计费</t>
  </si>
  <si>
    <t>小区门卫、电子门禁</t>
  </si>
  <si>
    <t>一部电梯</t>
  </si>
  <si>
    <t>标准居住区</t>
  </si>
  <si>
    <t>市级、区级、小区级、街区级√</t>
  </si>
  <si>
    <t>城市主干道√、城市次干道、支路</t>
  </si>
  <si>
    <t>有740、840、905、804、831、733路等多条公交线路经过</t>
  </si>
  <si>
    <t>利用周边配套设施</t>
  </si>
  <si>
    <t>天然气√、煤气</t>
  </si>
  <si>
    <t>中下</t>
  </si>
  <si>
    <t>中等</t>
  </si>
  <si>
    <t>恩济庄永安东里2号楼-5-602</t>
  </si>
  <si>
    <t>2#</t>
  </si>
  <si>
    <t>外窗：铝合金窗，内层塑钢窗；外门：防盗门</t>
  </si>
  <si>
    <t>铝扣板吊顶</t>
  </si>
  <si>
    <t>木地板，局部瓷砖</t>
  </si>
  <si>
    <t>燃气灶、抽油烟机、不锈钢洗菜池、厨柜</t>
  </si>
  <si>
    <t>陶瓷坐便器、洗面盆、梳妆镜、淋浴器</t>
  </si>
  <si>
    <t>市政供暖</t>
  </si>
  <si>
    <t>消防井</t>
  </si>
  <si>
    <t>单元对讲、保安值勤</t>
  </si>
  <si>
    <t>专业物业管理</t>
  </si>
  <si>
    <t>市级、区级、小区级√、街区级</t>
  </si>
  <si>
    <t>有941、609、733路等多条公交线路经过</t>
  </si>
  <si>
    <t>多层板</t>
  </si>
  <si>
    <t>小区内环境较好，小区外环境较差</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</si>
  <si>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</si>
  <si>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</si>
  <si>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</si>
  <si>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</si>
  <si>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</si>
  <si>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</si>
  <si>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</si>
  <si>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</si>
  <si>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</si>
  <si>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</si>
  <si>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</si>
  <si>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</si>
  <si>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</si>
  <si>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</si>
  <si>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</si>
  <si>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</si>
  <si>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</si>
  <si>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</si>
  <si>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</si>
  <si>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</si>
  <si>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</si>
  <si>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</si>
  <si>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</si>
  <si>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</si>
  <si>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</si>
  <si>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</si>
  <si>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</si>
  <si>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</si>
  <si>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</si>
  <si>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</si>
  <si>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</si>
  <si>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</si>
  <si>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</si>
  <si>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</si>
  <si>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</si>
  <si>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</si>
  <si>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</si>
  <si>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</si>
  <si>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</si>
  <si>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</si>
  <si>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</si>
  <si>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</si>
  <si>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</si>
  <si>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</si>
  <si>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</si>
  <si>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</si>
  <si>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</si>
  <si>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</si>
  <si>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</si>
  <si>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</si>
  <si>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</si>
  <si>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</si>
  <si>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</si>
  <si>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</si>
  <si>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</si>
  <si>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</si>
  <si>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</si>
  <si>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</si>
  <si>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</si>
  <si>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</si>
  <si>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</si>
  <si>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</si>
  <si>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</si>
  <si>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</si>
  <si>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</si>
  <si>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</si>
  <si>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</si>
  <si>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</si>
  <si>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</si>
  <si>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</si>
  <si>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</si>
  <si>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</si>
  <si>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</si>
  <si>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</si>
  <si>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</si>
  <si>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</si>
  <si>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</si>
  <si>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</si>
  <si>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</si>
  <si>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</si>
  <si>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</si>
  <si>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</si>
  <si>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</si>
  <si>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</si>
  <si>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</si>
  <si>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</si>
  <si>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</si>
  <si>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</si>
  <si>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</si>
  <si>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</si>
  <si>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</si>
  <si>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</si>
  <si>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</si>
  <si>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</si>
  <si>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</si>
  <si>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</si>
  <si>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</si>
  <si>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</si>
  <si>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</si>
  <si>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</si>
  <si>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</si>
  <si>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</si>
  <si>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</si>
  <si>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</si>
  <si>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</si>
  <si>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</si>
  <si>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</si>
  <si>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</si>
  <si>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</si>
  <si>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</si>
  <si>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</si>
  <si>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</si>
  <si>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</si>
  <si>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</si>
  <si>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</si>
  <si>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</si>
  <si>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</si>
  <si>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</si>
  <si>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</si>
  <si>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</si>
  <si>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</si>
  <si>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</si>
  <si>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</si>
  <si>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</si>
  <si>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</si>
  <si>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</si>
  <si>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</si>
  <si>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</si>
  <si>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</si>
  <si>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</si>
  <si>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</si>
  <si>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</si>
  <si>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</si>
  <si>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</si>
  <si>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</si>
  <si>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</si>
  <si>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</si>
  <si>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</si>
  <si>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</si>
  <si>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</si>
  <si>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</si>
  <si>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</si>
  <si>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</si>
  <si>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</si>
  <si>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</si>
  <si>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</si>
  <si>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</si>
  <si>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</si>
  <si>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</si>
  <si>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</si>
  <si>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</si>
  <si>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</si>
  <si>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</si>
  <si>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</si>
  <si>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</si>
  <si>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</si>
  <si>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</si>
  <si>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</si>
  <si>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</si>
  <si>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</si>
  <si>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</si>
  <si>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</si>
  <si>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</si>
  <si>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</si>
  <si>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</si>
  <si>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</si>
  <si>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</si>
  <si>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</si>
  <si>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</si>
  <si>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</si>
  <si>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</si>
  <si>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</si>
  <si>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</si>
  <si>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</si>
  <si>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</si>
  <si>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</si>
  <si>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</si>
  <si>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</si>
  <si>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</si>
  <si>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</si>
  <si>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</si>
  <si>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</si>
  <si>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</si>
  <si>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</si>
  <si>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</si>
  <si>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</si>
  <si>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</si>
  <si>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</si>
  <si>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</si>
  <si>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</si>
  <si>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</si>
  <si>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</si>
  <si>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</si>
  <si>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</si>
  <si>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</si>
  <si>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</si>
  <si>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</si>
  <si>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</si>
  <si>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</si>
  <si>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</si>
  <si>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</si>
  <si>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</si>
  <si>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</si>
  <si>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</si>
  <si>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</si>
  <si>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</si>
  <si>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</si>
  <si>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</si>
  <si>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</si>
  <si>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</si>
  <si>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</si>
  <si>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</si>
  <si>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</si>
  <si>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</si>
  <si>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</si>
  <si>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</si>
  <si>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</si>
  <si>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</si>
  <si>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</si>
  <si>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</si>
  <si>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</si>
  <si>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</si>
  <si>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</si>
  <si>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</si>
  <si>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</si>
  <si>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</si>
  <si>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</si>
  <si>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</si>
  <si>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</si>
  <si>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</si>
  <si>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</si>
  <si>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</si>
  <si>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</si>
  <si>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</si>
  <si>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</si>
  <si>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</si>
  <si>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</si>
  <si>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</si>
  <si>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</si>
  <si>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</si>
  <si>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</si>
  <si>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</si>
  <si>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</si>
  <si>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</si>
  <si>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</si>
  <si>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</si>
  <si>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</si>
  <si>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</si>
  <si>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</si>
  <si>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</si>
  <si>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</si>
  <si>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</si>
  <si>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</si>
  <si>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</si>
  <si>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</si>
  <si>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</si>
  <si>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</si>
  <si>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</si>
  <si>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</si>
  <si>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</si>
  <si>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</si>
  <si>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</si>
  <si>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</si>
  <si>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</si>
  <si>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</si>
  <si>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</si>
  <si>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</si>
  <si>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</si>
  <si>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</si>
  <si>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</si>
  <si>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</si>
  <si>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</si>
  <si>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</si>
  <si>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</si>
  <si>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</si>
  <si>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</si>
  <si>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</si>
  <si>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</si>
  <si>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</si>
  <si>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</si>
  <si>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</si>
  <si>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</si>
  <si>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</si>
  <si>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</si>
  <si>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</si>
  <si>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</si>
  <si>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</si>
  <si>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</si>
  <si>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</si>
  <si>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</si>
  <si>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</si>
  <si>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</si>
  <si>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</si>
  <si>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</si>
  <si>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</si>
  <si>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</si>
  <si>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</si>
  <si>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</si>
  <si>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</si>
  <si>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</si>
  <si>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</si>
  <si>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</si>
  <si>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</si>
  <si>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</si>
  <si>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</si>
  <si>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</si>
  <si>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</si>
  <si>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</si>
  <si>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</si>
  <si>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</si>
  <si>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</si>
  <si>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</si>
  <si>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</si>
  <si>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</si>
  <si>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</si>
  <si>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</si>
  <si>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</si>
  <si>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</si>
  <si>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</si>
  <si>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</si>
  <si>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</si>
  <si>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</si>
  <si>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</si>
  <si>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</si>
  <si>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</si>
  <si>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</si>
  <si>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</si>
  <si>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</si>
  <si>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</si>
  <si>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</si>
  <si>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</si>
  <si>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</si>
  <si>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</si>
  <si>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</si>
  <si>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</si>
  <si>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</si>
  <si>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</si>
  <si>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</si>
  <si>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</si>
  <si>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</si>
  <si>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</si>
  <si>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</si>
  <si>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</si>
  <si>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</si>
  <si>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</si>
  <si>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</si>
  <si>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</si>
  <si>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</si>
  <si>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</si>
  <si>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</si>
  <si>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</si>
  <si>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</si>
  <si>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</si>
  <si>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</si>
  <si>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</si>
  <si>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</si>
  <si>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</si>
  <si>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</si>
  <si>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</si>
  <si>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</si>
  <si>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</si>
  <si>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</si>
  <si>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</si>
  <si>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</si>
  <si>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</si>
  <si>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</si>
  <si>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</si>
  <si>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</si>
  <si>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</si>
  <si>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</si>
  <si>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</si>
  <si>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</si>
  <si>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</si>
  <si>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</si>
  <si>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</si>
  <si>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</si>
  <si>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</si>
  <si>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</si>
  <si>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</si>
  <si>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</si>
  <si>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</si>
  <si>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</si>
  <si>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</si>
  <si>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</si>
  <si>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</si>
  <si>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</si>
  <si>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</si>
  <si>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</si>
  <si>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</si>
  <si>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</si>
  <si>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</si>
  <si>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</si>
  <si>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</si>
  <si>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</si>
  <si>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</si>
  <si>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</si>
  <si>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</si>
  <si>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</si>
  <si>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</si>
  <si>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</si>
  <si>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</si>
  <si>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</si>
  <si>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</si>
  <si>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</si>
  <si>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</si>
  <si>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</si>
  <si>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</si>
  <si>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</si>
  <si>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</si>
  <si>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</si>
  <si>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</si>
  <si>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</si>
  <si>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</si>
  <si>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</si>
  <si>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</si>
  <si>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</si>
  <si>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</si>
  <si>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</si>
  <si>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</si>
  <si>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</si>
  <si>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</si>
  <si>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</si>
  <si>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</si>
  <si>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</si>
  <si>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</si>
  <si>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</si>
  <si>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</si>
  <si>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</si>
  <si>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</si>
  <si>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</si>
  <si>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</si>
  <si>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</si>
  <si>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</si>
  <si>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</si>
  <si>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</si>
  <si>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</si>
  <si>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</si>
  <si>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</si>
  <si>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</si>
  <si>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</si>
  <si>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</si>
  <si>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</si>
  <si>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</si>
  <si>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</si>
  <si>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</si>
  <si>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</si>
  <si>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</si>
  <si>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</si>
  <si>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</si>
  <si>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</si>
  <si>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</si>
  <si>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</si>
  <si>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</si>
  <si>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</si>
  <si>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</si>
  <si>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</si>
  <si>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</si>
  <si>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</si>
  <si>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</si>
  <si>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</si>
  <si>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</si>
  <si>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</si>
  <si>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</si>
  <si>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</si>
  <si>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</si>
  <si>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</si>
  <si>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</si>
  <si>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</si>
  <si>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</si>
  <si>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</si>
  <si>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</si>
  <si>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</si>
  <si>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</si>
  <si>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</si>
  <si>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</si>
  <si>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</si>
  <si>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</si>
  <si>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</si>
  <si>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</si>
  <si>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</si>
  <si>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</si>
  <si>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</si>
  <si>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</si>
  <si>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</si>
  <si>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</si>
  <si>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</si>
  <si>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</si>
  <si>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</si>
  <si>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</si>
  <si>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</si>
  <si>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</si>
  <si>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</si>
  <si>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</si>
  <si>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</si>
  <si>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</si>
  <si>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</si>
  <si>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</si>
  <si>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</si>
  <si>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</si>
  <si>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</si>
  <si>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</si>
  <si>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</si>
  <si>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</si>
  <si>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</si>
  <si>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</si>
  <si>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</si>
  <si>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</si>
  <si>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</si>
  <si>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</si>
  <si>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</si>
  <si>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</si>
  <si>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</si>
  <si>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</si>
  <si>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</si>
  <si>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</si>
  <si>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</si>
  <si>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</si>
  <si>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</si>
  <si>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</si>
  <si>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</si>
  <si>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</si>
  <si>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</si>
  <si>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</si>
  <si>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</si>
  <si>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</si>
  <si>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</si>
  <si>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</si>
  <si>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</si>
  <si>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</si>
  <si>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</si>
  <si>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</si>
  <si>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</si>
  <si>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</si>
  <si>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</si>
  <si>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</si>
  <si>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</si>
  <si>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</si>
  <si>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</si>
  <si>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</si>
  <si>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</si>
  <si>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</si>
  <si>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</si>
  <si>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</si>
  <si>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</si>
  <si>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</si>
  <si>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</si>
  <si>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</si>
  <si>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</si>
  <si>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</si>
  <si>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</si>
  <si>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</si>
  <si>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</si>
  <si>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</si>
  <si>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</si>
  <si>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</si>
  <si>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</si>
  <si>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</si>
  <si>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</si>
  <si>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</si>
  <si>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</si>
  <si>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</si>
  <si>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</si>
  <si>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</si>
  <si>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</si>
  <si>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</si>
  <si>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</si>
  <si>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</si>
  <si>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</si>
  <si>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</si>
  <si>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</si>
  <si>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</si>
  <si>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</si>
  <si>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</si>
  <si>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</si>
  <si>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</si>
  <si>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</si>
  <si>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</si>
  <si>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</si>
  <si>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</si>
  <si>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</si>
  <si>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</si>
  <si>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</si>
  <si>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</si>
  <si>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</si>
  <si>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</si>
  <si>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</si>
  <si>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</si>
  <si>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</si>
  <si>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</si>
  <si>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</si>
  <si>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</si>
  <si>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</si>
  <si>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</si>
  <si>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</si>
  <si>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</si>
  <si>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</si>
  <si>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</si>
  <si>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</si>
  <si>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</si>
  <si>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</si>
  <si>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</si>
  <si>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</si>
  <si>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</si>
  <si>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</si>
  <si>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</si>
  <si>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</si>
  <si>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</si>
  <si>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</si>
  <si>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</si>
  <si>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</si>
  <si>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</si>
  <si>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</si>
  <si>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</si>
  <si>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</si>
  <si>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</si>
  <si>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</si>
  <si>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</si>
  <si>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</si>
  <si>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</si>
  <si>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</si>
  <si>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</si>
  <si>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</si>
  <si>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</si>
  <si>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</si>
  <si>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</si>
  <si>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</si>
  <si>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</si>
  <si>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</si>
  <si>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</si>
  <si>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</si>
  <si>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</si>
  <si>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</si>
  <si>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</si>
  <si>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</si>
  <si>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</si>
  <si>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</si>
  <si>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</si>
  <si>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</si>
  <si>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</si>
  <si>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</si>
  <si>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</si>
  <si>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</si>
  <si>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</si>
  <si>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</si>
  <si>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</si>
  <si>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</si>
  <si>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</si>
  <si>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</si>
  <si>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</si>
  <si>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</si>
  <si>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</si>
  <si>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</si>
  <si>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</si>
  <si>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</si>
  <si>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</si>
  <si>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</si>
  <si>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</si>
  <si>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</si>
  <si>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</si>
  <si>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</si>
  <si>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</si>
  <si>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</si>
  <si>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</si>
  <si>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</si>
  <si>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</si>
  <si>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</si>
  <si>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</si>
  <si>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</si>
  <si>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</si>
  <si>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</si>
  <si>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</si>
  <si>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</si>
  <si>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</si>
  <si>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</si>
  <si>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</si>
  <si>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</si>
  <si>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</si>
  <si>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</si>
  <si>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</si>
  <si>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</si>
  <si>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</si>
  <si>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</si>
  <si>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</si>
  <si>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</si>
  <si>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</si>
  <si>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</si>
  <si>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</si>
  <si>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</si>
  <si>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</si>
  <si>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</si>
  <si>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</si>
  <si>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</si>
  <si>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</si>
  <si>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</si>
  <si>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</si>
  <si>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</si>
  <si>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</si>
  <si>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</si>
  <si>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</si>
  <si>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</si>
  <si>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</si>
  <si>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</si>
  <si>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</si>
  <si>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</si>
  <si>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</si>
  <si>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</si>
  <si>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</si>
  <si>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</si>
  <si>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</si>
  <si>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</si>
  <si>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</si>
  <si>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</si>
  <si>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</si>
  <si>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</si>
  <si>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</si>
  <si>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</si>
  <si>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</si>
  <si>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</si>
  <si>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</si>
  <si>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</si>
  <si>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</si>
  <si>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</si>
  <si>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</si>
  <si>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</si>
  <si>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</si>
  <si>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</si>
  <si>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</si>
  <si>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</si>
  <si>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</si>
  <si>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</si>
  <si>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</si>
  <si>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</si>
  <si>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</si>
  <si>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</si>
  <si>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</si>
  <si>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</si>
  <si>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</si>
  <si>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</si>
  <si>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</si>
  <si>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</si>
  <si>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</si>
  <si>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</si>
  <si>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</si>
  <si>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</si>
  <si>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</si>
  <si>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</si>
  <si>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</si>
  <si>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</si>
  <si>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</si>
  <si>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</si>
  <si>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</si>
  <si>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</si>
  <si>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</si>
  <si>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</si>
  <si>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</si>
  <si>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</si>
  <si>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</si>
  <si>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</si>
  <si>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</si>
  <si>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</si>
  <si>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</si>
  <si>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</si>
  <si>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</si>
  <si>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</si>
  <si>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</si>
  <si>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</si>
  <si>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</si>
  <si>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</si>
  <si>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</si>
  <si>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</si>
  <si>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</si>
  <si>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</si>
  <si>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</si>
  <si>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</si>
  <si>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</si>
  <si>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</si>
  <si>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</si>
  <si>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</si>
  <si>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</si>
  <si>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</si>
  <si>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</si>
  <si>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</si>
  <si>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</si>
  <si>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</si>
  <si>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</si>
  <si>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</si>
  <si>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</si>
  <si>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</si>
  <si>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</si>
  <si>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</si>
  <si>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</si>
  <si>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</si>
  <si>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</si>
  <si>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</si>
  <si>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</si>
  <si>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</si>
  <si>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</si>
  <si>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</si>
  <si>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</si>
  <si>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</si>
  <si>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</si>
  <si>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</si>
  <si>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</si>
  <si>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</si>
  <si>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</si>
  <si>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</si>
  <si>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</si>
  <si>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</si>
  <si>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</si>
  <si>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</si>
  <si>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</si>
  <si>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</si>
  <si>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</si>
  <si>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</si>
  <si>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</si>
  <si>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</si>
  <si>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</si>
  <si>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</si>
  <si>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</si>
  <si>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</si>
  <si>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</si>
  <si>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</si>
  <si>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</si>
  <si>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</si>
  <si>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</si>
  <si>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</si>
  <si>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</si>
  <si>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</si>
  <si>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</si>
  <si>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</si>
  <si>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</si>
  <si>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</si>
  <si>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</si>
  <si>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</si>
  <si>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</si>
  <si>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</si>
  <si>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</si>
  <si>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</si>
  <si>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</si>
  <si>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</si>
  <si>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</si>
  <si>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</si>
  <si>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</si>
  <si>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</si>
  <si>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</si>
  <si>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</si>
  <si>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</si>
  <si>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</si>
  <si>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</si>
  <si>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</si>
  <si>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</si>
  <si>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</si>
  <si>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</si>
  <si>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</si>
  <si>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</si>
  <si>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</si>
  <si>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</si>
  <si>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</si>
  <si>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</si>
  <si>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</si>
  <si>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</si>
  <si>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</si>
  <si>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</si>
  <si>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</si>
  <si>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</si>
  <si>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</si>
  <si>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</si>
  <si>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</si>
  <si>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</si>
  <si>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</si>
  <si>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</si>
  <si>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</si>
  <si>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</si>
  <si>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</si>
  <si>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</si>
  <si>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</si>
  <si>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</si>
  <si>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</si>
  <si>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</si>
  <si>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</si>
  <si>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</si>
  <si>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</si>
  <si>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</si>
  <si>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</si>
  <si>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</si>
  <si>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</si>
  <si>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</si>
  <si>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</si>
  <si>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</si>
  <si>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</si>
  <si>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</si>
  <si>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</si>
  <si>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</si>
  <si>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</si>
  <si>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</si>
  <si>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</si>
  <si>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</si>
  <si>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</si>
  <si>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</si>
  <si>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</si>
  <si>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</si>
  <si>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</si>
  <si>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</si>
  <si>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</si>
  <si>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</si>
  <si>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</si>
  <si>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</si>
  <si>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</si>
  <si>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</si>
  <si>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</si>
  <si>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</si>
  <si>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</si>
  <si>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</si>
  <si>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</si>
  <si>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</si>
  <si>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</si>
  <si>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</si>
  <si>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</si>
  <si>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</si>
  <si>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</si>
  <si>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</si>
  <si>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</si>
  <si>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</si>
  <si>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</si>
  <si>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</si>
  <si>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</si>
  <si>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</si>
  <si>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</si>
  <si>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</si>
  <si>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</si>
  <si>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</si>
  <si>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</si>
  <si>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</si>
  <si>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</si>
  <si>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</si>
  <si>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</si>
  <si>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</si>
  <si>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</si>
  <si>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</si>
  <si>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</si>
  <si>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</si>
  <si>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</si>
  <si>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</si>
  <si>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</si>
  <si>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</si>
  <si>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</si>
  <si>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</si>
  <si>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</si>
  <si>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</si>
  <si>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</si>
  <si>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</si>
  <si>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</si>
  <si>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</si>
  <si>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</si>
  <si>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</si>
  <si>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</si>
  <si>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</si>
  <si>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</si>
  <si>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</si>
  <si>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</si>
  <si>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</si>
  <si>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</si>
  <si>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</si>
  <si>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</si>
  <si>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</si>
  <si>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</si>
  <si>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</si>
  <si>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</si>
  <si>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</si>
  <si>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</si>
  <si>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</si>
  <si>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</si>
  <si>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</si>
  <si>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</si>
  <si>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</si>
  <si>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</si>
  <si>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</si>
  <si>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</si>
  <si>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</si>
  <si>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</si>
  <si>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</si>
  <si>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</si>
  <si>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</si>
  <si>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</si>
  <si>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</si>
  <si>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</si>
  <si>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</si>
  <si>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</si>
  <si>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</si>
  <si>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</si>
  <si>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</si>
  <si>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</si>
  <si>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</si>
  <si>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</si>
  <si>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</si>
  <si>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</si>
  <si>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</si>
  <si>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</si>
  <si>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</si>
  <si>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</si>
  <si>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</si>
  <si>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</si>
  <si>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</si>
  <si>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</si>
  <si>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</si>
  <si>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</si>
  <si>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</si>
  <si>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</si>
  <si>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</si>
  <si>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</si>
  <si>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</si>
  <si>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</si>
  <si>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</si>
  <si>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</si>
  <si>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</si>
  <si>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</si>
  <si>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</si>
  <si>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</si>
  <si>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</si>
  <si>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</si>
  <si>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</si>
  <si>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</si>
  <si>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</si>
  <si>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</si>
  <si>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</si>
  <si>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</si>
  <si>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</si>
  <si>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</si>
  <si>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</si>
  <si>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</si>
  <si>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</si>
  <si>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</si>
  <si>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</si>
  <si>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</si>
  <si>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</si>
  <si>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</si>
  <si>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</si>
  <si>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</si>
  <si>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</si>
  <si>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</si>
  <si>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</si>
  <si>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</si>
  <si>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</si>
  <si>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</si>
  <si>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</si>
  <si>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</si>
  <si>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</si>
  <si>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</si>
  <si>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</si>
  <si>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</si>
  <si>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</si>
  <si>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</si>
  <si>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</si>
  <si>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</si>
  <si>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</si>
  <si>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</si>
  <si>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</si>
  <si>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</si>
  <si>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</si>
  <si>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</si>
  <si>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</si>
  <si>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</si>
  <si>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</si>
  <si>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</si>
  <si>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</si>
  <si>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</si>
  <si>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</si>
  <si>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</si>
  <si>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</si>
  <si>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</si>
  <si>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</si>
  <si>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</si>
  <si>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</si>
  <si>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</si>
  <si>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</si>
  <si>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</si>
  <si>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</si>
  <si>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</si>
  <si>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</si>
  <si>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</si>
  <si>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</si>
  <si>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</si>
  <si>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</si>
  <si>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</si>
  <si>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</si>
  <si>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</si>
  <si>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</si>
  <si>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</si>
  <si>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</si>
  <si>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</si>
  <si>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</si>
  <si>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</si>
  <si>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</si>
  <si>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</si>
  <si>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</si>
  <si>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</si>
  <si>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</si>
  <si>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</si>
  <si>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</si>
  <si>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</si>
  <si>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</si>
  <si>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</si>
  <si>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</si>
  <si>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</si>
  <si>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</si>
  <si>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</si>
  <si>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</si>
  <si>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</si>
  <si>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</si>
  <si>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</si>
  <si>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</si>
  <si>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</si>
  <si>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</si>
  <si>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</si>
  <si>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</si>
  <si>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</si>
  <si>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</si>
  <si>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</si>
  <si>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</si>
  <si>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</si>
  <si>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</si>
  <si>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</si>
  <si>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</si>
  <si>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</si>
  <si>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</si>
  <si>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</si>
  <si>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</si>
  <si>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</si>
  <si>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</si>
  <si>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</si>
  <si>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</si>
  <si>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</si>
  <si>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</si>
  <si>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</si>
  <si>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</si>
  <si>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</si>
  <si>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</si>
  <si>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</si>
  <si>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</si>
  <si>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</si>
  <si>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</si>
  <si>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</si>
  <si>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</si>
  <si>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</si>
  <si>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</si>
  <si>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</si>
  <si>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</si>
  <si>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</si>
  <si>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</si>
  <si>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</si>
  <si>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</si>
  <si>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</si>
  <si>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</si>
  <si>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</si>
  <si>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</si>
  <si>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通上水</t>
  </si>
  <si>
    <t>通下水</t>
  </si>
  <si>
    <t>通热</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</si>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</sst>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8">
    <numFmt numFmtId="176" formatCode="0.00_ "/>
    <numFmt numFmtId="177" formatCode="[DBNum1][$-804]yyyy&quot;年&quot;m&quot;月&quot;d&quot;日&quot;;@"/>
    <numFmt numFmtId="178" formatCode="0.0_);[Red]\(0.0\)"/>
    <numFmt numFmtId="179" formatCode="0.0000_ "/>
    <numFmt numFmtId="42" formatCode="_ &quot;￥&quot;* #,##0_ ;_ &quot;￥&quot;* \-#,##0_ ;_ &quot;￥&quot;* &quot;-&quot;_ ;_ @_ "/>
    <numFmt numFmtId="180" formatCode="0.000_ "/>
    <numFmt numFmtId="41" formatCode="_ * #,##0_ ;_ * \-#,##0_ ;_ * &quot;-&quot;_ ;_ @_ "/>
    <numFmt numFmtId="44" formatCode="_ &quot;￥&quot;* #,##0.00_ ;_ &quot;￥&quot;* \-#,##0.00_ ;_ &quot;￥&quot;* &quot;-&quot;??_ ;_ @_ "/>
    <numFmt numFmtId="181" formatCode="yyyy&quot;年&quot;m&quot;月&quot;d&quot;日&quot;;@"/>
    <numFmt numFmtId="43" formatCode="_ * #,##0.00_ ;_ * \-#,##0.00_ ;_ * &quot;-&quot;??_ ;_ @_ "/>
    <numFmt numFmtId="182" formatCode="[$-F800]dddd\,\ mmmm\ dd\,\ yyyy"/>
    <numFmt numFmtId="183" formatCode="yyyy/m/d;@"/>
    <numFmt numFmtId="184" formatCode="0_ "/>
    <numFmt numFmtId="185" formatCode="0_);[Red]\(0\)"/>
    <numFmt numFmtId="186" formatCode="0.0%"/>
    <numFmt numFmtId="187" formatCode="0.0_ "/>
    <numFmt numFmtId="188" formatCode="0.00_);[Red]\(0.00\)"/>
    <numFmt numFmtId="189" formatCode="0.000_);[Red]\(0.000\)"/>
    <numFmt numFmtId="190" formatCode="yyyy&quot;年&quot;m&quot;月&quot;;@"/>
    <numFmt numFmtId="191" formatCode="0.000%"/>
    <numFmt numFmtId="192" formatCode="0_ ;[Red]\-0\ "/>
    <numFmt numFmtId="193" formatCode="0.0000%"/>
    <numFmt numFmtId="194" formatCode="0;_쐀"/>
    <numFmt numFmtId="195" formatCode="000000"/>
    <numFmt numFmtId="196" formatCode="[DBNum2][$-804]General"/>
    <numFmt numFmtId="197" formatCode="[DBNum2]General"/>
    <numFmt numFmtId="198" formatCode="[DBNum1][$-804]General"/>
    <numFmt numFmtId="199" formatCode="[DBNum1]General"/>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sz val="10"/>
      <color indexed="8"/>
      <name val="宋体"/>
      <charset val="134"/>
    </font>
    <font>
      <sz val="10"/>
      <name val="Times New Roman"/>
      <charset val="134"/>
    </font>
    <font>
      <sz val="10"/>
      <color indexed="10"/>
      <name val="宋体"/>
      <charset val="134"/>
    </font>
    <font>
      <b/>
      <sz val="12"/>
      <color indexed="10"/>
      <name val="Arial"/>
      <charset val="134"/>
    </font>
    <font>
      <sz val="11"/>
      <color rgb="FF000000"/>
      <name val="宋体"/>
      <charset val="134"/>
    </font>
    <font>
      <sz val="11"/>
      <name val="宋体"/>
      <charset val="134"/>
    </font>
    <font>
      <sz val="11"/>
      <color rgb="FFFF0000"/>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2"/>
      <color indexed="8"/>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sz val="10"/>
      <color indexed="8"/>
      <name val="Times New Roman"/>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楷体_GB2312"/>
      <charset val="134"/>
    </font>
    <font>
      <sz val="14"/>
      <name val="楷体_GB2312"/>
      <charset val="134"/>
    </font>
    <font>
      <sz val="11"/>
      <name val="宋体"/>
      <charset val="0"/>
      <scheme val="minor"/>
    </font>
    <font>
      <sz val="9"/>
      <name val="Times New Roman"/>
      <charset val="134"/>
    </font>
    <font>
      <sz val="11"/>
      <name val="宋体"/>
      <charset val="134"/>
    </font>
    <font>
      <b/>
      <sz val="9"/>
      <name val="宋体"/>
      <charset val="134"/>
    </font>
    <font>
      <b/>
      <sz val="10"/>
      <name val="宋体"/>
      <charset val="134"/>
    </font>
    <font>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7" tint="0.399945066682943"/>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64">
    <xf numFmtId="0" fontId="0" fillId="0" borderId="0">
      <alignment vertical="center"/>
    </xf>
    <xf numFmtId="42" fontId="0" fillId="0" borderId="0" applyFont="0" applyFill="0" applyBorder="0" applyAlignment="0" applyProtection="0">
      <alignment vertical="center"/>
    </xf>
    <xf numFmtId="0" fontId="151" fillId="32" borderId="0" applyNumberFormat="0" applyBorder="0" applyAlignment="0" applyProtection="0">
      <alignment vertical="center"/>
    </xf>
    <xf numFmtId="0" fontId="154" fillId="33"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9" borderId="0" applyNumberFormat="0" applyBorder="0" applyAlignment="0" applyProtection="0">
      <alignment vertical="center"/>
    </xf>
    <xf numFmtId="0" fontId="157" fillId="36" borderId="0" applyNumberFormat="0" applyBorder="0" applyAlignment="0" applyProtection="0">
      <alignment vertical="center"/>
    </xf>
    <xf numFmtId="43" fontId="0" fillId="0" borderId="0" applyFont="0" applyFill="0" applyBorder="0" applyAlignment="0" applyProtection="0">
      <alignment vertical="center"/>
    </xf>
    <xf numFmtId="0" fontId="150" fillId="40"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41" borderId="182" applyNumberFormat="0" applyFont="0" applyAlignment="0" applyProtection="0">
      <alignment vertical="center"/>
    </xf>
    <xf numFmtId="0" fontId="150" fillId="42" borderId="0" applyNumberFormat="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6" fillId="0" borderId="183" applyNumberFormat="0" applyFill="0" applyAlignment="0" applyProtection="0">
      <alignment vertical="center"/>
    </xf>
    <xf numFmtId="0" fontId="0" fillId="0" borderId="0"/>
    <xf numFmtId="0" fontId="167" fillId="0" borderId="183" applyNumberFormat="0" applyFill="0" applyAlignment="0" applyProtection="0">
      <alignment vertical="center"/>
    </xf>
    <xf numFmtId="0" fontId="150" fillId="31" borderId="0" applyNumberFormat="0" applyBorder="0" applyAlignment="0" applyProtection="0">
      <alignment vertical="center"/>
    </xf>
    <xf numFmtId="0" fontId="162" fillId="0" borderId="184" applyNumberFormat="0" applyFill="0" applyAlignment="0" applyProtection="0">
      <alignment vertical="center"/>
    </xf>
    <xf numFmtId="0" fontId="150" fillId="29" borderId="0" applyNumberFormat="0" applyBorder="0" applyAlignment="0" applyProtection="0">
      <alignment vertical="center"/>
    </xf>
    <xf numFmtId="0" fontId="155" fillId="35" borderId="180" applyNumberFormat="0" applyAlignment="0" applyProtection="0">
      <alignment vertical="center"/>
    </xf>
    <xf numFmtId="0" fontId="159" fillId="35" borderId="179" applyNumberFormat="0" applyAlignment="0" applyProtection="0">
      <alignment vertical="center"/>
    </xf>
    <xf numFmtId="0" fontId="152" fillId="28" borderId="178" applyNumberFormat="0" applyAlignment="0" applyProtection="0">
      <alignment vertical="center"/>
    </xf>
    <xf numFmtId="0" fontId="151" fillId="27" borderId="0" applyNumberFormat="0" applyBorder="0" applyAlignment="0" applyProtection="0">
      <alignment vertical="center"/>
    </xf>
    <xf numFmtId="0" fontId="150" fillId="34" borderId="0" applyNumberFormat="0" applyBorder="0" applyAlignment="0" applyProtection="0">
      <alignment vertical="center"/>
    </xf>
    <xf numFmtId="0" fontId="168" fillId="0" borderId="185" applyNumberFormat="0" applyFill="0" applyAlignment="0" applyProtection="0">
      <alignment vertical="center"/>
    </xf>
    <xf numFmtId="0" fontId="158" fillId="0" borderId="181" applyNumberFormat="0" applyFill="0" applyAlignment="0" applyProtection="0">
      <alignment vertical="center"/>
    </xf>
    <xf numFmtId="0" fontId="153" fillId="30" borderId="0" applyNumberFormat="0" applyBorder="0" applyAlignment="0" applyProtection="0">
      <alignment vertical="center"/>
    </xf>
    <xf numFmtId="0" fontId="0" fillId="0" borderId="0">
      <alignment vertical="center"/>
    </xf>
    <xf numFmtId="0" fontId="161" fillId="47" borderId="0" applyNumberFormat="0" applyBorder="0" applyAlignment="0" applyProtection="0">
      <alignment vertical="center"/>
    </xf>
    <xf numFmtId="0" fontId="120" fillId="0" borderId="0">
      <alignment vertical="center"/>
    </xf>
    <xf numFmtId="0" fontId="151" fillId="39" borderId="0" applyNumberFormat="0" applyBorder="0" applyAlignment="0" applyProtection="0">
      <alignment vertical="center"/>
    </xf>
    <xf numFmtId="0" fontId="150" fillId="26" borderId="0" applyNumberFormat="0" applyBorder="0" applyAlignment="0" applyProtection="0">
      <alignment vertical="center"/>
    </xf>
    <xf numFmtId="0" fontId="151" fillId="48" borderId="0" applyNumberFormat="0" applyBorder="0" applyAlignment="0" applyProtection="0">
      <alignment vertical="center"/>
    </xf>
    <xf numFmtId="0" fontId="151" fillId="38" borderId="0" applyNumberFormat="0" applyBorder="0" applyAlignment="0" applyProtection="0">
      <alignment vertical="center"/>
    </xf>
    <xf numFmtId="0" fontId="151" fillId="46" borderId="0" applyNumberFormat="0" applyBorder="0" applyAlignment="0" applyProtection="0">
      <alignment vertical="center"/>
    </xf>
    <xf numFmtId="0" fontId="151" fillId="25" borderId="0" applyNumberFormat="0" applyBorder="0" applyAlignment="0" applyProtection="0">
      <alignment vertical="center"/>
    </xf>
    <xf numFmtId="0" fontId="150" fillId="45" borderId="0" applyNumberFormat="0" applyBorder="0" applyAlignment="0" applyProtection="0">
      <alignment vertical="center"/>
    </xf>
    <xf numFmtId="0" fontId="0" fillId="0" borderId="0">
      <alignment vertical="center"/>
    </xf>
    <xf numFmtId="0" fontId="150" fillId="24" borderId="0" applyNumberFormat="0" applyBorder="0" applyAlignment="0" applyProtection="0">
      <alignment vertical="center"/>
    </xf>
    <xf numFmtId="0" fontId="151" fillId="50" borderId="0" applyNumberFormat="0" applyBorder="0" applyAlignment="0" applyProtection="0">
      <alignment vertical="center"/>
    </xf>
    <xf numFmtId="0" fontId="151" fillId="44" borderId="0" applyNumberFormat="0" applyBorder="0" applyAlignment="0" applyProtection="0">
      <alignment vertical="center"/>
    </xf>
    <xf numFmtId="0" fontId="150" fillId="52"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49" borderId="0" applyNumberFormat="0" applyBorder="0" applyAlignment="0" applyProtection="0">
      <alignment vertical="center"/>
    </xf>
    <xf numFmtId="0" fontId="150" fillId="37" borderId="0" applyNumberFormat="0" applyBorder="0" applyAlignment="0" applyProtection="0">
      <alignment vertical="center"/>
    </xf>
    <xf numFmtId="0" fontId="151" fillId="51" borderId="0" applyNumberFormat="0" applyBorder="0" applyAlignment="0" applyProtection="0">
      <alignment vertical="center"/>
    </xf>
    <xf numFmtId="0" fontId="150" fillId="43"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xf numFmtId="0" fontId="169" fillId="0" borderId="0"/>
    <xf numFmtId="44" fontId="80" fillId="0" borderId="0" applyFont="0" applyFill="0" applyBorder="0" applyAlignment="0" applyProtection="0"/>
  </cellStyleXfs>
  <cellXfs count="402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3"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6"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5" fontId="17" fillId="5" borderId="0" xfId="20" applyNumberFormat="1" applyFont="1" applyFill="1" applyBorder="1" applyAlignment="1">
      <alignment horizontal="left" vertical="center"/>
    </xf>
    <xf numFmtId="185"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5"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5" fontId="16" fillId="6" borderId="23" xfId="20" applyNumberFormat="1" applyFont="1" applyFill="1" applyBorder="1" applyAlignment="1">
      <alignment horizontal="left" vertical="center" wrapText="1"/>
    </xf>
    <xf numFmtId="185" fontId="16" fillId="6" borderId="24" xfId="20" applyNumberFormat="1" applyFont="1" applyFill="1" applyBorder="1" applyAlignment="1">
      <alignment horizontal="left" vertical="center" wrapText="1"/>
    </xf>
    <xf numFmtId="185"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5" fontId="16" fillId="6" borderId="22" xfId="20" applyNumberFormat="1" applyFont="1" applyFill="1" applyBorder="1" applyAlignment="1">
      <alignment horizontal="left" vertical="center" wrapText="1"/>
    </xf>
    <xf numFmtId="185"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5"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5" fontId="16" fillId="6" borderId="29" xfId="20" applyNumberFormat="1" applyFont="1" applyFill="1" applyBorder="1" applyAlignment="1">
      <alignment horizontal="left" vertical="center" wrapText="1"/>
    </xf>
    <xf numFmtId="185" fontId="16" fillId="6" borderId="31" xfId="20" applyNumberFormat="1" applyFont="1" applyFill="1" applyBorder="1" applyAlignment="1">
      <alignment horizontal="left" vertical="center" wrapText="1"/>
    </xf>
    <xf numFmtId="185" fontId="18" fillId="5" borderId="0" xfId="20" applyNumberFormat="1" applyFont="1" applyFill="1" applyAlignment="1">
      <alignment horizontal="left" vertical="center"/>
    </xf>
    <xf numFmtId="185"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4"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0" borderId="0" xfId="20" applyNumberFormat="1" applyFont="1" applyAlignment="1">
      <alignment horizontal="left" vertical="center"/>
    </xf>
    <xf numFmtId="0" fontId="18" fillId="0" borderId="0" xfId="20" applyFont="1" applyFill="1" applyAlignment="1">
      <alignment horizontal="left" vertical="center"/>
    </xf>
    <xf numFmtId="184"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4"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0" fontId="18" fillId="0" borderId="0" xfId="20" applyNumberFormat="1" applyFont="1" applyAlignment="1">
      <alignment horizontal="left" vertical="center"/>
    </xf>
    <xf numFmtId="180" fontId="18" fillId="0" borderId="19" xfId="20" applyNumberFormat="1" applyFont="1" applyBorder="1" applyAlignment="1">
      <alignment horizontal="left" vertical="center"/>
    </xf>
    <xf numFmtId="180"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0" fontId="19" fillId="0" borderId="0" xfId="20" applyNumberFormat="1" applyFont="1" applyAlignment="1">
      <alignment horizontal="left" vertical="center"/>
    </xf>
    <xf numFmtId="180" fontId="19" fillId="0" borderId="19" xfId="20" applyNumberFormat="1" applyFont="1" applyBorder="1" applyAlignment="1">
      <alignment horizontal="left" vertical="center"/>
    </xf>
    <xf numFmtId="187" fontId="18" fillId="0" borderId="18" xfId="20" applyNumberFormat="1" applyFont="1" applyBorder="1" applyAlignment="1">
      <alignment horizontal="left" vertical="center"/>
    </xf>
    <xf numFmtId="18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6"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6"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9" fontId="24" fillId="2" borderId="52" xfId="0" applyNumberFormat="1" applyFont="1" applyFill="1" applyBorder="1" applyAlignment="1" applyProtection="1">
      <alignment horizontal="left" vertical="center" wrapText="1"/>
    </xf>
    <xf numFmtId="17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6"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4" fontId="19" fillId="0"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8"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8"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8"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8"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7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8"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8"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8"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8"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84"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8"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78"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8"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7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8"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8"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8"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8" fontId="61" fillId="2" borderId="117" xfId="0" applyNumberFormat="1" applyFont="1" applyFill="1" applyBorder="1" applyAlignment="1" applyProtection="1">
      <alignment horizontal="center" vertical="center"/>
      <protection locked="0"/>
    </xf>
    <xf numFmtId="178" fontId="43" fillId="13" borderId="14" xfId="0" applyNumberFormat="1" applyFont="1" applyFill="1" applyBorder="1" applyAlignment="1" applyProtection="1">
      <alignment horizontal="center" vertical="center"/>
      <protection locked="0"/>
    </xf>
    <xf numFmtId="17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8"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8"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5" fontId="48" fillId="2" borderId="95"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5"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9" xfId="59" applyNumberFormat="1" applyFont="1" applyFill="1" applyBorder="1" applyAlignment="1">
      <alignment horizontal="left" vertical="center"/>
    </xf>
    <xf numFmtId="186"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4"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4" fontId="53" fillId="0" borderId="7" xfId="59" applyNumberFormat="1" applyFont="1" applyFill="1" applyBorder="1" applyAlignment="1" applyProtection="1">
      <alignment horizontal="left" vertical="center"/>
      <protection locked="0"/>
    </xf>
    <xf numFmtId="184"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4" fontId="18" fillId="0" borderId="8" xfId="57" applyNumberFormat="1" applyFont="1" applyBorder="1" applyAlignment="1" applyProtection="1">
      <alignment horizontal="left" vertical="center"/>
      <protection locked="0" hidden="1"/>
    </xf>
    <xf numFmtId="184"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4" fontId="48" fillId="2" borderId="7" xfId="59" applyNumberFormat="1" applyFont="1" applyFill="1" applyBorder="1" applyAlignment="1" applyProtection="1">
      <alignment horizontal="left" vertical="center"/>
      <protection locked="0"/>
    </xf>
    <xf numFmtId="184" fontId="24" fillId="0" borderId="8" xfId="59" applyNumberFormat="1" applyFont="1" applyFill="1" applyBorder="1" applyAlignment="1" applyProtection="1">
      <alignment horizontal="left" vertical="center"/>
      <protection locked="0"/>
    </xf>
    <xf numFmtId="184"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4"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6"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76"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4"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4"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57"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76"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4" fontId="93" fillId="2" borderId="7" xfId="57" applyNumberFormat="1" applyFont="1" applyFill="1" applyBorder="1" applyAlignment="1" applyProtection="1">
      <alignment horizontal="center" vertical="center"/>
    </xf>
    <xf numFmtId="176"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6"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0" fillId="0" borderId="0" xfId="0" applyFill="1" applyBorder="1" applyAlignment="1">
      <alignment vertical="center"/>
    </xf>
    <xf numFmtId="0" fontId="4" fillId="16" borderId="7" xfId="57" applyFont="1" applyFill="1" applyBorder="1" applyAlignment="1">
      <alignment horizontal="center"/>
    </xf>
    <xf numFmtId="49" fontId="4" fillId="16" borderId="7" xfId="57" applyNumberFormat="1" applyFont="1" applyFill="1" applyBorder="1" applyAlignment="1">
      <alignment horizontal="center"/>
    </xf>
    <xf numFmtId="0" fontId="4" fillId="16" borderId="12" xfId="57" applyFont="1" applyFill="1" applyBorder="1" applyAlignment="1">
      <alignment horizontal="center"/>
    </xf>
    <xf numFmtId="49" fontId="4" fillId="16" borderId="12" xfId="57" applyNumberFormat="1" applyFont="1" applyFill="1" applyBorder="1" applyAlignment="1">
      <alignment horizontal="center"/>
    </xf>
    <xf numFmtId="0" fontId="3" fillId="17" borderId="7" xfId="57" applyFont="1" applyFill="1" applyBorder="1" applyAlignment="1" applyProtection="1"/>
    <xf numFmtId="0" fontId="3" fillId="17" borderId="7" xfId="57" applyFont="1" applyFill="1" applyBorder="1" applyAlignment="1"/>
    <xf numFmtId="49" fontId="3" fillId="17" borderId="7" xfId="57" applyNumberFormat="1" applyFont="1" applyFill="1" applyBorder="1" applyAlignment="1"/>
    <xf numFmtId="0" fontId="3" fillId="17" borderId="7" xfId="57" applyFont="1" applyFill="1" applyBorder="1" applyAlignment="1">
      <alignment horizontal="left"/>
    </xf>
    <xf numFmtId="0" fontId="4" fillId="16" borderId="7" xfId="57" applyFont="1" applyFill="1" applyBorder="1" applyAlignment="1" applyProtection="1">
      <protection locked="0"/>
    </xf>
    <xf numFmtId="0" fontId="4" fillId="16" borderId="13" xfId="57" applyFont="1" applyFill="1" applyBorder="1" applyAlignment="1" applyProtection="1">
      <alignment horizontal="center"/>
      <protection locked="0"/>
    </xf>
    <xf numFmtId="0" fontId="4" fillId="16" borderId="15" xfId="57" applyFont="1" applyFill="1" applyBorder="1" applyAlignment="1" applyProtection="1">
      <alignment horizontal="center"/>
      <protection locked="0"/>
    </xf>
    <xf numFmtId="0" fontId="4" fillId="16" borderId="14" xfId="57" applyFont="1" applyFill="1" applyBorder="1" applyAlignment="1" applyProtection="1">
      <alignment horizontal="center"/>
      <protection locked="0"/>
    </xf>
    <xf numFmtId="49" fontId="4" fillId="16" borderId="7" xfId="57" applyNumberFormat="1" applyFont="1" applyFill="1" applyBorder="1" applyAlignment="1" applyProtection="1">
      <protection locked="0"/>
    </xf>
    <xf numFmtId="0" fontId="4" fillId="16" borderId="7" xfId="57" applyFont="1" applyFill="1" applyBorder="1" applyAlignment="1" applyProtection="1">
      <alignment horizontal="center"/>
      <protection locked="0"/>
    </xf>
    <xf numFmtId="0" fontId="4" fillId="16" borderId="7" xfId="57" applyFont="1" applyFill="1" applyBorder="1" applyAlignment="1"/>
    <xf numFmtId="0" fontId="3" fillId="0" borderId="0" xfId="57" applyFont="1" applyFill="1" applyBorder="1" applyAlignment="1">
      <alignment horizontal="right"/>
    </xf>
    <xf numFmtId="0" fontId="4" fillId="16" borderId="12" xfId="57" applyFont="1" applyFill="1" applyBorder="1" applyAlignment="1"/>
    <xf numFmtId="0" fontId="80" fillId="0" borderId="0" xfId="57" applyFont="1" applyFill="1" applyBorder="1" applyAlignment="1"/>
    <xf numFmtId="9" fontId="4" fillId="16" borderId="7" xfId="57" applyNumberFormat="1" applyFont="1" applyFill="1" applyBorder="1" applyAlignment="1">
      <alignment horizontal="center"/>
    </xf>
    <xf numFmtId="9" fontId="4" fillId="16" borderId="12" xfId="57" applyNumberFormat="1" applyFont="1" applyFill="1" applyBorder="1" applyAlignment="1">
      <alignment horizontal="center"/>
    </xf>
    <xf numFmtId="0" fontId="3" fillId="0" borderId="0" xfId="57" applyFont="1" applyFill="1" applyBorder="1" applyAlignment="1">
      <alignment horizontal="left"/>
    </xf>
    <xf numFmtId="0" fontId="0" fillId="3" borderId="0" xfId="0" applyFill="1" applyBorder="1" applyAlignment="1">
      <alignment vertical="center"/>
    </xf>
    <xf numFmtId="0" fontId="3" fillId="0" borderId="0" xfId="0" applyFont="1" applyFill="1" applyBorder="1" applyAlignment="1"/>
    <xf numFmtId="0" fontId="3" fillId="0" borderId="0" xfId="0" applyFont="1" applyFill="1" applyBorder="1" applyAlignment="1" applyProtection="1">
      <protection locked="0"/>
    </xf>
    <xf numFmtId="0" fontId="94" fillId="0" borderId="0" xfId="0" applyFont="1" applyFill="1" applyBorder="1" applyAlignment="1" applyProtection="1">
      <protection locked="0"/>
    </xf>
    <xf numFmtId="0" fontId="3" fillId="3" borderId="0" xfId="0" applyFont="1" applyFill="1" applyBorder="1" applyAlignment="1" applyProtection="1">
      <protection locked="0"/>
    </xf>
    <xf numFmtId="0" fontId="94" fillId="0" borderId="0" xfId="0" applyFont="1" applyFill="1" applyBorder="1" applyAlignment="1"/>
    <xf numFmtId="0" fontId="94" fillId="3" borderId="0" xfId="0" applyFont="1" applyFill="1" applyBorder="1" applyAlignment="1"/>
    <xf numFmtId="0" fontId="3" fillId="3" borderId="0" xfId="0" applyFont="1" applyFill="1" applyBorder="1" applyAlignment="1"/>
    <xf numFmtId="49" fontId="3" fillId="16" borderId="7" xfId="57" applyNumberFormat="1" applyFont="1" applyFill="1" applyBorder="1" applyAlignment="1" applyProtection="1">
      <alignment horizontal="center"/>
      <protection locked="0"/>
    </xf>
    <xf numFmtId="0" fontId="3" fillId="16" borderId="7" xfId="57" applyFont="1" applyFill="1" applyBorder="1" applyAlignment="1" applyProtection="1">
      <alignment horizontal="center"/>
      <protection locked="0"/>
    </xf>
    <xf numFmtId="49" fontId="4" fillId="16" borderId="7" xfId="57" applyNumberFormat="1" applyFont="1" applyFill="1" applyBorder="1" applyAlignment="1" applyProtection="1">
      <alignment horizontal="center"/>
      <protection locked="0"/>
    </xf>
    <xf numFmtId="0" fontId="3" fillId="0" borderId="7" xfId="57" applyFont="1" applyFill="1" applyBorder="1" applyAlignment="1"/>
    <xf numFmtId="0" fontId="3" fillId="0" borderId="7" xfId="57" applyFont="1" applyFill="1" applyBorder="1" applyAlignment="1">
      <alignment horizontal="left"/>
    </xf>
    <xf numFmtId="0" fontId="3" fillId="0" borderId="7" xfId="57" applyFont="1" applyFill="1" applyBorder="1" applyAlignment="1">
      <alignment horizontal="right"/>
    </xf>
    <xf numFmtId="0" fontId="3" fillId="0" borderId="7" xfId="57" applyFont="1" applyFill="1" applyBorder="1" applyAlignment="1" applyProtection="1"/>
    <xf numFmtId="49" fontId="3" fillId="0" borderId="7" xfId="57" applyNumberFormat="1" applyFont="1" applyFill="1" applyBorder="1" applyAlignment="1"/>
    <xf numFmtId="49" fontId="95" fillId="0" borderId="7" xfId="57" applyNumberFormat="1" applyFont="1" applyFill="1" applyBorder="1" applyAlignment="1"/>
    <xf numFmtId="0" fontId="95" fillId="0" borderId="7" xfId="57" applyFont="1" applyFill="1" applyBorder="1" applyAlignment="1"/>
    <xf numFmtId="44" fontId="3" fillId="0" borderId="7" xfId="63" applyFont="1" applyFill="1" applyBorder="1" applyAlignment="1">
      <alignment horizontal="left"/>
    </xf>
    <xf numFmtId="49" fontId="3" fillId="0" borderId="7" xfId="57" applyNumberFormat="1" applyFont="1" applyFill="1" applyBorder="1" applyAlignment="1" applyProtection="1">
      <alignment horizontal="left"/>
    </xf>
    <xf numFmtId="0" fontId="3" fillId="0" borderId="7" xfId="57" applyFont="1" applyFill="1" applyBorder="1" applyAlignment="1">
      <alignment horizontal="center"/>
    </xf>
    <xf numFmtId="195" fontId="3" fillId="0" borderId="7" xfId="57" applyNumberFormat="1" applyFont="1" applyFill="1" applyBorder="1" applyAlignment="1">
      <alignment horizontal="left"/>
    </xf>
    <xf numFmtId="49" fontId="3" fillId="0" borderId="7" xfId="57" applyNumberFormat="1" applyFont="1" applyFill="1" applyBorder="1" applyAlignment="1">
      <alignment horizontal="left"/>
    </xf>
    <xf numFmtId="0" fontId="3" fillId="3" borderId="7" xfId="57" applyFont="1" applyFill="1" applyBorder="1" applyAlignment="1" applyProtection="1"/>
    <xf numFmtId="0" fontId="3" fillId="3" borderId="7" xfId="57" applyFont="1" applyFill="1" applyBorder="1" applyAlignment="1">
      <alignment horizontal="left"/>
    </xf>
    <xf numFmtId="49" fontId="3" fillId="3" borderId="7" xfId="57" applyNumberFormat="1" applyFont="1" applyFill="1" applyBorder="1" applyAlignment="1"/>
    <xf numFmtId="0" fontId="94" fillId="3" borderId="7" xfId="57" applyFont="1" applyFill="1" applyBorder="1" applyAlignment="1" applyProtection="1"/>
    <xf numFmtId="0" fontId="94" fillId="3" borderId="7" xfId="57" applyFont="1" applyFill="1" applyBorder="1" applyAlignment="1"/>
    <xf numFmtId="49" fontId="94" fillId="3" borderId="7" xfId="57" applyNumberFormat="1" applyFont="1" applyFill="1" applyBorder="1" applyAlignment="1"/>
    <xf numFmtId="0" fontId="3" fillId="0" borderId="0" xfId="57" applyFont="1" applyFill="1" applyBorder="1" applyAlignment="1" applyProtection="1">
      <protection locked="0"/>
    </xf>
    <xf numFmtId="0" fontId="94" fillId="0" borderId="7" xfId="57" applyFont="1" applyFill="1" applyBorder="1" applyAlignment="1" applyProtection="1"/>
    <xf numFmtId="0" fontId="94" fillId="0" borderId="7" xfId="57" applyFont="1" applyFill="1" applyBorder="1" applyAlignment="1"/>
    <xf numFmtId="49" fontId="94" fillId="0" borderId="7" xfId="57" applyNumberFormat="1" applyFont="1" applyFill="1" applyBorder="1" applyAlignment="1"/>
    <xf numFmtId="44" fontId="94" fillId="0" borderId="7" xfId="63" applyFont="1" applyFill="1" applyBorder="1" applyAlignment="1">
      <alignment horizontal="left"/>
    </xf>
    <xf numFmtId="0" fontId="94" fillId="0" borderId="7" xfId="57" applyFont="1" applyFill="1" applyBorder="1" applyAlignment="1">
      <alignment horizontal="left"/>
    </xf>
    <xf numFmtId="49" fontId="3" fillId="0" borderId="7" xfId="63" applyNumberFormat="1" applyFont="1" applyFill="1" applyBorder="1" applyAlignment="1">
      <alignment horizontal="left"/>
    </xf>
    <xf numFmtId="44" fontId="94" fillId="3" borderId="7" xfId="63" applyFont="1" applyFill="1" applyBorder="1" applyAlignment="1">
      <alignment horizontal="left"/>
    </xf>
    <xf numFmtId="188" fontId="3" fillId="16" borderId="7" xfId="57" applyNumberFormat="1" applyFont="1" applyFill="1" applyBorder="1" applyAlignment="1" applyProtection="1">
      <alignment horizontal="center"/>
      <protection locked="0"/>
    </xf>
    <xf numFmtId="188" fontId="4" fillId="16" borderId="7" xfId="57" applyNumberFormat="1" applyFont="1" applyFill="1" applyBorder="1" applyAlignment="1" applyProtection="1">
      <alignment horizontal="center"/>
      <protection locked="0"/>
    </xf>
    <xf numFmtId="188" fontId="3" fillId="0" borderId="7" xfId="57" applyNumberFormat="1" applyFont="1" applyFill="1" applyBorder="1" applyAlignment="1">
      <alignment horizontal="right"/>
    </xf>
    <xf numFmtId="0" fontId="3" fillId="0" borderId="7" xfId="57" applyFont="1" applyFill="1" applyBorder="1" applyAlignment="1" applyProtection="1">
      <alignment horizontal="left"/>
    </xf>
    <xf numFmtId="188" fontId="3" fillId="3" borderId="7" xfId="57" applyNumberFormat="1" applyFont="1" applyFill="1" applyBorder="1" applyAlignment="1">
      <alignment horizontal="right"/>
    </xf>
    <xf numFmtId="0" fontId="3" fillId="3" borderId="7" xfId="57" applyFont="1" applyFill="1" applyBorder="1" applyAlignment="1">
      <alignment horizontal="right"/>
    </xf>
    <xf numFmtId="0" fontId="3" fillId="3" borderId="7" xfId="57" applyFont="1" applyFill="1" applyBorder="1" applyAlignment="1" applyProtection="1">
      <alignment horizontal="left"/>
    </xf>
    <xf numFmtId="0" fontId="94" fillId="3" borderId="7" xfId="57" applyFont="1" applyFill="1" applyBorder="1" applyAlignment="1">
      <alignment horizontal="left"/>
    </xf>
    <xf numFmtId="0" fontId="94" fillId="0" borderId="7" xfId="57" applyFont="1" applyFill="1" applyBorder="1" applyAlignment="1" applyProtection="1">
      <protection locked="0"/>
    </xf>
    <xf numFmtId="0" fontId="94" fillId="0" borderId="7" xfId="57" applyFont="1" applyFill="1" applyBorder="1" applyAlignment="1">
      <alignment horizontal="right"/>
    </xf>
    <xf numFmtId="0" fontId="94" fillId="0" borderId="7" xfId="57" applyFont="1" applyFill="1" applyBorder="1" applyAlignment="1" applyProtection="1">
      <alignment horizontal="left"/>
    </xf>
    <xf numFmtId="188" fontId="94" fillId="0" borderId="7" xfId="57" applyNumberFormat="1" applyFont="1" applyFill="1" applyBorder="1" applyAlignment="1">
      <alignment horizontal="right"/>
    </xf>
    <xf numFmtId="185" fontId="3" fillId="16" borderId="7" xfId="57" applyNumberFormat="1" applyFont="1" applyFill="1" applyBorder="1" applyAlignment="1" applyProtection="1">
      <alignment horizontal="center"/>
      <protection locked="0"/>
    </xf>
    <xf numFmtId="196" fontId="3" fillId="16" borderId="7" xfId="57" applyNumberFormat="1" applyFont="1" applyFill="1" applyBorder="1" applyAlignment="1" applyProtection="1">
      <alignment horizontal="center"/>
      <protection locked="0"/>
    </xf>
    <xf numFmtId="185" fontId="4" fillId="16" borderId="7" xfId="57" applyNumberFormat="1" applyFont="1" applyFill="1" applyBorder="1" applyAlignment="1" applyProtection="1">
      <alignment horizontal="center"/>
      <protection locked="0"/>
    </xf>
    <xf numFmtId="196" fontId="4" fillId="16" borderId="7" xfId="57" applyNumberFormat="1" applyFont="1" applyFill="1" applyBorder="1" applyAlignment="1" applyProtection="1">
      <alignment horizontal="center"/>
      <protection locked="0"/>
    </xf>
    <xf numFmtId="185" fontId="3" fillId="0" borderId="7" xfId="57" applyNumberFormat="1" applyFont="1" applyFill="1" applyBorder="1" applyAlignment="1">
      <alignment horizontal="right"/>
    </xf>
    <xf numFmtId="197" fontId="3" fillId="0" borderId="7" xfId="57" applyNumberFormat="1" applyFont="1" applyFill="1" applyBorder="1" applyAlignment="1"/>
    <xf numFmtId="9" fontId="3" fillId="0" borderId="7" xfId="57" applyNumberFormat="1" applyFont="1" applyFill="1" applyBorder="1" applyAlignment="1"/>
    <xf numFmtId="2" fontId="3" fillId="0" borderId="7" xfId="57" applyNumberFormat="1" applyFont="1" applyFill="1" applyBorder="1" applyAlignment="1" applyProtection="1">
      <alignment horizontal="right"/>
    </xf>
    <xf numFmtId="197" fontId="3" fillId="0" borderId="7" xfId="57" applyNumberFormat="1" applyFont="1" applyFill="1" applyBorder="1" applyAlignment="1">
      <alignment horizontal="right"/>
    </xf>
    <xf numFmtId="196" fontId="3" fillId="0" borderId="7" xfId="57" applyNumberFormat="1" applyFont="1" applyFill="1" applyBorder="1" applyAlignment="1"/>
    <xf numFmtId="196" fontId="3" fillId="0" borderId="7" xfId="57" applyNumberFormat="1" applyFont="1" applyFill="1" applyBorder="1" applyAlignment="1">
      <alignment horizontal="right"/>
    </xf>
    <xf numFmtId="0" fontId="96" fillId="0" borderId="7" xfId="57" applyFont="1" applyFill="1" applyBorder="1" applyAlignment="1"/>
    <xf numFmtId="2" fontId="3" fillId="0" borderId="7" xfId="57" applyNumberFormat="1" applyFont="1" applyFill="1" applyBorder="1" applyAlignment="1">
      <alignment horizontal="right"/>
    </xf>
    <xf numFmtId="1" fontId="3" fillId="0" borderId="7" xfId="57" applyNumberFormat="1" applyFont="1" applyFill="1" applyBorder="1" applyAlignment="1">
      <alignment horizontal="center"/>
    </xf>
    <xf numFmtId="9" fontId="3" fillId="0" borderId="7" xfId="57" applyNumberFormat="1" applyFont="1" applyFill="1" applyBorder="1" applyAlignment="1">
      <alignment horizontal="right"/>
    </xf>
    <xf numFmtId="197" fontId="3" fillId="0" borderId="7" xfId="57" applyNumberFormat="1" applyFont="1" applyFill="1" applyBorder="1" applyAlignment="1" applyProtection="1">
      <alignment horizontal="right"/>
    </xf>
    <xf numFmtId="185" fontId="3" fillId="3" borderId="7" xfId="57" applyNumberFormat="1" applyFont="1" applyFill="1" applyBorder="1" applyAlignment="1">
      <alignment horizontal="right"/>
    </xf>
    <xf numFmtId="1" fontId="3" fillId="3" borderId="7" xfId="57" applyNumberFormat="1" applyFont="1" applyFill="1" applyBorder="1" applyAlignment="1">
      <alignment horizontal="center"/>
    </xf>
    <xf numFmtId="2" fontId="3" fillId="3" borderId="7" xfId="57" applyNumberFormat="1" applyFont="1" applyFill="1" applyBorder="1" applyAlignment="1">
      <alignment horizontal="right"/>
    </xf>
    <xf numFmtId="196" fontId="3" fillId="3" borderId="7" xfId="57" applyNumberFormat="1" applyFont="1" applyFill="1" applyBorder="1" applyAlignment="1"/>
    <xf numFmtId="0" fontId="3" fillId="3" borderId="7" xfId="57" applyFont="1" applyFill="1" applyBorder="1" applyAlignment="1"/>
    <xf numFmtId="9" fontId="3" fillId="3" borderId="7" xfId="57" applyNumberFormat="1" applyFont="1" applyFill="1" applyBorder="1" applyAlignment="1">
      <alignment horizontal="right"/>
    </xf>
    <xf numFmtId="2" fontId="3" fillId="3" borderId="7" xfId="57" applyNumberFormat="1" applyFont="1" applyFill="1" applyBorder="1" applyAlignment="1" applyProtection="1">
      <alignment horizontal="right"/>
    </xf>
    <xf numFmtId="196" fontId="3" fillId="3" borderId="7" xfId="57" applyNumberFormat="1" applyFont="1" applyFill="1" applyBorder="1" applyAlignment="1">
      <alignment horizontal="right"/>
    </xf>
    <xf numFmtId="1" fontId="94" fillId="3" borderId="7" xfId="57" applyNumberFormat="1" applyFont="1" applyFill="1" applyBorder="1" applyAlignment="1">
      <alignment horizontal="center"/>
    </xf>
    <xf numFmtId="2" fontId="94" fillId="3" borderId="7" xfId="57" applyNumberFormat="1" applyFont="1" applyFill="1" applyBorder="1" applyAlignment="1">
      <alignment horizontal="right"/>
    </xf>
    <xf numFmtId="196" fontId="94" fillId="3" borderId="7" xfId="57" applyNumberFormat="1" applyFont="1" applyFill="1" applyBorder="1" applyAlignment="1"/>
    <xf numFmtId="9" fontId="94" fillId="3" borderId="7" xfId="57" applyNumberFormat="1" applyFont="1" applyFill="1" applyBorder="1" applyAlignment="1"/>
    <xf numFmtId="2" fontId="94" fillId="3" borderId="7" xfId="57" applyNumberFormat="1" applyFont="1" applyFill="1" applyBorder="1" applyAlignment="1" applyProtection="1">
      <alignment horizontal="right"/>
    </xf>
    <xf numFmtId="196" fontId="94" fillId="3" borderId="7" xfId="57" applyNumberFormat="1" applyFont="1" applyFill="1" applyBorder="1" applyAlignment="1">
      <alignment horizontal="right"/>
    </xf>
    <xf numFmtId="196" fontId="3" fillId="0" borderId="7" xfId="57" applyNumberFormat="1" applyFont="1" applyFill="1" applyBorder="1" applyAlignment="1" applyProtection="1">
      <alignment horizontal="right"/>
    </xf>
    <xf numFmtId="1" fontId="94" fillId="0" borderId="7" xfId="57" applyNumberFormat="1" applyFont="1" applyFill="1" applyBorder="1" applyAlignment="1">
      <alignment horizontal="center"/>
    </xf>
    <xf numFmtId="2" fontId="94" fillId="0" borderId="7" xfId="57" applyNumberFormat="1" applyFont="1" applyFill="1" applyBorder="1" applyAlignment="1">
      <alignment horizontal="right"/>
    </xf>
    <xf numFmtId="196" fontId="94" fillId="0" borderId="7" xfId="57" applyNumberFormat="1" applyFont="1" applyFill="1" applyBorder="1" applyAlignment="1"/>
    <xf numFmtId="9" fontId="94" fillId="0" borderId="7" xfId="57" applyNumberFormat="1" applyFont="1" applyFill="1" applyBorder="1" applyAlignment="1"/>
    <xf numFmtId="2" fontId="94" fillId="0" borderId="7" xfId="57" applyNumberFormat="1" applyFont="1" applyFill="1" applyBorder="1" applyAlignment="1" applyProtection="1">
      <alignment horizontal="right"/>
    </xf>
    <xf numFmtId="196" fontId="94" fillId="0" borderId="7" xfId="57" applyNumberFormat="1" applyFont="1" applyFill="1" applyBorder="1" applyAlignment="1">
      <alignment horizontal="right"/>
    </xf>
    <xf numFmtId="184" fontId="3" fillId="0" borderId="7" xfId="57" applyNumberFormat="1" applyFont="1" applyFill="1" applyBorder="1" applyAlignment="1">
      <alignment horizontal="right"/>
    </xf>
    <xf numFmtId="185" fontId="94" fillId="0" borderId="7" xfId="57" applyNumberFormat="1" applyFont="1" applyFill="1" applyBorder="1" applyAlignment="1">
      <alignment horizontal="right"/>
    </xf>
    <xf numFmtId="0" fontId="3" fillId="0" borderId="7" xfId="57" applyFont="1" applyFill="1" applyBorder="1" applyAlignment="1" applyProtection="1">
      <protection locked="0"/>
    </xf>
    <xf numFmtId="0" fontId="3" fillId="0" borderId="7" xfId="57" applyFont="1" applyFill="1" applyBorder="1" applyAlignment="1" applyProtection="1">
      <alignment horizontal="right"/>
    </xf>
    <xf numFmtId="49" fontId="3" fillId="0" borderId="7" xfId="57" applyNumberFormat="1" applyFont="1" applyFill="1" applyBorder="1" applyAlignment="1">
      <alignment horizontal="center"/>
    </xf>
    <xf numFmtId="0" fontId="3" fillId="0" borderId="7" xfId="57" applyFont="1" applyFill="1" applyBorder="1" applyAlignment="1" applyProtection="1">
      <alignment horizontal="center"/>
      <protection locked="0"/>
    </xf>
    <xf numFmtId="0" fontId="3" fillId="3" borderId="7" xfId="57" applyFont="1" applyFill="1" applyBorder="1" applyAlignment="1" applyProtection="1">
      <protection locked="0"/>
    </xf>
    <xf numFmtId="0" fontId="94" fillId="3" borderId="7" xfId="57" applyFont="1" applyFill="1" applyBorder="1" applyAlignment="1" applyProtection="1">
      <protection locked="0"/>
    </xf>
    <xf numFmtId="31" fontId="3" fillId="16" borderId="7" xfId="57" applyNumberFormat="1" applyFont="1" applyFill="1" applyBorder="1" applyAlignment="1" applyProtection="1">
      <alignment horizontal="center"/>
      <protection locked="0"/>
    </xf>
    <xf numFmtId="31" fontId="4" fillId="16" borderId="7" xfId="57" applyNumberFormat="1" applyFont="1" applyFill="1" applyBorder="1" applyAlignment="1" applyProtection="1">
      <alignment horizontal="center"/>
      <protection locked="0"/>
    </xf>
    <xf numFmtId="198" fontId="3" fillId="0" borderId="7" xfId="57" applyNumberFormat="1" applyFont="1" applyFill="1" applyBorder="1" applyAlignment="1">
      <alignment horizontal="left"/>
    </xf>
    <xf numFmtId="31" fontId="3" fillId="0" borderId="7" xfId="57" applyNumberFormat="1" applyFont="1" applyFill="1" applyBorder="1" applyAlignment="1" applyProtection="1">
      <alignment horizontal="right"/>
    </xf>
    <xf numFmtId="199" fontId="3" fillId="0" borderId="7" xfId="57" applyNumberFormat="1" applyFont="1" applyFill="1" applyBorder="1" applyAlignment="1" applyProtection="1">
      <alignment horizontal="center"/>
    </xf>
    <xf numFmtId="31" fontId="3" fillId="0" borderId="7" xfId="57" applyNumberFormat="1" applyFont="1" applyFill="1" applyBorder="1" applyAlignment="1" applyProtection="1"/>
    <xf numFmtId="198" fontId="3" fillId="0" borderId="7" xfId="57" applyNumberFormat="1" applyFont="1" applyFill="1" applyBorder="1" applyAlignment="1" applyProtection="1">
      <alignment horizontal="center"/>
    </xf>
    <xf numFmtId="199" fontId="3" fillId="0" borderId="7" xfId="57" applyNumberFormat="1" applyFont="1" applyFill="1" applyBorder="1" applyAlignment="1">
      <alignment horizontal="center"/>
    </xf>
    <xf numFmtId="31" fontId="3" fillId="0" borderId="7" xfId="57" applyNumberFormat="1" applyFont="1" applyFill="1" applyBorder="1" applyAlignment="1">
      <alignment horizontal="right"/>
    </xf>
    <xf numFmtId="198" fontId="3" fillId="0" borderId="7" xfId="57" applyNumberFormat="1" applyFont="1" applyFill="1" applyBorder="1" applyAlignment="1"/>
    <xf numFmtId="198" fontId="94" fillId="0" borderId="7" xfId="57" applyNumberFormat="1" applyFont="1" applyFill="1" applyBorder="1" applyAlignment="1">
      <alignment horizontal="left"/>
    </xf>
    <xf numFmtId="0" fontId="94" fillId="0" borderId="7" xfId="57" applyFont="1" applyFill="1" applyBorder="1" applyAlignment="1">
      <alignment horizontal="center"/>
    </xf>
    <xf numFmtId="31" fontId="3" fillId="3" borderId="7" xfId="57" applyNumberFormat="1" applyFont="1" applyFill="1" applyBorder="1" applyAlignment="1">
      <alignment horizontal="right"/>
    </xf>
    <xf numFmtId="198" fontId="94" fillId="3" borderId="7" xfId="57" applyNumberFormat="1" applyFont="1" applyFill="1" applyBorder="1" applyAlignment="1">
      <alignment horizontal="left"/>
    </xf>
    <xf numFmtId="0" fontId="94" fillId="3" borderId="7" xfId="57" applyFont="1" applyFill="1" applyBorder="1" applyAlignment="1">
      <alignment horizontal="center"/>
    </xf>
    <xf numFmtId="31" fontId="94" fillId="3" borderId="7" xfId="57" applyNumberFormat="1" applyFont="1" applyFill="1" applyBorder="1" applyAlignment="1" applyProtection="1"/>
    <xf numFmtId="198" fontId="94" fillId="3" borderId="7" xfId="57" applyNumberFormat="1" applyFont="1" applyFill="1" applyBorder="1" applyAlignment="1" applyProtection="1">
      <alignment horizontal="center"/>
    </xf>
    <xf numFmtId="31" fontId="94" fillId="0" borderId="7" xfId="57" applyNumberFormat="1" applyFont="1" applyFill="1" applyBorder="1" applyAlignment="1" applyProtection="1"/>
    <xf numFmtId="198" fontId="94" fillId="0" borderId="7" xfId="57" applyNumberFormat="1" applyFont="1" applyFill="1" applyBorder="1" applyAlignment="1" applyProtection="1">
      <alignment horizontal="center"/>
    </xf>
    <xf numFmtId="31" fontId="94" fillId="0" borderId="7" xfId="57" applyNumberFormat="1" applyFont="1" applyFill="1" applyBorder="1" applyAlignment="1">
      <alignment horizontal="right"/>
    </xf>
    <xf numFmtId="31" fontId="3" fillId="0" borderId="7" xfId="57" applyNumberFormat="1" applyFont="1" applyFill="1" applyBorder="1" applyAlignment="1">
      <alignment horizontal="left"/>
    </xf>
    <xf numFmtId="199" fontId="3" fillId="0" borderId="7" xfId="57" applyNumberFormat="1" applyFont="1" applyFill="1" applyBorder="1" applyAlignment="1">
      <alignment horizontal="left"/>
    </xf>
    <xf numFmtId="31" fontId="94" fillId="0" borderId="7" xfId="57" applyNumberFormat="1" applyFont="1" applyFill="1" applyBorder="1" applyAlignment="1" applyProtection="1">
      <alignment horizontal="right"/>
    </xf>
    <xf numFmtId="0" fontId="3" fillId="0" borderId="7" xfId="57" applyFont="1" applyFill="1" applyBorder="1" applyAlignment="1" applyProtection="1">
      <alignment horizontal="center"/>
    </xf>
    <xf numFmtId="181" fontId="3" fillId="0" borderId="7" xfId="57" applyNumberFormat="1" applyFont="1" applyFill="1" applyBorder="1" applyAlignment="1">
      <alignment horizontal="right"/>
    </xf>
    <xf numFmtId="181" fontId="3" fillId="3" borderId="7" xfId="57" applyNumberFormat="1" applyFont="1" applyFill="1" applyBorder="1" applyAlignment="1">
      <alignment horizontal="right"/>
    </xf>
    <xf numFmtId="181" fontId="94" fillId="0" borderId="7" xfId="57" applyNumberFormat="1" applyFont="1" applyFill="1" applyBorder="1" applyAlignment="1">
      <alignment horizontal="right"/>
    </xf>
    <xf numFmtId="0" fontId="3" fillId="17" borderId="7" xfId="57" applyFont="1" applyFill="1" applyBorder="1" applyAlignment="1" applyProtection="1">
      <alignment horizontal="center"/>
      <protection locked="0"/>
    </xf>
    <xf numFmtId="49" fontId="3" fillId="17" borderId="7" xfId="57" applyNumberFormat="1" applyFont="1" applyFill="1" applyBorder="1" applyAlignment="1" applyProtection="1">
      <alignment horizontal="center"/>
      <protection locked="0"/>
    </xf>
    <xf numFmtId="195" fontId="3" fillId="17" borderId="7" xfId="57" applyNumberFormat="1" applyFont="1" applyFill="1" applyBorder="1" applyAlignment="1" applyProtection="1">
      <alignment horizontal="center"/>
      <protection locked="0"/>
    </xf>
    <xf numFmtId="0" fontId="4" fillId="17" borderId="7" xfId="57" applyFont="1" applyFill="1" applyBorder="1" applyAlignment="1" applyProtection="1">
      <alignment horizontal="center"/>
      <protection locked="0"/>
    </xf>
    <xf numFmtId="46" fontId="4" fillId="17" borderId="7" xfId="57" applyNumberFormat="1" applyFont="1" applyFill="1" applyBorder="1" applyAlignment="1" applyProtection="1">
      <alignment horizontal="center"/>
      <protection locked="0"/>
    </xf>
    <xf numFmtId="49" fontId="4" fillId="17" borderId="7" xfId="57" applyNumberFormat="1" applyFont="1" applyFill="1" applyBorder="1" applyAlignment="1" applyProtection="1">
      <alignment horizontal="center"/>
      <protection locked="0"/>
    </xf>
    <xf numFmtId="195" fontId="4" fillId="17" borderId="7" xfId="57" applyNumberFormat="1" applyFont="1" applyFill="1" applyBorder="1" applyAlignment="1" applyProtection="1">
      <alignment horizontal="center"/>
      <protection locked="0"/>
    </xf>
    <xf numFmtId="49" fontId="3" fillId="0" borderId="7" xfId="57" applyNumberFormat="1" applyFont="1" applyFill="1" applyBorder="1" applyAlignment="1" applyProtection="1">
      <protection locked="0"/>
    </xf>
    <xf numFmtId="195" fontId="3" fillId="0" borderId="7" xfId="57" applyNumberFormat="1" applyFont="1" applyFill="1" applyBorder="1" applyAlignment="1" applyProtection="1">
      <protection locked="0"/>
    </xf>
    <xf numFmtId="195" fontId="3" fillId="0" borderId="7" xfId="57" applyNumberFormat="1" applyFont="1" applyFill="1" applyBorder="1" applyAlignment="1"/>
    <xf numFmtId="49" fontId="3" fillId="0" borderId="7" xfId="57" applyNumberFormat="1" applyFont="1" applyFill="1" applyBorder="1" applyAlignment="1" applyProtection="1">
      <alignment horizontal="right"/>
      <protection locked="0"/>
    </xf>
    <xf numFmtId="0" fontId="3" fillId="0" borderId="7" xfId="57" applyFont="1" applyFill="1" applyBorder="1" applyAlignment="1" applyProtection="1">
      <alignment horizontal="left"/>
      <protection locked="0"/>
    </xf>
    <xf numFmtId="195" fontId="3" fillId="0" borderId="7" xfId="57" applyNumberFormat="1" applyFont="1" applyFill="1" applyBorder="1" applyAlignment="1" applyProtection="1">
      <alignment horizontal="left"/>
      <protection locked="0"/>
    </xf>
    <xf numFmtId="195" fontId="3" fillId="0" borderId="7" xfId="57" applyNumberFormat="1" applyFont="1" applyFill="1" applyBorder="1" applyAlignment="1" applyProtection="1">
      <alignment horizontal="right"/>
      <protection locked="0"/>
    </xf>
    <xf numFmtId="49" fontId="3" fillId="3" borderId="7" xfId="57" applyNumberFormat="1" applyFont="1" applyFill="1" applyBorder="1" applyAlignment="1">
      <alignment horizontal="left"/>
    </xf>
    <xf numFmtId="49" fontId="94" fillId="3" borderId="7" xfId="57" applyNumberFormat="1" applyFont="1" applyFill="1" applyBorder="1" applyAlignment="1" applyProtection="1">
      <protection locked="0"/>
    </xf>
    <xf numFmtId="195" fontId="94" fillId="3" borderId="7" xfId="57" applyNumberFormat="1" applyFont="1" applyFill="1" applyBorder="1" applyAlignment="1" applyProtection="1">
      <protection locked="0"/>
    </xf>
    <xf numFmtId="49" fontId="94" fillId="0" borderId="7" xfId="57" applyNumberFormat="1" applyFont="1" applyFill="1" applyBorder="1" applyAlignment="1" applyProtection="1">
      <protection locked="0"/>
    </xf>
    <xf numFmtId="195" fontId="94" fillId="0" borderId="7" xfId="57" applyNumberFormat="1" applyFont="1" applyFill="1" applyBorder="1" applyAlignment="1" applyProtection="1">
      <protection locked="0"/>
    </xf>
    <xf numFmtId="49" fontId="94" fillId="0" borderId="7" xfId="57" applyNumberFormat="1" applyFont="1" applyFill="1" applyBorder="1" applyAlignment="1">
      <alignment horizontal="left"/>
    </xf>
    <xf numFmtId="195" fontId="94" fillId="0" borderId="7" xfId="57" applyNumberFormat="1" applyFont="1" applyFill="1" applyBorder="1" applyAlignment="1"/>
    <xf numFmtId="176" fontId="3" fillId="17" borderId="7" xfId="57" applyNumberFormat="1" applyFont="1" applyFill="1" applyBorder="1" applyAlignment="1" applyProtection="1">
      <alignment horizontal="center"/>
      <protection locked="0"/>
    </xf>
    <xf numFmtId="31" fontId="3" fillId="17" borderId="7" xfId="57" applyNumberFormat="1" applyFont="1" applyFill="1" applyBorder="1" applyAlignment="1" applyProtection="1">
      <alignment horizontal="center"/>
      <protection locked="0"/>
    </xf>
    <xf numFmtId="181" fontId="4" fillId="16" borderId="7" xfId="57" applyNumberFormat="1" applyFont="1" applyFill="1" applyBorder="1" applyAlignment="1" applyProtection="1">
      <alignment horizontal="center"/>
      <protection locked="0"/>
    </xf>
    <xf numFmtId="176" fontId="4" fillId="17" borderId="7" xfId="57" applyNumberFormat="1" applyFont="1" applyFill="1" applyBorder="1" applyAlignment="1" applyProtection="1">
      <alignment horizontal="center"/>
      <protection locked="0"/>
    </xf>
    <xf numFmtId="31" fontId="4" fillId="17" borderId="7" xfId="57" applyNumberFormat="1" applyFont="1" applyFill="1" applyBorder="1" applyAlignment="1" applyProtection="1">
      <alignment horizontal="center"/>
      <protection locked="0"/>
    </xf>
    <xf numFmtId="31" fontId="3" fillId="0" borderId="7" xfId="57" applyNumberFormat="1" applyFont="1" applyFill="1" applyBorder="1" applyAlignment="1"/>
    <xf numFmtId="176" fontId="3" fillId="0" borderId="7" xfId="57" applyNumberFormat="1" applyFont="1" applyFill="1" applyBorder="1" applyAlignment="1" applyProtection="1">
      <protection locked="0"/>
    </xf>
    <xf numFmtId="31" fontId="3" fillId="0" borderId="7" xfId="57" applyNumberFormat="1" applyFont="1" applyFill="1" applyBorder="1" applyAlignment="1" applyProtection="1">
      <alignment horizontal="right"/>
      <protection locked="0"/>
    </xf>
    <xf numFmtId="181" fontId="3" fillId="0" borderId="7" xfId="57" applyNumberFormat="1" applyFont="1" applyFill="1" applyBorder="1" applyAlignment="1" applyProtection="1">
      <protection locked="0"/>
    </xf>
    <xf numFmtId="176" fontId="3" fillId="0" borderId="7" xfId="57" applyNumberFormat="1" applyFont="1" applyFill="1" applyBorder="1" applyAlignment="1"/>
    <xf numFmtId="181" fontId="3" fillId="0" borderId="7" xfId="57" applyNumberFormat="1" applyFont="1" applyFill="1" applyBorder="1" applyAlignment="1"/>
    <xf numFmtId="31" fontId="3" fillId="0" borderId="7" xfId="57" applyNumberFormat="1" applyFont="1" applyFill="1" applyBorder="1" applyAlignment="1" applyProtection="1">
      <protection locked="0"/>
    </xf>
    <xf numFmtId="188" fontId="3" fillId="0" borderId="7" xfId="57" applyNumberFormat="1" applyFont="1" applyFill="1" applyBorder="1" applyAlignment="1" applyProtection="1">
      <alignment horizontal="right"/>
      <protection locked="0"/>
    </xf>
    <xf numFmtId="188" fontId="3" fillId="0" borderId="7" xfId="57" applyNumberFormat="1" applyFont="1" applyFill="1" applyBorder="1" applyAlignment="1"/>
    <xf numFmtId="176" fontId="3" fillId="3" borderId="7" xfId="57" applyNumberFormat="1" applyFont="1" applyFill="1" applyBorder="1" applyAlignment="1" applyProtection="1">
      <protection locked="0"/>
    </xf>
    <xf numFmtId="31" fontId="3" fillId="3" borderId="7" xfId="57" applyNumberFormat="1" applyFont="1" applyFill="1" applyBorder="1" applyAlignment="1">
      <alignment horizontal="left"/>
    </xf>
    <xf numFmtId="181" fontId="3" fillId="3" borderId="7" xfId="57" applyNumberFormat="1" applyFont="1" applyFill="1" applyBorder="1" applyAlignment="1" applyProtection="1">
      <protection locked="0"/>
    </xf>
    <xf numFmtId="31" fontId="3" fillId="3" borderId="7" xfId="57" applyNumberFormat="1" applyFont="1" applyFill="1" applyBorder="1" applyAlignment="1"/>
    <xf numFmtId="176" fontId="94" fillId="3" borderId="7" xfId="57" applyNumberFormat="1" applyFont="1" applyFill="1" applyBorder="1" applyAlignment="1" applyProtection="1">
      <protection locked="0"/>
    </xf>
    <xf numFmtId="31" fontId="94" fillId="3" borderId="7" xfId="57" applyNumberFormat="1" applyFont="1" applyFill="1" applyBorder="1" applyAlignment="1" applyProtection="1">
      <protection locked="0"/>
    </xf>
    <xf numFmtId="181" fontId="94" fillId="3" borderId="7" xfId="57" applyNumberFormat="1" applyFont="1" applyFill="1" applyBorder="1" applyAlignment="1" applyProtection="1">
      <protection locked="0"/>
    </xf>
    <xf numFmtId="176" fontId="94" fillId="0" borderId="7" xfId="57" applyNumberFormat="1" applyFont="1" applyFill="1" applyBorder="1" applyAlignment="1" applyProtection="1">
      <protection locked="0"/>
    </xf>
    <xf numFmtId="31" fontId="94" fillId="0" borderId="7" xfId="57" applyNumberFormat="1" applyFont="1" applyFill="1" applyBorder="1" applyAlignment="1" applyProtection="1">
      <protection locked="0"/>
    </xf>
    <xf numFmtId="181" fontId="94" fillId="0" borderId="7" xfId="57" applyNumberFormat="1" applyFont="1" applyFill="1" applyBorder="1" applyAlignment="1" applyProtection="1">
      <protection locked="0"/>
    </xf>
    <xf numFmtId="57" fontId="3" fillId="0" borderId="7" xfId="57" applyNumberFormat="1" applyFont="1" applyFill="1" applyBorder="1" applyAlignment="1" applyProtection="1">
      <protection locked="0"/>
    </xf>
    <xf numFmtId="0" fontId="94" fillId="0" borderId="7" xfId="57" applyFont="1" applyFill="1" applyBorder="1" applyAlignment="1" applyProtection="1">
      <alignment horizontal="center"/>
      <protection locked="0"/>
    </xf>
    <xf numFmtId="31" fontId="94" fillId="0" borderId="7" xfId="57" applyNumberFormat="1" applyFont="1" applyFill="1" applyBorder="1" applyAlignment="1">
      <alignment horizontal="left"/>
    </xf>
    <xf numFmtId="31" fontId="94" fillId="0" borderId="7" xfId="57" applyNumberFormat="1" applyFont="1" applyFill="1" applyBorder="1" applyAlignment="1"/>
    <xf numFmtId="176" fontId="94" fillId="0" borderId="7" xfId="57" applyNumberFormat="1" applyFont="1" applyFill="1" applyBorder="1" applyAlignment="1"/>
    <xf numFmtId="181" fontId="94" fillId="0" borderId="7" xfId="57" applyNumberFormat="1" applyFont="1" applyFill="1" applyBorder="1" applyAlignment="1"/>
    <xf numFmtId="0" fontId="4" fillId="18" borderId="7" xfId="57" applyFont="1" applyFill="1" applyBorder="1" applyAlignment="1" applyProtection="1">
      <alignment horizontal="center"/>
      <protection locked="0"/>
    </xf>
    <xf numFmtId="0" fontId="3" fillId="0" borderId="0" xfId="57" applyFont="1" applyFill="1" applyBorder="1" applyAlignment="1" applyProtection="1">
      <alignment horizontal="center"/>
      <protection locked="0"/>
    </xf>
    <xf numFmtId="0" fontId="4" fillId="0" borderId="0" xfId="57" applyFont="1" applyFill="1" applyBorder="1" applyAlignment="1" applyProtection="1">
      <alignment horizontal="center"/>
      <protection locked="0"/>
    </xf>
    <xf numFmtId="0" fontId="3" fillId="0" borderId="0" xfId="57" applyFont="1" applyFill="1" applyBorder="1" applyAlignment="1"/>
    <xf numFmtId="0" fontId="3" fillId="0" borderId="7" xfId="57" applyFont="1" applyFill="1" applyBorder="1" applyAlignment="1" applyProtection="1">
      <alignment horizontal="right"/>
      <protection locked="0"/>
    </xf>
    <xf numFmtId="0" fontId="3" fillId="3" borderId="0" xfId="57" applyFont="1" applyFill="1" applyBorder="1" applyAlignment="1"/>
    <xf numFmtId="49" fontId="3" fillId="0" borderId="0" xfId="57" applyNumberFormat="1" applyFont="1" applyFill="1" applyBorder="1" applyAlignment="1">
      <alignment horizontal="left"/>
    </xf>
    <xf numFmtId="185" fontId="3" fillId="0" borderId="7" xfId="57" applyNumberFormat="1" applyFont="1" applyFill="1" applyBorder="1" applyAlignment="1" applyProtection="1">
      <protection locked="0"/>
    </xf>
    <xf numFmtId="184" fontId="3" fillId="0" borderId="7" xfId="57" applyNumberFormat="1" applyFont="1" applyFill="1" applyBorder="1" applyAlignment="1" applyProtection="1">
      <alignment horizontal="left"/>
    </xf>
    <xf numFmtId="0" fontId="94" fillId="0" borderId="7" xfId="0" applyFont="1" applyFill="1" applyBorder="1" applyAlignment="1">
      <alignment horizontal="left"/>
    </xf>
    <xf numFmtId="0" fontId="94" fillId="0" borderId="7" xfId="0" applyFont="1" applyFill="1" applyBorder="1" applyAlignment="1"/>
    <xf numFmtId="49" fontId="94" fillId="0" borderId="7" xfId="0" applyNumberFormat="1" applyFont="1" applyFill="1" applyBorder="1" applyAlignment="1"/>
    <xf numFmtId="44" fontId="94" fillId="0" borderId="7" xfId="4" applyFont="1" applyFill="1" applyBorder="1" applyAlignment="1">
      <alignment horizontal="left"/>
    </xf>
    <xf numFmtId="0" fontId="3" fillId="0" borderId="7" xfId="0" applyFont="1" applyFill="1" applyBorder="1" applyAlignment="1"/>
    <xf numFmtId="49" fontId="3" fillId="0" borderId="7" xfId="0" applyNumberFormat="1" applyFont="1" applyFill="1" applyBorder="1" applyAlignment="1"/>
    <xf numFmtId="44" fontId="3" fillId="0" borderId="7" xfId="4" applyFont="1" applyFill="1" applyBorder="1" applyAlignment="1">
      <alignment horizontal="left"/>
    </xf>
    <xf numFmtId="0" fontId="3" fillId="0" borderId="7" xfId="0" applyFont="1" applyFill="1" applyBorder="1" applyAlignment="1">
      <alignment horizontal="left"/>
    </xf>
    <xf numFmtId="49" fontId="94" fillId="0" borderId="7" xfId="4" applyNumberFormat="1" applyFont="1" applyFill="1" applyBorder="1" applyAlignment="1">
      <alignment horizontal="left"/>
    </xf>
    <xf numFmtId="0" fontId="3" fillId="3" borderId="7" xfId="0" applyFont="1" applyFill="1" applyBorder="1" applyAlignment="1"/>
    <xf numFmtId="49" fontId="3" fillId="3" borderId="7" xfId="0" applyNumberFormat="1" applyFont="1" applyFill="1" applyBorder="1" applyAlignment="1"/>
    <xf numFmtId="44" fontId="3" fillId="3" borderId="7" xfId="4" applyFont="1" applyFill="1" applyBorder="1" applyAlignment="1">
      <alignment horizontal="left"/>
    </xf>
    <xf numFmtId="49" fontId="3" fillId="0" borderId="7" xfId="0" applyNumberFormat="1" applyFont="1" applyFill="1" applyBorder="1" applyAlignment="1">
      <alignment horizontal="left"/>
    </xf>
    <xf numFmtId="0" fontId="3" fillId="0" borderId="7" xfId="0" applyFont="1" applyFill="1" applyBorder="1" applyAlignment="1">
      <alignment horizontal="right"/>
    </xf>
    <xf numFmtId="0" fontId="94" fillId="3" borderId="7" xfId="0" applyFont="1" applyFill="1" applyBorder="1" applyAlignment="1"/>
    <xf numFmtId="49" fontId="94" fillId="3" borderId="7" xfId="0" applyNumberFormat="1" applyFont="1" applyFill="1" applyBorder="1" applyAlignment="1"/>
    <xf numFmtId="49" fontId="94" fillId="3" borderId="7" xfId="4" applyNumberFormat="1" applyFont="1" applyFill="1" applyBorder="1" applyAlignment="1">
      <alignment horizontal="left"/>
    </xf>
    <xf numFmtId="176" fontId="3" fillId="0" borderId="7" xfId="57" applyNumberFormat="1" applyFont="1" applyFill="1" applyBorder="1" applyAlignment="1">
      <alignment horizontal="right"/>
    </xf>
    <xf numFmtId="188" fontId="3" fillId="0" borderId="7" xfId="0" applyNumberFormat="1" applyFont="1" applyFill="1" applyBorder="1" applyAlignment="1">
      <alignment horizontal="right"/>
    </xf>
    <xf numFmtId="176" fontId="94" fillId="0" borderId="7" xfId="0" applyNumberFormat="1" applyFont="1" applyFill="1" applyBorder="1" applyAlignment="1">
      <alignment horizontal="right"/>
    </xf>
    <xf numFmtId="188" fontId="94" fillId="0" borderId="7" xfId="0" applyNumberFormat="1" applyFont="1" applyFill="1" applyBorder="1" applyAlignment="1">
      <alignment horizontal="right"/>
    </xf>
    <xf numFmtId="58" fontId="94" fillId="0" borderId="7" xfId="0" applyNumberFormat="1" applyFont="1" applyFill="1" applyBorder="1" applyAlignment="1"/>
    <xf numFmtId="0" fontId="3" fillId="3" borderId="7" xfId="0" applyFont="1" applyFill="1" applyBorder="1" applyAlignment="1" applyProtection="1">
      <protection locked="0"/>
    </xf>
    <xf numFmtId="188" fontId="3" fillId="3" borderId="7" xfId="0" applyNumberFormat="1" applyFont="1" applyFill="1" applyBorder="1" applyAlignment="1">
      <alignment horizontal="right"/>
    </xf>
    <xf numFmtId="188" fontId="3" fillId="0" borderId="7" xfId="0" applyNumberFormat="1" applyFont="1" applyFill="1" applyBorder="1" applyAlignment="1"/>
    <xf numFmtId="188" fontId="3" fillId="3" borderId="7" xfId="0" applyNumberFormat="1" applyFont="1" applyFill="1" applyBorder="1" applyAlignment="1"/>
    <xf numFmtId="0" fontId="3" fillId="3" borderId="7" xfId="0" applyFont="1" applyFill="1" applyBorder="1" applyAlignment="1">
      <alignment horizontal="left"/>
    </xf>
    <xf numFmtId="188" fontId="3" fillId="0" borderId="7" xfId="0" applyNumberFormat="1" applyFont="1" applyFill="1" applyBorder="1" applyAlignment="1">
      <alignment horizontal="left"/>
    </xf>
    <xf numFmtId="1" fontId="3" fillId="0" borderId="7" xfId="0" applyNumberFormat="1" applyFont="1" applyFill="1" applyBorder="1" applyAlignment="1">
      <alignment horizontal="center"/>
    </xf>
    <xf numFmtId="0" fontId="94" fillId="0" borderId="7" xfId="0" applyFont="1" applyFill="1" applyBorder="1" applyAlignment="1">
      <alignment horizontal="right"/>
    </xf>
    <xf numFmtId="188" fontId="94" fillId="0" borderId="7" xfId="0" applyNumberFormat="1" applyFont="1" applyFill="1" applyBorder="1" applyAlignment="1"/>
    <xf numFmtId="49" fontId="94" fillId="0" borderId="7" xfId="0" applyNumberFormat="1" applyFont="1" applyFill="1" applyBorder="1" applyAlignment="1">
      <alignment horizontal="right"/>
    </xf>
    <xf numFmtId="1" fontId="94" fillId="0" borderId="7" xfId="0" applyNumberFormat="1" applyFont="1" applyFill="1" applyBorder="1" applyAlignment="1">
      <alignment horizontal="center"/>
    </xf>
    <xf numFmtId="2" fontId="94" fillId="0" borderId="7" xfId="0" applyNumberFormat="1" applyFont="1" applyFill="1" applyBorder="1" applyAlignment="1">
      <alignment horizontal="right"/>
    </xf>
    <xf numFmtId="196" fontId="94" fillId="0" borderId="7" xfId="0" applyNumberFormat="1" applyFont="1" applyFill="1" applyBorder="1" applyAlignment="1"/>
    <xf numFmtId="9" fontId="94" fillId="0" borderId="7" xfId="0" applyNumberFormat="1" applyFont="1" applyFill="1" applyBorder="1" applyAlignment="1"/>
    <xf numFmtId="196" fontId="94" fillId="0" borderId="7" xfId="0" applyNumberFormat="1" applyFont="1" applyFill="1" applyBorder="1" applyAlignment="1">
      <alignment horizontal="right"/>
    </xf>
    <xf numFmtId="0" fontId="96" fillId="0" borderId="7" xfId="0" applyFont="1" applyFill="1" applyBorder="1" applyAlignment="1"/>
    <xf numFmtId="2" fontId="3" fillId="0" borderId="7" xfId="0" applyNumberFormat="1" applyFont="1" applyFill="1" applyBorder="1" applyAlignment="1">
      <alignment horizontal="right"/>
    </xf>
    <xf numFmtId="196" fontId="3" fillId="0" borderId="7" xfId="0" applyNumberFormat="1" applyFont="1" applyFill="1" applyBorder="1" applyAlignment="1"/>
    <xf numFmtId="9" fontId="3" fillId="0" borderId="7" xfId="0" applyNumberFormat="1" applyFont="1" applyFill="1" applyBorder="1" applyAlignment="1"/>
    <xf numFmtId="196" fontId="3" fillId="0" borderId="7" xfId="0" applyNumberFormat="1" applyFont="1" applyFill="1" applyBorder="1" applyAlignment="1">
      <alignment horizontal="right"/>
    </xf>
    <xf numFmtId="185" fontId="3" fillId="0" borderId="7" xfId="0" applyNumberFormat="1" applyFont="1" applyFill="1" applyBorder="1" applyAlignment="1">
      <alignment horizontal="right"/>
    </xf>
    <xf numFmtId="9" fontId="3" fillId="0" borderId="7" xfId="0" applyNumberFormat="1" applyFont="1" applyFill="1" applyBorder="1" applyAlignment="1">
      <alignment horizontal="right"/>
    </xf>
    <xf numFmtId="1" fontId="3" fillId="3" borderId="7" xfId="0" applyNumberFormat="1" applyFont="1" applyFill="1" applyBorder="1" applyAlignment="1">
      <alignment horizontal="center"/>
    </xf>
    <xf numFmtId="0" fontId="96" fillId="3" borderId="7" xfId="0" applyFont="1" applyFill="1" applyBorder="1" applyAlignment="1"/>
    <xf numFmtId="2" fontId="3" fillId="3" borderId="7" xfId="0" applyNumberFormat="1" applyFont="1" applyFill="1" applyBorder="1" applyAlignment="1">
      <alignment horizontal="right"/>
    </xf>
    <xf numFmtId="196" fontId="3" fillId="3" borderId="7" xfId="0" applyNumberFormat="1" applyFont="1" applyFill="1" applyBorder="1" applyAlignment="1"/>
    <xf numFmtId="9" fontId="3" fillId="3" borderId="7" xfId="0" applyNumberFormat="1" applyFont="1" applyFill="1" applyBorder="1" applyAlignment="1"/>
    <xf numFmtId="196" fontId="3" fillId="3" borderId="7" xfId="0" applyNumberFormat="1" applyFont="1" applyFill="1" applyBorder="1" applyAlignment="1">
      <alignment horizontal="right"/>
    </xf>
    <xf numFmtId="1" fontId="3" fillId="0" borderId="7" xfId="0" applyNumberFormat="1" applyFont="1" applyFill="1" applyBorder="1" applyAlignment="1">
      <alignment horizontal="right"/>
    </xf>
    <xf numFmtId="196" fontId="96" fillId="0" borderId="7" xfId="0" applyNumberFormat="1" applyFont="1" applyFill="1" applyBorder="1" applyAlignment="1"/>
    <xf numFmtId="2" fontId="96" fillId="0" borderId="7" xfId="0" applyNumberFormat="1" applyFont="1" applyFill="1" applyBorder="1" applyAlignment="1">
      <alignment horizontal="right"/>
    </xf>
    <xf numFmtId="196" fontId="96" fillId="0" borderId="7" xfId="0" applyNumberFormat="1" applyFont="1" applyFill="1" applyBorder="1" applyAlignment="1">
      <alignment horizontal="right"/>
    </xf>
    <xf numFmtId="197" fontId="3" fillId="0" borderId="7" xfId="0" applyNumberFormat="1" applyFont="1" applyFill="1" applyBorder="1" applyAlignment="1"/>
    <xf numFmtId="185" fontId="3" fillId="0" borderId="7" xfId="0" applyNumberFormat="1" applyFont="1" applyFill="1" applyBorder="1" applyAlignment="1">
      <alignment horizontal="center"/>
    </xf>
    <xf numFmtId="185" fontId="94" fillId="0" borderId="7" xfId="0" applyNumberFormat="1" applyFont="1" applyFill="1" applyBorder="1" applyAlignment="1"/>
    <xf numFmtId="9" fontId="94" fillId="0" borderId="7" xfId="0" applyNumberFormat="1" applyFont="1" applyFill="1" applyBorder="1" applyAlignment="1">
      <alignment horizontal="right"/>
    </xf>
    <xf numFmtId="1" fontId="94" fillId="3" borderId="7" xfId="0" applyNumberFormat="1" applyFont="1" applyFill="1" applyBorder="1" applyAlignment="1">
      <alignment horizontal="center"/>
    </xf>
    <xf numFmtId="9" fontId="94" fillId="3" borderId="7" xfId="0" applyNumberFormat="1" applyFont="1" applyFill="1" applyBorder="1" applyAlignment="1"/>
    <xf numFmtId="0" fontId="94" fillId="0" borderId="7" xfId="0" applyFont="1" applyFill="1" applyBorder="1" applyAlignment="1" applyProtection="1">
      <protection locked="0"/>
    </xf>
    <xf numFmtId="0" fontId="3" fillId="0" borderId="7" xfId="0" applyFont="1" applyFill="1" applyBorder="1" applyAlignment="1" applyProtection="1">
      <protection locked="0"/>
    </xf>
    <xf numFmtId="0" fontId="3" fillId="0" borderId="7" xfId="62" applyFont="1" applyBorder="1" applyAlignment="1">
      <alignment horizontal="left"/>
    </xf>
    <xf numFmtId="0" fontId="3" fillId="0" borderId="7" xfId="0" applyFont="1" applyFill="1" applyBorder="1" applyAlignment="1">
      <alignment horizontal="center"/>
    </xf>
    <xf numFmtId="0" fontId="3" fillId="0" borderId="7" xfId="0" applyFont="1" applyFill="1" applyBorder="1" applyAlignment="1" applyProtection="1">
      <alignment horizontal="center"/>
      <protection locked="0"/>
    </xf>
    <xf numFmtId="0" fontId="94" fillId="0" borderId="7" xfId="0" applyFont="1" applyFill="1" applyBorder="1" applyAlignment="1">
      <alignment horizontal="center"/>
    </xf>
    <xf numFmtId="0" fontId="94" fillId="3" borderId="7" xfId="0" applyFont="1" applyFill="1" applyBorder="1" applyAlignment="1" applyProtection="1">
      <protection locked="0"/>
    </xf>
    <xf numFmtId="31" fontId="94" fillId="0" borderId="7" xfId="0" applyNumberFormat="1" applyFont="1" applyFill="1" applyBorder="1" applyAlignment="1"/>
    <xf numFmtId="198" fontId="94" fillId="0" borderId="7" xfId="0" applyNumberFormat="1" applyFont="1" applyFill="1" applyBorder="1" applyAlignment="1">
      <alignment horizontal="left"/>
    </xf>
    <xf numFmtId="31" fontId="3" fillId="0" borderId="7" xfId="0" applyNumberFormat="1" applyFont="1" applyFill="1" applyBorder="1" applyAlignment="1"/>
    <xf numFmtId="198" fontId="3" fillId="0" borderId="7" xfId="0" applyNumberFormat="1" applyFont="1" applyFill="1" applyBorder="1" applyAlignment="1">
      <alignment horizontal="center"/>
    </xf>
    <xf numFmtId="198" fontId="3" fillId="0" borderId="7" xfId="0" applyNumberFormat="1" applyFont="1" applyFill="1" applyBorder="1" applyAlignment="1">
      <alignment horizontal="left"/>
    </xf>
    <xf numFmtId="198" fontId="94" fillId="0" borderId="7" xfId="0" applyNumberFormat="1" applyFont="1" applyFill="1" applyBorder="1" applyAlignment="1">
      <alignment horizontal="center"/>
    </xf>
    <xf numFmtId="0" fontId="3" fillId="3" borderId="7" xfId="0" applyFont="1" applyFill="1" applyBorder="1" applyAlignment="1">
      <alignment horizontal="center"/>
    </xf>
    <xf numFmtId="31" fontId="3" fillId="3" borderId="7" xfId="0" applyNumberFormat="1" applyFont="1" applyFill="1" applyBorder="1" applyAlignment="1"/>
    <xf numFmtId="198" fontId="3" fillId="3" borderId="7" xfId="0" applyNumberFormat="1" applyFont="1" applyFill="1" applyBorder="1" applyAlignment="1">
      <alignment horizontal="left"/>
    </xf>
    <xf numFmtId="31" fontId="3" fillId="0" borderId="7" xfId="0" applyNumberFormat="1" applyFont="1" applyFill="1" applyBorder="1" applyAlignment="1">
      <alignment horizontal="right"/>
    </xf>
    <xf numFmtId="31" fontId="94" fillId="0" borderId="7" xfId="0" applyNumberFormat="1" applyFont="1" applyFill="1" applyBorder="1" applyAlignment="1">
      <alignment horizontal="right"/>
    </xf>
    <xf numFmtId="0" fontId="94" fillId="0" borderId="7" xfId="62" applyFont="1" applyBorder="1" applyAlignment="1">
      <alignment horizontal="left" wrapText="1"/>
    </xf>
    <xf numFmtId="31" fontId="94" fillId="3" borderId="7" xfId="0" applyNumberFormat="1" applyFont="1" applyFill="1" applyBorder="1" applyAlignment="1"/>
    <xf numFmtId="198" fontId="94" fillId="3" borderId="7" xfId="0" applyNumberFormat="1" applyFont="1" applyFill="1" applyBorder="1" applyAlignment="1">
      <alignment horizontal="left"/>
    </xf>
    <xf numFmtId="181" fontId="3" fillId="0" borderId="7" xfId="0" applyNumberFormat="1" applyFont="1" applyFill="1" applyBorder="1" applyAlignment="1">
      <alignment horizontal="right"/>
    </xf>
    <xf numFmtId="181" fontId="94" fillId="0" borderId="7" xfId="0" applyNumberFormat="1" applyFont="1" applyFill="1" applyBorder="1" applyAlignment="1">
      <alignment horizontal="right"/>
    </xf>
    <xf numFmtId="49" fontId="94" fillId="0" borderId="7" xfId="0" applyNumberFormat="1" applyFont="1" applyFill="1" applyBorder="1" applyAlignment="1" applyProtection="1">
      <protection locked="0"/>
    </xf>
    <xf numFmtId="195" fontId="94" fillId="0" borderId="7" xfId="0" applyNumberFormat="1" applyFont="1" applyFill="1" applyBorder="1" applyAlignment="1" applyProtection="1">
      <protection locked="0"/>
    </xf>
    <xf numFmtId="49" fontId="3" fillId="0" borderId="7" xfId="0" applyNumberFormat="1" applyFont="1" applyFill="1" applyBorder="1" applyAlignment="1" applyProtection="1">
      <protection locked="0"/>
    </xf>
    <xf numFmtId="195" fontId="3" fillId="0" borderId="7" xfId="0" applyNumberFormat="1" applyFont="1" applyFill="1" applyBorder="1" applyAlignment="1" applyProtection="1">
      <protection locked="0"/>
    </xf>
    <xf numFmtId="195" fontId="3" fillId="0" borderId="7" xfId="0" applyNumberFormat="1" applyFont="1" applyFill="1" applyBorder="1" applyAlignment="1"/>
    <xf numFmtId="49" fontId="3" fillId="3" borderId="7" xfId="0" applyNumberFormat="1" applyFont="1" applyFill="1" applyBorder="1" applyAlignment="1" applyProtection="1">
      <protection locked="0"/>
    </xf>
    <xf numFmtId="195" fontId="3" fillId="3" borderId="7" xfId="0" applyNumberFormat="1" applyFont="1" applyFill="1" applyBorder="1" applyAlignment="1" applyProtection="1">
      <protection locked="0"/>
    </xf>
    <xf numFmtId="0" fontId="3" fillId="0" borderId="7" xfId="0" applyFont="1" applyFill="1" applyBorder="1" applyAlignment="1" applyProtection="1">
      <alignment horizontal="left"/>
      <protection locked="0"/>
    </xf>
    <xf numFmtId="195" fontId="3" fillId="0" borderId="7" xfId="0" applyNumberFormat="1" applyFont="1" applyFill="1" applyBorder="1" applyAlignment="1" applyProtection="1">
      <alignment horizontal="left"/>
      <protection locked="0"/>
    </xf>
    <xf numFmtId="195" fontId="3" fillId="0" borderId="7" xfId="0" applyNumberFormat="1" applyFont="1" applyFill="1" applyBorder="1" applyAlignment="1" applyProtection="1">
      <alignment horizontal="right"/>
      <protection locked="0"/>
    </xf>
    <xf numFmtId="0" fontId="94" fillId="0" borderId="7" xfId="0" applyFont="1" applyFill="1" applyBorder="1" applyAlignment="1" applyProtection="1">
      <alignment horizontal="left"/>
      <protection locked="0"/>
    </xf>
    <xf numFmtId="195" fontId="94" fillId="0" borderId="7" xfId="0" applyNumberFormat="1" applyFont="1" applyFill="1" applyBorder="1" applyAlignment="1" applyProtection="1">
      <alignment horizontal="left"/>
      <protection locked="0"/>
    </xf>
    <xf numFmtId="195" fontId="94" fillId="0" borderId="7" xfId="0" applyNumberFormat="1" applyFont="1" applyFill="1" applyBorder="1" applyAlignment="1" applyProtection="1">
      <alignment horizontal="right"/>
      <protection locked="0"/>
    </xf>
    <xf numFmtId="49" fontId="94" fillId="0" borderId="7" xfId="0" applyNumberFormat="1" applyFont="1" applyFill="1" applyBorder="1" applyAlignment="1" applyProtection="1">
      <alignment horizontal="right"/>
      <protection locked="0"/>
    </xf>
    <xf numFmtId="49" fontId="94" fillId="0" borderId="7" xfId="0" applyNumberFormat="1" applyFont="1" applyFill="1" applyBorder="1" applyAlignment="1">
      <alignment horizontal="left"/>
    </xf>
    <xf numFmtId="49" fontId="94" fillId="3" borderId="7" xfId="0" applyNumberFormat="1" applyFont="1" applyFill="1" applyBorder="1" applyAlignment="1" applyProtection="1">
      <protection locked="0"/>
    </xf>
    <xf numFmtId="195" fontId="94" fillId="3" borderId="7" xfId="0" applyNumberFormat="1" applyFont="1" applyFill="1" applyBorder="1" applyAlignment="1" applyProtection="1">
      <protection locked="0"/>
    </xf>
    <xf numFmtId="176" fontId="94" fillId="0" borderId="7" xfId="0" applyNumberFormat="1" applyFont="1" applyFill="1" applyBorder="1" applyAlignment="1" applyProtection="1">
      <protection locked="0"/>
    </xf>
    <xf numFmtId="31" fontId="94" fillId="0" borderId="7" xfId="0" applyNumberFormat="1" applyFont="1" applyFill="1" applyBorder="1" applyAlignment="1" applyProtection="1">
      <protection locked="0"/>
    </xf>
    <xf numFmtId="0" fontId="94" fillId="0" borderId="7" xfId="0" applyFont="1" applyFill="1" applyBorder="1" applyAlignment="1" applyProtection="1">
      <alignment horizontal="center"/>
      <protection locked="0"/>
    </xf>
    <xf numFmtId="181" fontId="94" fillId="0" borderId="7" xfId="0" applyNumberFormat="1" applyFont="1" applyFill="1" applyBorder="1" applyAlignment="1" applyProtection="1">
      <protection locked="0"/>
    </xf>
    <xf numFmtId="176" fontId="3" fillId="0" borderId="7" xfId="0" applyNumberFormat="1" applyFont="1" applyFill="1" applyBorder="1" applyAlignment="1" applyProtection="1">
      <protection locked="0"/>
    </xf>
    <xf numFmtId="181" fontId="3" fillId="0" borderId="7" xfId="0" applyNumberFormat="1" applyFont="1" applyFill="1" applyBorder="1" applyAlignment="1" applyProtection="1">
      <protection locked="0"/>
    </xf>
    <xf numFmtId="31" fontId="3" fillId="0" borderId="7" xfId="0" applyNumberFormat="1" applyFont="1" applyFill="1" applyBorder="1" applyAlignment="1" applyProtection="1">
      <protection locked="0"/>
    </xf>
    <xf numFmtId="58" fontId="3" fillId="0" borderId="7" xfId="0" applyNumberFormat="1" applyFont="1" applyFill="1" applyBorder="1" applyAlignment="1"/>
    <xf numFmtId="31" fontId="3" fillId="0" borderId="7" xfId="0" applyNumberFormat="1" applyFont="1" applyFill="1" applyBorder="1" applyAlignment="1">
      <alignment horizontal="left"/>
    </xf>
    <xf numFmtId="176" fontId="3" fillId="0" borderId="7" xfId="0" applyNumberFormat="1" applyFont="1" applyFill="1" applyBorder="1" applyAlignment="1"/>
    <xf numFmtId="181" fontId="3" fillId="0" borderId="7" xfId="0" applyNumberFormat="1" applyFont="1" applyFill="1" applyBorder="1" applyAlignment="1"/>
    <xf numFmtId="176" fontId="3" fillId="3" borderId="7" xfId="0" applyNumberFormat="1" applyFont="1" applyFill="1" applyBorder="1" applyAlignment="1" applyProtection="1">
      <protection locked="0"/>
    </xf>
    <xf numFmtId="31" fontId="3" fillId="3" borderId="7" xfId="0" applyNumberFormat="1" applyFont="1" applyFill="1" applyBorder="1" applyAlignment="1" applyProtection="1">
      <protection locked="0"/>
    </xf>
    <xf numFmtId="181" fontId="3" fillId="3" borderId="7" xfId="0" applyNumberFormat="1" applyFont="1" applyFill="1" applyBorder="1" applyAlignment="1" applyProtection="1">
      <protection locked="0"/>
    </xf>
    <xf numFmtId="31" fontId="3" fillId="0" borderId="7" xfId="0" applyNumberFormat="1" applyFont="1" applyFill="1" applyBorder="1" applyAlignment="1" applyProtection="1">
      <alignment horizontal="right"/>
      <protection locked="0"/>
    </xf>
    <xf numFmtId="176" fontId="96" fillId="0" borderId="7" xfId="0" applyNumberFormat="1" applyFont="1" applyFill="1" applyBorder="1" applyAlignment="1"/>
    <xf numFmtId="0" fontId="3" fillId="0" borderId="7" xfId="62" applyFont="1" applyBorder="1" applyAlignment="1">
      <alignment horizontal="center"/>
    </xf>
    <xf numFmtId="31" fontId="94" fillId="0" borderId="7" xfId="0" applyNumberFormat="1" applyFont="1" applyFill="1" applyBorder="1" applyAlignment="1" applyProtection="1">
      <alignment horizontal="right"/>
      <protection locked="0"/>
    </xf>
    <xf numFmtId="31" fontId="94" fillId="0" borderId="7" xfId="0" applyNumberFormat="1" applyFont="1" applyFill="1" applyBorder="1" applyAlignment="1">
      <alignment horizontal="left"/>
    </xf>
    <xf numFmtId="181" fontId="94" fillId="0" borderId="7" xfId="62" applyNumberFormat="1" applyFont="1" applyBorder="1" applyAlignment="1">
      <alignment horizontal="right" wrapText="1"/>
    </xf>
    <xf numFmtId="176" fontId="94" fillId="3" borderId="7" xfId="0" applyNumberFormat="1" applyFont="1" applyFill="1" applyBorder="1" applyAlignment="1" applyProtection="1">
      <protection locked="0"/>
    </xf>
    <xf numFmtId="31" fontId="94" fillId="3" borderId="7" xfId="0" applyNumberFormat="1" applyFont="1" applyFill="1" applyBorder="1" applyAlignment="1" applyProtection="1">
      <protection locked="0"/>
    </xf>
    <xf numFmtId="181" fontId="94" fillId="3" borderId="7" xfId="0" applyNumberFormat="1" applyFont="1" applyFill="1" applyBorder="1" applyAlignment="1" applyProtection="1">
      <protection locked="0"/>
    </xf>
    <xf numFmtId="0" fontId="94" fillId="3" borderId="7" xfId="0" applyFont="1" applyFill="1" applyBorder="1" applyAlignment="1">
      <alignment horizontal="left"/>
    </xf>
    <xf numFmtId="0" fontId="3" fillId="3" borderId="7" xfId="0" applyFont="1" applyFill="1" applyBorder="1" applyAlignment="1">
      <alignment horizontal="right"/>
    </xf>
    <xf numFmtId="49" fontId="3" fillId="0" borderId="7" xfId="4" applyNumberFormat="1" applyFont="1" applyFill="1" applyBorder="1" applyAlignment="1">
      <alignment horizontal="left"/>
    </xf>
    <xf numFmtId="49" fontId="3" fillId="0" borderId="7" xfId="0" applyNumberFormat="1" applyFont="1" applyFill="1" applyBorder="1" applyAlignment="1">
      <alignment horizontal="right"/>
    </xf>
    <xf numFmtId="0" fontId="94" fillId="3" borderId="7" xfId="0" applyFont="1" applyFill="1" applyBorder="1" applyAlignment="1">
      <alignment horizontal="right"/>
    </xf>
    <xf numFmtId="189" fontId="3" fillId="0" borderId="7" xfId="0" applyNumberFormat="1" applyFont="1" applyFill="1" applyBorder="1" applyAlignment="1">
      <alignment horizontal="right"/>
    </xf>
    <xf numFmtId="176" fontId="3" fillId="0" borderId="7" xfId="0" applyNumberFormat="1" applyFont="1" applyFill="1" applyBorder="1" applyAlignment="1">
      <alignment horizontal="right"/>
    </xf>
    <xf numFmtId="176" fontId="3" fillId="3" borderId="7" xfId="0" applyNumberFormat="1" applyFont="1" applyFill="1" applyBorder="1" applyAlignment="1">
      <alignment horizontal="right"/>
    </xf>
    <xf numFmtId="185" fontId="3" fillId="3" borderId="7" xfId="0" applyNumberFormat="1" applyFont="1" applyFill="1" applyBorder="1" applyAlignment="1">
      <alignment horizontal="right"/>
    </xf>
    <xf numFmtId="31" fontId="94" fillId="3" borderId="7" xfId="0" applyNumberFormat="1" applyFont="1" applyFill="1" applyBorder="1" applyAlignment="1">
      <alignment horizontal="right"/>
    </xf>
    <xf numFmtId="198" fontId="94" fillId="3" borderId="7" xfId="0" applyNumberFormat="1" applyFont="1" applyFill="1" applyBorder="1" applyAlignment="1">
      <alignment horizontal="center"/>
    </xf>
    <xf numFmtId="198" fontId="94" fillId="0" borderId="7" xfId="0" applyNumberFormat="1" applyFont="1" applyFill="1" applyBorder="1" applyAlignment="1"/>
    <xf numFmtId="31" fontId="3" fillId="3" borderId="7" xfId="0" applyNumberFormat="1" applyFont="1" applyFill="1" applyBorder="1" applyAlignment="1">
      <alignment horizontal="right"/>
    </xf>
    <xf numFmtId="181" fontId="94" fillId="3" borderId="7" xfId="0" applyNumberFormat="1" applyFont="1" applyFill="1" applyBorder="1" applyAlignment="1">
      <alignment horizontal="right"/>
    </xf>
    <xf numFmtId="0" fontId="94" fillId="3" borderId="7" xfId="0" applyFont="1" applyFill="1" applyBorder="1" applyAlignment="1" applyProtection="1">
      <alignment horizontal="left"/>
      <protection locked="0"/>
    </xf>
    <xf numFmtId="195" fontId="94" fillId="3" borderId="7" xfId="0" applyNumberFormat="1" applyFont="1" applyFill="1" applyBorder="1" applyAlignment="1" applyProtection="1">
      <alignment horizontal="left"/>
      <protection locked="0"/>
    </xf>
    <xf numFmtId="195" fontId="94" fillId="3" borderId="7" xfId="0" applyNumberFormat="1" applyFont="1" applyFill="1" applyBorder="1" applyAlignment="1" applyProtection="1">
      <alignment horizontal="right"/>
      <protection locked="0"/>
    </xf>
    <xf numFmtId="49" fontId="3" fillId="0" borderId="7" xfId="0" applyNumberFormat="1" applyFont="1" applyFill="1" applyBorder="1" applyAlignment="1" applyProtection="1">
      <alignment horizontal="right"/>
      <protection locked="0"/>
    </xf>
    <xf numFmtId="184" fontId="3" fillId="0" borderId="7" xfId="0" applyNumberFormat="1" applyFont="1" applyFill="1" applyBorder="1" applyAlignment="1">
      <alignment horizontal="left"/>
    </xf>
    <xf numFmtId="195" fontId="3" fillId="3" borderId="7" xfId="0" applyNumberFormat="1" applyFont="1" applyFill="1" applyBorder="1" applyAlignment="1"/>
    <xf numFmtId="31" fontId="94" fillId="3" borderId="7" xfId="0" applyNumberFormat="1" applyFont="1" applyFill="1" applyBorder="1" applyAlignment="1" applyProtection="1">
      <alignment horizontal="right"/>
      <protection locked="0"/>
    </xf>
    <xf numFmtId="176" fontId="3" fillId="3" borderId="7" xfId="0" applyNumberFormat="1" applyFont="1" applyFill="1" applyBorder="1" applyAlignment="1"/>
    <xf numFmtId="57" fontId="3" fillId="3" borderId="7" xfId="0" applyNumberFormat="1" applyFont="1" applyFill="1" applyBorder="1" applyAlignment="1"/>
    <xf numFmtId="181" fontId="3" fillId="3" borderId="7" xfId="0" applyNumberFormat="1" applyFont="1" applyFill="1" applyBorder="1" applyAlignment="1"/>
    <xf numFmtId="181" fontId="3" fillId="0" borderId="0" xfId="0" applyNumberFormat="1" applyFont="1" applyFill="1" applyBorder="1" applyAlignment="1" applyProtection="1">
      <protection locked="0"/>
    </xf>
    <xf numFmtId="49" fontId="3" fillId="0" borderId="0" xfId="0" applyNumberFormat="1" applyFont="1" applyFill="1" applyBorder="1" applyAlignment="1"/>
    <xf numFmtId="49" fontId="3" fillId="0" borderId="0" xfId="4" applyNumberFormat="1" applyFont="1" applyFill="1" applyBorder="1" applyAlignment="1">
      <alignment horizontal="left"/>
    </xf>
    <xf numFmtId="44" fontId="3" fillId="0" borderId="0" xfId="4" applyFont="1" applyFill="1" applyBorder="1" applyAlignment="1">
      <alignment horizontal="left"/>
    </xf>
    <xf numFmtId="0" fontId="3" fillId="3" borderId="0" xfId="0" applyFont="1" applyFill="1" applyBorder="1" applyAlignment="1">
      <alignment horizontal="left"/>
    </xf>
    <xf numFmtId="49" fontId="3" fillId="3" borderId="0" xfId="0" applyNumberFormat="1" applyFont="1" applyFill="1" applyBorder="1" applyAlignment="1"/>
    <xf numFmtId="49" fontId="94" fillId="0" borderId="0" xfId="4" applyNumberFormat="1" applyFont="1" applyFill="1" applyBorder="1" applyAlignment="1">
      <alignment horizontal="left"/>
    </xf>
    <xf numFmtId="188" fontId="3" fillId="0" borderId="0" xfId="0" applyNumberFormat="1" applyFont="1" applyFill="1" applyBorder="1" applyAlignment="1">
      <alignment horizontal="right"/>
    </xf>
    <xf numFmtId="188" fontId="3" fillId="3" borderId="0" xfId="0" applyNumberFormat="1" applyFont="1" applyFill="1" applyBorder="1" applyAlignment="1">
      <alignment horizontal="right"/>
    </xf>
    <xf numFmtId="0" fontId="3" fillId="3" borderId="0" xfId="0" applyFont="1" applyFill="1" applyBorder="1" applyAlignment="1">
      <alignment horizontal="right"/>
    </xf>
    <xf numFmtId="185" fontId="3" fillId="0" borderId="7" xfId="0" applyNumberFormat="1" applyFont="1" applyFill="1" applyBorder="1" applyAlignment="1"/>
    <xf numFmtId="2" fontId="3" fillId="0" borderId="7" xfId="0" applyNumberFormat="1" applyFont="1" applyFill="1" applyBorder="1" applyAlignment="1"/>
    <xf numFmtId="1" fontId="3" fillId="0" borderId="0" xfId="0" applyNumberFormat="1" applyFont="1" applyFill="1" applyBorder="1" applyAlignment="1"/>
    <xf numFmtId="2" fontId="3" fillId="0" borderId="0" xfId="0" applyNumberFormat="1" applyFont="1" applyFill="1" applyBorder="1" applyAlignment="1">
      <alignment horizontal="right"/>
    </xf>
    <xf numFmtId="196" fontId="3" fillId="0" borderId="0" xfId="0" applyNumberFormat="1" applyFont="1" applyFill="1" applyBorder="1" applyAlignment="1"/>
    <xf numFmtId="9" fontId="3" fillId="0" borderId="0" xfId="0" applyNumberFormat="1" applyFont="1" applyFill="1" applyBorder="1" applyAlignment="1"/>
    <xf numFmtId="196" fontId="3" fillId="0" borderId="0" xfId="0" applyNumberFormat="1" applyFont="1" applyFill="1" applyBorder="1" applyAlignment="1">
      <alignment horizontal="right"/>
    </xf>
    <xf numFmtId="9" fontId="3" fillId="0" borderId="0" xfId="0" applyNumberFormat="1" applyFont="1" applyFill="1" applyBorder="1" applyAlignment="1">
      <alignment horizontal="right"/>
    </xf>
    <xf numFmtId="1" fontId="3" fillId="0" borderId="0" xfId="0" applyNumberFormat="1" applyFont="1" applyFill="1" applyBorder="1" applyAlignment="1">
      <alignment horizontal="center"/>
    </xf>
    <xf numFmtId="1" fontId="3" fillId="3" borderId="0" xfId="0" applyNumberFormat="1" applyFont="1" applyFill="1" applyBorder="1" applyAlignment="1">
      <alignment horizontal="center"/>
    </xf>
    <xf numFmtId="2" fontId="3" fillId="3" borderId="0" xfId="0" applyNumberFormat="1" applyFont="1" applyFill="1" applyBorder="1" applyAlignment="1">
      <alignment horizontal="right"/>
    </xf>
    <xf numFmtId="196" fontId="3" fillId="3" borderId="0" xfId="0" applyNumberFormat="1" applyFont="1" applyFill="1" applyBorder="1" applyAlignment="1"/>
    <xf numFmtId="9" fontId="3" fillId="3" borderId="0" xfId="0" applyNumberFormat="1" applyFont="1" applyFill="1" applyBorder="1" applyAlignment="1"/>
    <xf numFmtId="196" fontId="3" fillId="3" borderId="0" xfId="0" applyNumberFormat="1" applyFont="1" applyFill="1" applyBorder="1" applyAlignment="1">
      <alignment horizontal="right"/>
    </xf>
    <xf numFmtId="0" fontId="96" fillId="0" borderId="0" xfId="0" applyFont="1" applyFill="1" applyBorder="1" applyAlignment="1"/>
    <xf numFmtId="9" fontId="94" fillId="0" borderId="0" xfId="0" applyNumberFormat="1" applyFont="1" applyFill="1" applyBorder="1" applyAlignment="1"/>
    <xf numFmtId="185" fontId="3" fillId="0" borderId="0" xfId="0" applyNumberFormat="1" applyFont="1" applyFill="1" applyBorder="1" applyAlignment="1"/>
    <xf numFmtId="2" fontId="3" fillId="0" borderId="0" xfId="0" applyNumberFormat="1" applyFont="1" applyFill="1" applyBorder="1" applyAlignment="1"/>
    <xf numFmtId="9" fontId="3" fillId="3" borderId="7" xfId="0" applyNumberFormat="1" applyFont="1" applyFill="1" applyBorder="1" applyAlignment="1">
      <alignment horizontal="right"/>
    </xf>
    <xf numFmtId="0" fontId="3" fillId="0" borderId="0" xfId="0" applyFont="1" applyFill="1" applyBorder="1" applyAlignment="1">
      <alignment horizontal="center"/>
    </xf>
    <xf numFmtId="0" fontId="3" fillId="0" borderId="0" xfId="0" applyFont="1" applyFill="1" applyBorder="1" applyAlignment="1">
      <alignment horizontal="left"/>
    </xf>
    <xf numFmtId="198" fontId="3" fillId="0" borderId="7" xfId="0" applyNumberFormat="1" applyFont="1" applyFill="1" applyBorder="1" applyAlignment="1"/>
    <xf numFmtId="31" fontId="3" fillId="0" borderId="0" xfId="0" applyNumberFormat="1" applyFont="1" applyFill="1" applyBorder="1" applyAlignment="1"/>
    <xf numFmtId="198" fontId="3" fillId="0" borderId="0" xfId="0" applyNumberFormat="1" applyFont="1" applyFill="1" applyBorder="1" applyAlignment="1"/>
    <xf numFmtId="31" fontId="94" fillId="0" borderId="0" xfId="0" applyNumberFormat="1" applyFont="1" applyFill="1" applyBorder="1" applyAlignment="1"/>
    <xf numFmtId="0" fontId="3" fillId="3" borderId="0" xfId="0" applyFont="1" applyFill="1" applyBorder="1" applyAlignment="1">
      <alignment horizontal="center"/>
    </xf>
    <xf numFmtId="31" fontId="3" fillId="3" borderId="0" xfId="0" applyNumberFormat="1" applyFont="1" applyFill="1" applyBorder="1" applyAlignment="1">
      <alignment horizontal="right"/>
    </xf>
    <xf numFmtId="198" fontId="3" fillId="3" borderId="0" xfId="0" applyNumberFormat="1" applyFont="1" applyFill="1" applyBorder="1" applyAlignment="1">
      <alignment horizontal="left"/>
    </xf>
    <xf numFmtId="198" fontId="94" fillId="0" borderId="0" xfId="0" applyNumberFormat="1" applyFont="1" applyFill="1" applyBorder="1" applyAlignment="1"/>
    <xf numFmtId="198" fontId="3" fillId="0" borderId="0" xfId="0" applyNumberFormat="1" applyFont="1" applyFill="1" applyBorder="1" applyAlignment="1">
      <alignment horizontal="center"/>
    </xf>
    <xf numFmtId="198" fontId="3" fillId="0" borderId="0" xfId="0" applyNumberFormat="1" applyFont="1" applyFill="1" applyBorder="1" applyAlignment="1">
      <alignment horizontal="left"/>
    </xf>
    <xf numFmtId="198" fontId="3" fillId="3" borderId="7" xfId="0" applyNumberFormat="1" applyFont="1" applyFill="1" applyBorder="1" applyAlignment="1">
      <alignment horizontal="center"/>
    </xf>
    <xf numFmtId="31" fontId="3" fillId="0" borderId="0" xfId="0" applyNumberFormat="1" applyFont="1" applyFill="1" applyBorder="1" applyAlignment="1" applyProtection="1">
      <protection locked="0"/>
    </xf>
    <xf numFmtId="181" fontId="3" fillId="3" borderId="0" xfId="0" applyNumberFormat="1" applyFont="1" applyFill="1" applyBorder="1" applyAlignment="1">
      <alignment horizontal="right"/>
    </xf>
    <xf numFmtId="49" fontId="3" fillId="0" borderId="0" xfId="0" applyNumberFormat="1" applyFont="1" applyFill="1" applyBorder="1" applyAlignment="1" applyProtection="1">
      <protection locked="0"/>
    </xf>
    <xf numFmtId="195" fontId="3" fillId="0" borderId="0" xfId="0" applyNumberFormat="1" applyFont="1" applyFill="1" applyBorder="1" applyAlignment="1" applyProtection="1">
      <protection locked="0"/>
    </xf>
    <xf numFmtId="49" fontId="3" fillId="3" borderId="0" xfId="0" applyNumberFormat="1" applyFont="1" applyFill="1" applyBorder="1" applyAlignment="1" applyProtection="1">
      <protection locked="0"/>
    </xf>
    <xf numFmtId="0" fontId="3" fillId="3" borderId="0" xfId="0" applyFont="1" applyFill="1" applyBorder="1" applyAlignment="1" applyProtection="1">
      <alignment horizontal="left"/>
      <protection locked="0"/>
    </xf>
    <xf numFmtId="195" fontId="3" fillId="3" borderId="0" xfId="0" applyNumberFormat="1" applyFont="1" applyFill="1" applyBorder="1" applyAlignment="1" applyProtection="1">
      <alignment horizontal="left"/>
      <protection locked="0"/>
    </xf>
    <xf numFmtId="195" fontId="3" fillId="3" borderId="0" xfId="0" applyNumberFormat="1" applyFont="1" applyFill="1" applyBorder="1" applyAlignment="1" applyProtection="1">
      <alignment horizontal="right"/>
      <protection locked="0"/>
    </xf>
    <xf numFmtId="31" fontId="96" fillId="0" borderId="0" xfId="0" applyNumberFormat="1" applyFont="1" applyFill="1" applyBorder="1" applyAlignment="1"/>
    <xf numFmtId="31" fontId="3" fillId="0" borderId="0" xfId="0" applyNumberFormat="1" applyFont="1" applyFill="1" applyBorder="1" applyAlignment="1">
      <alignment horizontal="left"/>
    </xf>
    <xf numFmtId="57" fontId="3" fillId="0" borderId="0" xfId="0" applyNumberFormat="1" applyFont="1" applyFill="1" applyBorder="1" applyAlignment="1">
      <alignment horizontal="left"/>
    </xf>
    <xf numFmtId="176" fontId="3" fillId="0" borderId="0" xfId="0" applyNumberFormat="1" applyFont="1" applyFill="1" applyBorder="1" applyAlignment="1" applyProtection="1">
      <protection locked="0"/>
    </xf>
    <xf numFmtId="57" fontId="3" fillId="0" borderId="0" xfId="0" applyNumberFormat="1" applyFont="1" applyFill="1" applyBorder="1" applyAlignment="1" applyProtection="1">
      <protection locked="0"/>
    </xf>
    <xf numFmtId="176" fontId="3" fillId="3" borderId="0" xfId="0" applyNumberFormat="1" applyFont="1" applyFill="1" applyBorder="1" applyAlignment="1" applyProtection="1">
      <protection locked="0"/>
    </xf>
    <xf numFmtId="31" fontId="3" fillId="3" borderId="0" xfId="0" applyNumberFormat="1" applyFont="1" applyFill="1" applyBorder="1" applyAlignment="1" applyProtection="1">
      <alignment horizontal="right"/>
      <protection locked="0"/>
    </xf>
    <xf numFmtId="181" fontId="3" fillId="3" borderId="0" xfId="0" applyNumberFormat="1" applyFont="1" applyFill="1" applyBorder="1" applyAlignment="1" applyProtection="1">
      <protection locked="0"/>
    </xf>
    <xf numFmtId="31" fontId="3" fillId="3" borderId="0" xfId="0" applyNumberFormat="1" applyFont="1" applyFill="1" applyBorder="1" applyAlignment="1" applyProtection="1">
      <protection locked="0"/>
    </xf>
    <xf numFmtId="57" fontId="94" fillId="0" borderId="0" xfId="0" applyNumberFormat="1" applyFont="1" applyFill="1" applyBorder="1" applyAlignment="1" applyProtection="1">
      <protection locked="0"/>
    </xf>
    <xf numFmtId="57" fontId="3" fillId="0" borderId="0" xfId="0" applyNumberFormat="1" applyFont="1" applyFill="1" applyBorder="1" applyAlignment="1"/>
    <xf numFmtId="0" fontId="3" fillId="3" borderId="7" xfId="0" applyFont="1" applyFill="1" applyBorder="1" applyAlignment="1" applyProtection="1">
      <alignment horizontal="center"/>
      <protection locked="0"/>
    </xf>
    <xf numFmtId="31" fontId="3" fillId="3" borderId="7" xfId="0" applyNumberFormat="1" applyFont="1" applyFill="1" applyBorder="1" applyAlignment="1">
      <alignment horizontal="left"/>
    </xf>
    <xf numFmtId="44" fontId="3" fillId="0" borderId="7" xfId="4" applyFont="1" applyFill="1" applyBorder="1" applyAlignment="1">
      <alignment vertical="center"/>
    </xf>
    <xf numFmtId="58" fontId="3" fillId="0" borderId="7" xfId="0" applyNumberFormat="1" applyFont="1" applyFill="1" applyBorder="1" applyAlignment="1">
      <alignment horizontal="left"/>
    </xf>
    <xf numFmtId="181" fontId="3" fillId="3" borderId="7" xfId="0" applyNumberFormat="1" applyFont="1" applyFill="1" applyBorder="1" applyAlignment="1">
      <alignment horizontal="right"/>
    </xf>
    <xf numFmtId="0" fontId="3" fillId="3" borderId="7" xfId="0" applyFont="1" applyFill="1" applyBorder="1" applyAlignment="1" applyProtection="1">
      <alignment horizontal="left"/>
      <protection locked="0"/>
    </xf>
    <xf numFmtId="195" fontId="3" fillId="3" borderId="7" xfId="0" applyNumberFormat="1" applyFont="1" applyFill="1" applyBorder="1" applyAlignment="1" applyProtection="1">
      <alignment horizontal="left"/>
      <protection locked="0"/>
    </xf>
    <xf numFmtId="195" fontId="3" fillId="3" borderId="7" xfId="0" applyNumberFormat="1" applyFont="1" applyFill="1" applyBorder="1" applyAlignment="1" applyProtection="1">
      <alignment horizontal="right"/>
      <protection locked="0"/>
    </xf>
    <xf numFmtId="49" fontId="3" fillId="3" borderId="7" xfId="0" applyNumberFormat="1" applyFont="1" applyFill="1" applyBorder="1" applyAlignment="1">
      <alignment horizontal="left"/>
    </xf>
    <xf numFmtId="0" fontId="3" fillId="0" borderId="0" xfId="0" applyFont="1" applyFill="1" applyBorder="1" applyAlignment="1" applyProtection="1">
      <alignment horizontal="center"/>
      <protection locked="0"/>
    </xf>
    <xf numFmtId="31" fontId="3" fillId="3" borderId="7" xfId="0" applyNumberFormat="1" applyFont="1" applyFill="1" applyBorder="1" applyAlignment="1" applyProtection="1">
      <alignment horizontal="right"/>
      <protection locked="0"/>
    </xf>
    <xf numFmtId="57" fontId="3" fillId="0" borderId="7" xfId="0" applyNumberFormat="1" applyFont="1" applyFill="1" applyBorder="1" applyAlignment="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8"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8" fillId="0" borderId="83" xfId="0" applyFont="1" applyFill="1" applyBorder="1" applyAlignment="1" applyProtection="1">
      <alignment horizontal="left" vertical="center" wrapText="1"/>
      <protection locked="0"/>
    </xf>
    <xf numFmtId="0" fontId="98" fillId="0" borderId="100" xfId="0" applyNumberFormat="1" applyFont="1" applyFill="1" applyBorder="1" applyAlignment="1" applyProtection="1">
      <alignment horizontal="left" vertical="center" wrapText="1"/>
      <protection locked="0"/>
    </xf>
    <xf numFmtId="49" fontId="98" fillId="0" borderId="59" xfId="0" applyNumberFormat="1" applyFont="1" applyFill="1" applyBorder="1" applyAlignment="1" applyProtection="1">
      <alignment horizontal="left" vertical="center" wrapText="1"/>
      <protection locked="0"/>
    </xf>
    <xf numFmtId="49" fontId="98" fillId="0" borderId="100" xfId="0" applyNumberFormat="1" applyFont="1" applyFill="1" applyBorder="1" applyAlignment="1" applyProtection="1">
      <alignment horizontal="left" vertical="center" wrapText="1"/>
      <protection locked="0"/>
    </xf>
    <xf numFmtId="0" fontId="98"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99" fillId="12" borderId="6"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8"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8" fontId="42" fillId="2" borderId="68" xfId="0" applyNumberFormat="1" applyFont="1" applyFill="1" applyBorder="1" applyAlignment="1" applyProtection="1">
      <alignment horizontal="left" vertical="center" wrapText="1"/>
    </xf>
    <xf numFmtId="17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8"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7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8" fillId="0" borderId="107"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43"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9" fillId="0" borderId="4" xfId="0" applyNumberFormat="1" applyFont="1" applyFill="1" applyBorder="1" applyAlignment="1" applyProtection="1">
      <alignment horizontal="left" vertical="center" wrapText="1"/>
      <protection locked="0"/>
    </xf>
    <xf numFmtId="0" fontId="99"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49" fontId="59" fillId="0" borderId="107"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9" borderId="0" xfId="0" applyFont="1" applyFill="1" applyProtection="1">
      <alignment vertical="center"/>
    </xf>
    <xf numFmtId="0" fontId="101" fillId="2" borderId="0" xfId="0" applyFont="1" applyFill="1" applyProtection="1">
      <alignment vertical="center"/>
    </xf>
    <xf numFmtId="0" fontId="49" fillId="2" borderId="0" xfId="0" applyFont="1" applyFill="1" applyProtection="1">
      <alignment vertical="center"/>
    </xf>
    <xf numFmtId="0" fontId="102"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6"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3"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4"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2"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9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2" fillId="19" borderId="0" xfId="0" applyFont="1" applyFill="1" applyAlignment="1" applyProtection="1">
      <alignment horizontal="center" vertical="center"/>
    </xf>
    <xf numFmtId="0" fontId="49" fillId="19" borderId="0" xfId="0" applyFont="1" applyFill="1" applyBorder="1" applyAlignment="1" applyProtection="1">
      <alignment horizontal="center" vertical="center"/>
    </xf>
    <xf numFmtId="0" fontId="49" fillId="19" borderId="0" xfId="0" applyFont="1" applyFill="1" applyBorder="1" applyAlignment="1" applyProtection="1">
      <alignment horizontal="left" vertical="center" wrapText="1"/>
    </xf>
    <xf numFmtId="0" fontId="49" fillId="19" borderId="0" xfId="0" applyFont="1" applyFill="1" applyAlignment="1" applyProtection="1">
      <alignment horizontal="left" vertical="center"/>
    </xf>
    <xf numFmtId="0" fontId="104" fillId="2" borderId="148" xfId="0" applyFont="1" applyFill="1" applyBorder="1" applyAlignment="1" applyProtection="1">
      <alignment horizontal="right"/>
    </xf>
    <xf numFmtId="0" fontId="104" fillId="19" borderId="148" xfId="0" applyFont="1" applyFill="1" applyBorder="1" applyAlignment="1" applyProtection="1">
      <alignment horizontal="right"/>
    </xf>
    <xf numFmtId="0" fontId="44" fillId="10" borderId="148" xfId="0" applyFont="1" applyFill="1" applyBorder="1" applyAlignment="1" applyProtection="1">
      <protection locked="0"/>
    </xf>
    <xf numFmtId="0" fontId="102" fillId="19" borderId="0" xfId="0" applyFont="1" applyFill="1" applyBorder="1" applyAlignment="1" applyProtection="1">
      <alignment horizontal="left" vertical="center"/>
    </xf>
    <xf numFmtId="0" fontId="42" fillId="19"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9"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6" fillId="19"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7" fillId="0" borderId="7" xfId="0" applyFont="1" applyFill="1" applyBorder="1" applyAlignment="1" applyProtection="1">
      <alignment horizontal="left" vertical="center" wrapText="1"/>
    </xf>
    <xf numFmtId="182" fontId="107" fillId="10" borderId="7" xfId="0" applyNumberFormat="1" applyFont="1" applyFill="1" applyBorder="1" applyAlignment="1" applyProtection="1">
      <alignment horizontal="left" vertical="center" wrapText="1"/>
    </xf>
    <xf numFmtId="9" fontId="49" fillId="19" borderId="0" xfId="0" applyNumberFormat="1" applyFont="1" applyFill="1" applyAlignment="1" applyProtection="1">
      <alignment horizontal="left" vertical="center"/>
    </xf>
    <xf numFmtId="0" fontId="107"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9"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8" fillId="10" borderId="7" xfId="0" applyFont="1" applyFill="1" applyBorder="1" applyAlignment="1" applyProtection="1">
      <alignment horizontal="left" vertical="center" wrapText="1"/>
    </xf>
    <xf numFmtId="10" fontId="108" fillId="10" borderId="7" xfId="0" applyNumberFormat="1" applyFont="1" applyFill="1" applyBorder="1" applyAlignment="1" applyProtection="1">
      <alignment horizontal="left" vertical="center"/>
    </xf>
    <xf numFmtId="9" fontId="108"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8"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8"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8" fillId="10" borderId="83" xfId="0" applyFont="1" applyFill="1" applyBorder="1" applyAlignment="1" applyProtection="1">
      <alignment horizontal="left" vertical="center" wrapText="1"/>
    </xf>
    <xf numFmtId="0" fontId="108" fillId="10" borderId="38" xfId="0" applyFont="1" applyFill="1" applyBorder="1" applyAlignment="1" applyProtection="1">
      <alignment horizontal="left" vertical="center" wrapText="1"/>
    </xf>
    <xf numFmtId="0" fontId="108" fillId="10" borderId="91"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wrapText="1"/>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wrapText="1"/>
    </xf>
    <xf numFmtId="0" fontId="94" fillId="11" borderId="0" xfId="0" applyFont="1" applyFill="1" applyBorder="1" applyAlignment="1" applyProtection="1">
      <alignment horizontal="left" vertical="center" wrapText="1"/>
    </xf>
    <xf numFmtId="0" fontId="108" fillId="10" borderId="69" xfId="0" applyFont="1" applyFill="1" applyBorder="1" applyAlignment="1" applyProtection="1">
      <alignment horizontal="left" vertical="center" wrapText="1"/>
    </xf>
    <xf numFmtId="0" fontId="108" fillId="10" borderId="0" xfId="0" applyFont="1" applyFill="1" applyBorder="1" applyAlignment="1" applyProtection="1">
      <alignment horizontal="left" vertical="center" wrapText="1"/>
    </xf>
    <xf numFmtId="0" fontId="108"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10" borderId="58" xfId="0" applyFont="1" applyFill="1" applyBorder="1" applyAlignment="1" applyProtection="1">
      <alignment horizontal="left" vertical="center" wrapText="1"/>
    </xf>
    <xf numFmtId="0" fontId="108" fillId="10" borderId="39" xfId="0" applyFont="1" applyFill="1" applyBorder="1" applyAlignment="1" applyProtection="1">
      <alignment horizontal="left" vertical="center" wrapText="1"/>
    </xf>
    <xf numFmtId="0" fontId="108"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9"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9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0"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0" fillId="2" borderId="13"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10"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0" fillId="2" borderId="56" xfId="0" applyFont="1" applyFill="1" applyBorder="1" applyAlignment="1" applyProtection="1">
      <alignment horizontal="left" vertical="center" wrapText="1"/>
    </xf>
    <xf numFmtId="0" fontId="110"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6" fontId="49" fillId="2" borderId="13" xfId="0" applyNumberFormat="1" applyFont="1" applyFill="1" applyBorder="1" applyAlignment="1" applyProtection="1">
      <alignment horizontal="left" vertical="center" shrinkToFit="1"/>
    </xf>
    <xf numFmtId="19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6" fontId="49" fillId="2" borderId="13" xfId="0" applyNumberFormat="1" applyFont="1" applyFill="1" applyBorder="1" applyAlignment="1" applyProtection="1">
      <alignment horizontal="left" vertical="center" wrapText="1"/>
    </xf>
    <xf numFmtId="19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9"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9" borderId="0" xfId="58" applyFont="1" applyFill="1" applyAlignment="1" applyProtection="1">
      <alignment horizontal="left" vertical="center" wrapText="1"/>
    </xf>
    <xf numFmtId="0" fontId="23" fillId="19" borderId="0" xfId="0" applyFont="1" applyFill="1" applyAlignment="1" applyProtection="1">
      <alignment horizontal="left" vertical="center"/>
    </xf>
    <xf numFmtId="0" fontId="23" fillId="19" borderId="0" xfId="58" applyFont="1" applyFill="1" applyAlignment="1" applyProtection="1">
      <alignment horizontal="left"/>
    </xf>
    <xf numFmtId="0" fontId="10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9"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9"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9"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9"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9"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9"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9" borderId="0" xfId="0" applyFont="1" applyFill="1" applyBorder="1" applyAlignment="1" applyProtection="1">
      <alignment horizontal="left" vertical="center" shrinkToFit="1"/>
    </xf>
    <xf numFmtId="0" fontId="90" fillId="19" borderId="0" xfId="0" applyFont="1" applyFill="1" applyBorder="1" applyAlignment="1" applyProtection="1">
      <alignment horizontal="center" vertical="center" shrinkToFit="1"/>
    </xf>
    <xf numFmtId="0" fontId="18" fillId="19" borderId="0" xfId="0" applyFont="1" applyFill="1" applyBorder="1" applyAlignment="1" applyProtection="1">
      <alignment horizontal="left" vertical="center"/>
    </xf>
    <xf numFmtId="0" fontId="64" fillId="19" borderId="0" xfId="0" applyFont="1" applyFill="1" applyBorder="1" applyAlignment="1" applyProtection="1">
      <alignment horizontal="center" vertical="center"/>
    </xf>
    <xf numFmtId="196" fontId="49" fillId="2" borderId="93" xfId="0" applyNumberFormat="1" applyFont="1" applyFill="1" applyBorder="1" applyAlignment="1" applyProtection="1">
      <alignment horizontal="left" vertical="center" shrinkToFit="1"/>
    </xf>
    <xf numFmtId="196" fontId="49" fillId="19" borderId="0" xfId="0" applyNumberFormat="1" applyFont="1" applyFill="1" applyBorder="1" applyAlignment="1" applyProtection="1">
      <alignment horizontal="left" vertical="center" shrinkToFit="1"/>
    </xf>
    <xf numFmtId="196" fontId="49" fillId="2" borderId="93" xfId="0" applyNumberFormat="1" applyFont="1" applyFill="1" applyBorder="1" applyAlignment="1" applyProtection="1">
      <alignment horizontal="left" vertical="center" wrapText="1"/>
    </xf>
    <xf numFmtId="196" fontId="49" fillId="19" borderId="0" xfId="0" applyNumberFormat="1" applyFont="1" applyFill="1" applyBorder="1" applyAlignment="1" applyProtection="1">
      <alignment horizontal="left" vertical="center" wrapText="1"/>
    </xf>
    <xf numFmtId="196"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6" fontId="49" fillId="2" borderId="88" xfId="0" applyNumberFormat="1" applyFont="1" applyFill="1" applyBorder="1" applyAlignment="1" applyProtection="1">
      <alignment horizontal="left" vertical="center" wrapText="1"/>
    </xf>
    <xf numFmtId="196"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6" fontId="49" fillId="2" borderId="74" xfId="0" applyNumberFormat="1" applyFont="1" applyFill="1" applyBorder="1" applyAlignment="1" applyProtection="1">
      <alignment horizontal="left" vertical="center" wrapText="1"/>
    </xf>
    <xf numFmtId="0" fontId="49" fillId="19"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9" borderId="0" xfId="0" applyFont="1" applyFill="1" applyBorder="1" applyProtection="1">
      <alignment vertical="center"/>
      <protection locked="0"/>
    </xf>
    <xf numFmtId="0" fontId="49" fillId="19"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9"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9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9" borderId="0" xfId="0" applyFont="1" applyFill="1" applyAlignment="1" applyProtection="1">
      <alignment horizontal="center" vertical="center"/>
    </xf>
    <xf numFmtId="0" fontId="94" fillId="2" borderId="0" xfId="0" applyFont="1" applyFill="1" applyAlignment="1" applyProtection="1">
      <alignment horizontal="left" vertical="center"/>
    </xf>
    <xf numFmtId="0" fontId="94" fillId="19" borderId="0" xfId="0" applyFont="1" applyFill="1" applyAlignment="1" applyProtection="1">
      <alignment horizontal="left" vertical="center"/>
    </xf>
    <xf numFmtId="0" fontId="49" fillId="19"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9"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82" fontId="112" fillId="10" borderId="7" xfId="0" applyNumberFormat="1"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94"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9" borderId="0" xfId="58" applyFont="1" applyFill="1" applyAlignment="1" applyProtection="1">
      <alignment vertical="center" wrapText="1"/>
    </xf>
    <xf numFmtId="0" fontId="23" fillId="2" borderId="0" xfId="58" applyFont="1" applyFill="1" applyProtection="1"/>
    <xf numFmtId="0" fontId="23" fillId="19" borderId="0" xfId="58" applyFont="1" applyFill="1" applyProtection="1"/>
    <xf numFmtId="0" fontId="23" fillId="0" borderId="6" xfId="0" applyFont="1" applyFill="1" applyBorder="1" applyProtection="1">
      <alignment vertical="center"/>
      <protection locked="0"/>
    </xf>
    <xf numFmtId="0" fontId="23" fillId="19"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9"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5"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5"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5"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5" fillId="10" borderId="0" xfId="0" applyNumberFormat="1" applyFont="1" applyFill="1" applyBorder="1" applyAlignment="1" applyProtection="1">
      <alignment horizontal="left" vertical="center" wrapText="1"/>
      <protection locked="0"/>
    </xf>
    <xf numFmtId="0" fontId="105" fillId="10" borderId="102" xfId="0" applyNumberFormat="1" applyFont="1" applyFill="1" applyBorder="1" applyAlignment="1" applyProtection="1">
      <alignment horizontal="left" vertical="center" wrapText="1"/>
      <protection locked="0"/>
    </xf>
    <xf numFmtId="0" fontId="106" fillId="10" borderId="0" xfId="0" applyFont="1" applyFill="1" applyAlignment="1" applyProtection="1">
      <alignment horizontal="left" vertical="center" wrapText="1"/>
      <protection locked="0"/>
    </xf>
    <xf numFmtId="0" fontId="106"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5" fillId="10" borderId="159" xfId="0" applyFont="1" applyFill="1" applyBorder="1" applyAlignment="1" applyProtection="1">
      <alignment horizontal="left" vertical="center" wrapText="1"/>
      <protection locked="0"/>
    </xf>
    <xf numFmtId="0" fontId="106" fillId="10" borderId="0" xfId="0" applyNumberFormat="1" applyFont="1" applyFill="1" applyAlignment="1" applyProtection="1">
      <alignment horizontal="left" vertical="center"/>
      <protection locked="0"/>
    </xf>
    <xf numFmtId="0" fontId="106"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6" fontId="49" fillId="0" borderId="0" xfId="0" applyNumberFormat="1" applyFont="1" applyAlignment="1" applyProtection="1">
      <alignment horizontal="left" vertical="center"/>
      <protection locked="0"/>
    </xf>
    <xf numFmtId="176" fontId="49" fillId="2" borderId="0" xfId="0" applyNumberFormat="1" applyFont="1" applyFill="1" applyAlignment="1" applyProtection="1">
      <alignment horizontal="left" vertical="center"/>
      <protection locked="0"/>
    </xf>
    <xf numFmtId="176" fontId="49" fillId="0" borderId="0" xfId="0" applyNumberFormat="1" applyFont="1" applyFill="1" applyAlignment="1" applyProtection="1">
      <alignment horizontal="left" vertical="center"/>
      <protection locked="0"/>
    </xf>
    <xf numFmtId="0" fontId="101"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6"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6" fontId="42" fillId="2"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6"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6"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6"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184"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2" fillId="2" borderId="6" xfId="0" applyNumberFormat="1" applyFont="1" applyFill="1" applyBorder="1" applyAlignment="1" applyProtection="1">
      <alignment horizontal="left" vertical="center" wrapText="1"/>
      <protection locked="0"/>
    </xf>
    <xf numFmtId="176"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0"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4" fontId="49" fillId="2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2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6"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0"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2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21"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21"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21"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21"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21"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1"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21"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21"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94" fillId="2" borderId="53" xfId="0" applyFont="1" applyFill="1" applyBorder="1" applyAlignment="1" applyProtection="1">
      <alignment vertical="center" wrapText="1"/>
    </xf>
    <xf numFmtId="0" fontId="49" fillId="21"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21"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21"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9"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9"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2" fontId="127" fillId="0" borderId="7" xfId="60" applyNumberFormat="1" applyFont="1" applyFill="1" applyBorder="1" applyAlignment="1">
      <alignment horizontal="left" vertical="center"/>
    </xf>
    <xf numFmtId="18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1"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1"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1"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1"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101"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22"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3"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6" fillId="0" borderId="0" xfId="0" applyNumberFormat="1" applyFont="1" applyAlignment="1">
      <alignment vertical="center"/>
    </xf>
    <xf numFmtId="177"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6" fontId="69" fillId="0" borderId="13" xfId="0" applyNumberFormat="1" applyFont="1" applyFill="1" applyBorder="1" applyAlignment="1" applyProtection="1">
      <alignment horizontal="center" vertical="center" wrapText="1"/>
    </xf>
    <xf numFmtId="19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1" fontId="92" fillId="0" borderId="0" xfId="0" applyNumberFormat="1" applyFont="1" applyAlignment="1">
      <alignment horizontal="left" vertical="center"/>
    </xf>
    <xf numFmtId="181"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77" fontId="120"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 name="常规_Sheet1" xfId="62"/>
    <cellStyle name="货币 2" xfId="63"/>
  </cellStyles>
  <dxfs count="14">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solid">
          <fgColor rgb="FFFFFF00"/>
          <bgColor rgb="FFFFFF00"/>
        </patternFill>
      </fill>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customXml" Target="../customXml/item1.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315</xdr:row>
      <xdr:rowOff>0</xdr:rowOff>
    </xdr:from>
    <xdr:to>
      <xdr:col>17</xdr:col>
      <xdr:colOff>9525</xdr:colOff>
      <xdr:row>353</xdr:row>
      <xdr:rowOff>123825</xdr:rowOff>
    </xdr:to>
    <xdr:pic>
      <xdr:nvPicPr>
        <xdr:cNvPr id="2" name="图片 1"/>
        <xdr:cNvPicPr>
          <a:picLocks noChangeAspect="1"/>
        </xdr:cNvPicPr>
      </xdr:nvPicPr>
      <xdr:blipFill>
        <a:blip r:embed="rId1"/>
        <a:stretch>
          <a:fillRect/>
        </a:stretch>
      </xdr:blipFill>
      <xdr:spPr>
        <a:xfrm>
          <a:off x="6115050" y="1885950"/>
          <a:ext cx="7553325" cy="66389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386390</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x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4001" customWidth="1"/>
    <col min="2" max="2" width="94.875" style="4002" customWidth="1"/>
    <col min="3" max="16384" width="9" style="4003"/>
  </cols>
  <sheetData>
    <row r="1" s="3999" customFormat="1" ht="16.5" spans="1:2">
      <c r="A1" s="4004" t="s">
        <v>0</v>
      </c>
      <c r="B1" s="4005" t="s">
        <v>1</v>
      </c>
    </row>
    <row r="2" s="4000" customFormat="1" ht="15.75" spans="1:2">
      <c r="A2" s="4006" t="s">
        <v>2</v>
      </c>
      <c r="B2" s="4007" t="str">
        <f>'预评函-封皮'!B9</f>
        <v>北京市预评估</v>
      </c>
    </row>
    <row r="3" s="4000" customFormat="1" spans="1:2">
      <c r="A3" s="4008" t="s">
        <v>3</v>
      </c>
      <c r="B3" s="4009" t="str">
        <f>'预评函-封皮'!B12</f>
        <v>xx</v>
      </c>
    </row>
    <row r="4" s="4000" customFormat="1" spans="1:2">
      <c r="A4" s="4008" t="s">
        <v>4</v>
      </c>
      <c r="B4" s="4009" t="str">
        <f ca="1">'预评函-封皮'!B18</f>
        <v>陈颖（注册号:0）、（注册号:0)</v>
      </c>
    </row>
    <row r="5" s="3999" customFormat="1" ht="15.75" spans="1:2">
      <c r="A5" s="4010" t="s">
        <v>5</v>
      </c>
      <c r="B5" s="4011" t="str">
        <f>'预评函-封皮'!B21</f>
        <v>康正预评字号</v>
      </c>
    </row>
    <row r="6" s="4000" customFormat="1" ht="15.75" spans="1:2">
      <c r="A6" s="4008" t="s">
        <v>6</v>
      </c>
      <c r="B6" s="4007" t="str">
        <f>'预评函-1'!A4</f>
        <v>受您的委托，我公司对北京市房地产进行了预评估。</v>
      </c>
    </row>
    <row r="7" spans="1:2">
      <c r="A7" s="4008" t="s">
        <v>7</v>
      </c>
      <c r="B7" s="4012" t="str">
        <f>'预评函-1'!A6</f>
        <v>估价对象为北京市房地产，为XX所有。根据《》[]，估价对象建筑面积为118.67平方米。根据《》[]，估价对象（分摊）出让国有建设用地使用权面积为平方米。估价对象用途为。</v>
      </c>
    </row>
    <row r="8" spans="1:2">
      <c r="A8" s="4008" t="s">
        <v>8</v>
      </c>
      <c r="B8" s="4012" t="str">
        <f>'预评函-1'!A8</f>
        <v>为估价委托人了解估价对象房地产市场价值提供参考依据。</v>
      </c>
    </row>
    <row r="9" spans="1:2">
      <c r="A9" s="4008" t="s">
        <v>9</v>
      </c>
      <c r="B9" s="4012" t="str">
        <f>'预评函-1'!A10</f>
        <v>2005年4月1日</v>
      </c>
    </row>
    <row r="10" spans="1:2">
      <c r="A10" s="4008" t="s">
        <v>10</v>
      </c>
      <c r="B10" s="4012" t="str">
        <f>'预评函-1'!A13</f>
        <v>本次估价的“房地产价值”是指在正常市场情况下，在价值时点2005年4月1日，估价对象规划用途为，假定未设立法定优先受偿款下的房地产市场价值。</v>
      </c>
    </row>
    <row r="11" spans="1:2">
      <c r="A11" s="4008" t="s">
        <v>11</v>
      </c>
      <c r="B11" s="4012"/>
    </row>
    <row r="12" spans="1:2">
      <c r="A12" s="4008" t="s">
        <v>12</v>
      </c>
      <c r="B12" s="401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4008" t="s">
        <v>13</v>
      </c>
      <c r="B13" s="40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4008" t="s">
        <v>14</v>
      </c>
      <c r="B14" s="4012" t="str">
        <f>'预评函-1'!A16</f>
        <v>本次估价的“抵押净值”是指估价对象“房地产抵押价值”减去估价对象在价值时点以“房地产销售收入”为基数计算的预计抵押权实现进行处置时需缴纳的各项费用、税金等相关费用后的价值。</v>
      </c>
    </row>
    <row r="15" s="3999" customFormat="1" ht="15.75" spans="1:2">
      <c r="A15" s="4010" t="s">
        <v>15</v>
      </c>
      <c r="B15" s="4013" t="str">
        <f>'预评函-1'!A18</f>
        <v>本次评估采用的主估价方法为比较法和成本法。</v>
      </c>
    </row>
    <row r="16" ht="15.75" spans="1:2">
      <c r="A16" s="4006" t="s">
        <v>16</v>
      </c>
      <c r="B16" s="401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4008" t="s">
        <v>17</v>
      </c>
      <c r="B17" s="4012" t="str">
        <f>'预评函-2（1）'!B6</f>
        <v>北京市房地产</v>
      </c>
    </row>
    <row r="18" spans="1:2">
      <c r="A18" s="4008" t="s">
        <v>18</v>
      </c>
      <c r="B18" s="4012">
        <f>'预评函-2（1）'!C6</f>
        <v>118.67</v>
      </c>
    </row>
    <row r="19" spans="1:2">
      <c r="A19" s="4008" t="s">
        <v>19</v>
      </c>
      <c r="B19" s="4012">
        <f ca="1">'预评函-2（1）'!D7</f>
        <v>657550</v>
      </c>
    </row>
    <row r="20" spans="1:2">
      <c r="A20" s="4008" t="s">
        <v>20</v>
      </c>
      <c r="B20" s="4012" t="str">
        <f>'预评函-2（1）'!C7</f>
        <v>总价（元）</v>
      </c>
    </row>
    <row r="21" spans="1:2">
      <c r="A21" s="4008" t="s">
        <v>21</v>
      </c>
      <c r="B21" s="4012">
        <f ca="1">'预评函-2（1）'!D9</f>
        <v>5541</v>
      </c>
    </row>
    <row r="22" spans="1:2">
      <c r="A22" s="4008" t="s">
        <v>22</v>
      </c>
      <c r="B22" s="4012" t="str">
        <f ca="1">'预评函-2（1）'!D8</f>
        <v>陆拾伍万柒仟伍佰伍拾元整</v>
      </c>
    </row>
    <row r="23" spans="1:2">
      <c r="A23" s="4008" t="s">
        <v>23</v>
      </c>
      <c r="B23" s="4012">
        <f>'预评函-2（1）'!D10</f>
        <v>0</v>
      </c>
    </row>
    <row r="24" spans="1:2">
      <c r="A24" s="4008" t="s">
        <v>24</v>
      </c>
      <c r="B24" s="4012" t="str">
        <f>'预评函-2（1）'!C10</f>
        <v>总额（元）</v>
      </c>
    </row>
    <row r="25" spans="1:2">
      <c r="A25" s="4008" t="s">
        <v>25</v>
      </c>
      <c r="B25" s="4012" t="str">
        <f>'预评函-2（1）'!D11</f>
        <v>零元整</v>
      </c>
    </row>
    <row r="26" spans="1:2">
      <c r="A26" s="4008" t="s">
        <v>26</v>
      </c>
      <c r="B26" s="4012">
        <f>'预评函-2（1）'!D12</f>
        <v>0</v>
      </c>
    </row>
    <row r="27" spans="1:2">
      <c r="A27" s="4008" t="s">
        <v>27</v>
      </c>
      <c r="B27" s="4012">
        <f>'预评函-2（1）'!D13</f>
        <v>0</v>
      </c>
    </row>
    <row r="28" spans="1:2">
      <c r="A28" s="4008" t="s">
        <v>28</v>
      </c>
      <c r="B28" s="4012">
        <f>'预评函-2（1）'!D14</f>
        <v>0</v>
      </c>
    </row>
    <row r="29" spans="1:2">
      <c r="A29" s="4008" t="s">
        <v>29</v>
      </c>
      <c r="B29" s="4012">
        <f ca="1">'预评函-2（1）'!D15</f>
        <v>657550</v>
      </c>
    </row>
    <row r="30" spans="1:2">
      <c r="A30" s="4008" t="s">
        <v>30</v>
      </c>
      <c r="B30" s="4012" t="str">
        <f ca="1">'预评函-2（1）'!D16</f>
        <v>陆拾伍万柒仟伍佰伍拾元整</v>
      </c>
    </row>
    <row r="31" spans="1:2">
      <c r="A31" s="4008" t="s">
        <v>31</v>
      </c>
      <c r="B31" s="4012" t="str">
        <f ca="1">'预评函-2（1）'!D18</f>
        <v>——</v>
      </c>
    </row>
    <row r="32" spans="1:2">
      <c r="A32" s="4008" t="s">
        <v>32</v>
      </c>
      <c r="B32" s="4012" t="e">
        <f ca="1">'预评函-2（1）'!D19</f>
        <v>#VALUE!</v>
      </c>
    </row>
    <row r="33" spans="1:2">
      <c r="A33" s="4008" t="s">
        <v>33</v>
      </c>
      <c r="B33" s="4012" t="str">
        <f ca="1">'预评函-2（1）'!D21</f>
        <v>——</v>
      </c>
    </row>
    <row r="34" spans="1:2">
      <c r="A34" s="4008" t="s">
        <v>34</v>
      </c>
      <c r="B34" s="4012" t="str">
        <f ca="1">'预评函-2（1）'!D23</f>
        <v>——</v>
      </c>
    </row>
    <row r="35" spans="1:2">
      <c r="A35" s="4008" t="s">
        <v>35</v>
      </c>
      <c r="B35" s="4012" t="e">
        <f ca="1">'预评函-2（1）'!D22</f>
        <v>#VALUE!</v>
      </c>
    </row>
    <row r="36" spans="1:2">
      <c r="A36" s="4008" t="s">
        <v>36</v>
      </c>
      <c r="B36" s="4012">
        <f>'预评函-2（2）'!C4</f>
        <v>0</v>
      </c>
    </row>
    <row r="37" spans="1:2">
      <c r="A37" s="4008" t="s">
        <v>37</v>
      </c>
      <c r="B37" s="4012" t="e">
        <f ca="1">'预评函-2（2）'!D4</f>
        <v>#DIV/0!</v>
      </c>
    </row>
    <row r="38" spans="1:2">
      <c r="A38" s="4008" t="s">
        <v>38</v>
      </c>
      <c r="B38" s="4012" t="e">
        <f ca="1">'预评函-2（2）'!E4</f>
        <v>#DIV/0!</v>
      </c>
    </row>
    <row r="39" spans="1:2">
      <c r="A39" s="4008" t="s">
        <v>39</v>
      </c>
      <c r="B39" s="4012" t="e">
        <f ca="1">'预评函-2（2）'!D5</f>
        <v>#DIV/0!</v>
      </c>
    </row>
    <row r="40" spans="1:2">
      <c r="A40" s="4008" t="s">
        <v>40</v>
      </c>
      <c r="B40" s="4012" t="e">
        <f ca="1">'预评函-2（2）'!F4</f>
        <v>#DIV/0!</v>
      </c>
    </row>
    <row r="41" spans="1:2">
      <c r="A41" s="4008" t="s">
        <v>41</v>
      </c>
      <c r="B41" s="4012" t="e">
        <f ca="1">'预评函-2（2）'!G4</f>
        <v>#DIV/0!</v>
      </c>
    </row>
    <row r="42" s="3999" customFormat="1" ht="15.75" spans="1:2">
      <c r="A42" s="4010" t="s">
        <v>42</v>
      </c>
      <c r="B42" s="4014" t="e">
        <f ca="1">'预评函-2（2）'!F5</f>
        <v>#DIV/0!</v>
      </c>
    </row>
    <row r="43" ht="15.75" spans="1:2">
      <c r="A43" s="4006" t="s">
        <v>43</v>
      </c>
      <c r="B43" s="4015" t="str">
        <f>'预评函-3'!A13</f>
        <v>2.本次评估设定估价对象房地产权属无争议，未被查封或者以其他形式限制其房地产权利，未设定抵押权等他项权利，不涉及第三方权利义务。</v>
      </c>
    </row>
    <row r="44" spans="1:2">
      <c r="A44" s="4008" t="s">
        <v>44</v>
      </c>
      <c r="B44" s="4012" t="str">
        <f>'预评函-3'!A14</f>
        <v>——</v>
      </c>
    </row>
    <row r="45" spans="1:2">
      <c r="A45" s="4008" t="s">
        <v>45</v>
      </c>
      <c r="B45" s="4012" t="str">
        <f>'预评函-3'!A15</f>
        <v>——</v>
      </c>
    </row>
    <row r="46" spans="1:2">
      <c r="A46" s="4008" t="s">
        <v>46</v>
      </c>
      <c r="B46" s="4012" t="str">
        <f>'预评函-3'!A16</f>
        <v>——</v>
      </c>
    </row>
    <row r="47" spans="1:2">
      <c r="A47" s="4008" t="s">
        <v>47</v>
      </c>
      <c r="B47" s="40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4008" t="s">
        <v>48</v>
      </c>
      <c r="B48" s="4012" t="str">
        <f>'预评函-3'!A18</f>
        <v>——</v>
      </c>
    </row>
    <row r="49" spans="1:2">
      <c r="A49" s="4008" t="s">
        <v>49</v>
      </c>
      <c r="B49" s="401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4008" t="s">
        <v>50</v>
      </c>
      <c r="B50" s="4012" t="str">
        <f>'预评函-3'!A20</f>
        <v>6.其他需特殊说明事项：（没有时删除此项；注意修改序号）</v>
      </c>
    </row>
    <row r="51" s="3999" customFormat="1" spans="1:2">
      <c r="A51" s="4010" t="s">
        <v>51</v>
      </c>
      <c r="B51" s="4016">
        <f>'预评函-3'!D29</f>
        <v>42551</v>
      </c>
    </row>
    <row r="52" ht="15.75" spans="1:2">
      <c r="A52" s="4006" t="s">
        <v>52</v>
      </c>
      <c r="B52" s="4017" t="str">
        <f>'预评函-3'!A4</f>
        <v>陈颖</v>
      </c>
    </row>
    <row r="53" spans="1:2">
      <c r="A53" s="4008" t="s">
        <v>53</v>
      </c>
      <c r="B53" s="4012">
        <f ca="1">'预评函-3'!B4</f>
        <v>0</v>
      </c>
    </row>
    <row r="54" spans="1:2">
      <c r="A54" s="4008" t="s">
        <v>54</v>
      </c>
      <c r="B54" s="4018">
        <f>'预评函-3'!A5</f>
        <v>0</v>
      </c>
    </row>
    <row r="55" s="3999" customFormat="1" ht="15.75" spans="1:2">
      <c r="A55" s="4010" t="s">
        <v>55</v>
      </c>
      <c r="B55" s="4014">
        <f ca="1">'预评函-3'!B5</f>
        <v>0</v>
      </c>
    </row>
    <row r="56" ht="15.75" spans="1:2">
      <c r="A56" s="4019" t="s">
        <v>56</v>
      </c>
      <c r="B56" s="4012" t="str">
        <f>'预评函-2（1）'!B15</f>
        <v>3.房地产抵押价值</v>
      </c>
    </row>
    <row r="57" spans="1:2">
      <c r="A57" s="4019" t="s">
        <v>57</v>
      </c>
      <c r="B57" s="4012" t="str">
        <f>'预评函-2（1）'!B18</f>
        <v>——</v>
      </c>
    </row>
    <row r="58" s="3999" customFormat="1" ht="15.75" spans="1:2">
      <c r="A58" s="4020" t="s">
        <v>58</v>
      </c>
      <c r="B58" s="4013" t="str">
        <f>'预评函-2（1）'!B21</f>
        <v>——</v>
      </c>
    </row>
    <row r="59" ht="15.75" spans="1:2">
      <c r="A59" s="4021" t="s">
        <v>59</v>
      </c>
      <c r="B59" s="4009" t="str">
        <f>'预评函-2（1）'!B45</f>
        <v>单位：元、元/平方米（单位：人民币）</v>
      </c>
    </row>
    <row r="60" spans="1:2">
      <c r="A60" s="4019" t="s">
        <v>60</v>
      </c>
      <c r="B60" s="4012" t="str">
        <f>'预评函-2（2）'!D2</f>
        <v>出让国有建设用地使用权价值</v>
      </c>
    </row>
    <row r="61" s="4000" customFormat="1" spans="1:2">
      <c r="A61" s="4019" t="s">
        <v>61</v>
      </c>
      <c r="B61" s="4012" t="str">
        <f>'预评函-2（2）'!A14</f>
        <v>单位：平方米、元、元/平方米（币种：人民币）</v>
      </c>
    </row>
    <row r="62" ht="28.5" spans="1:2">
      <c r="A62" s="4019" t="s">
        <v>62</v>
      </c>
      <c r="B62" s="4012">
        <f ca="1">'预评函-2（1）'!D38</f>
        <v>5541</v>
      </c>
    </row>
    <row r="63" s="4000" customFormat="1" ht="28.5" spans="1:2">
      <c r="A63" s="4019" t="s">
        <v>63</v>
      </c>
      <c r="B63" s="4012" t="str">
        <f ca="1">'预评函-2（1）'!D41</f>
        <v>——</v>
      </c>
    </row>
    <row r="64" spans="1:2">
      <c r="A64" s="4019" t="s">
        <v>64</v>
      </c>
      <c r="B64" s="4012" t="str">
        <f>'预评函-2（2）'!A6</f>
        <v>估价师所知悉的法定优先受偿款</v>
      </c>
    </row>
    <row r="65" spans="1:2">
      <c r="A65" s="4019" t="s">
        <v>65</v>
      </c>
      <c r="B65" s="4012" t="str">
        <f>'预评函-2（2）'!A8</f>
        <v>房地产抵押价值</v>
      </c>
    </row>
    <row r="66" spans="1:2">
      <c r="A66" s="4019" t="s">
        <v>66</v>
      </c>
      <c r="B66" s="4012" t="str">
        <f>'预评函-2（2）'!A10</f>
        <v/>
      </c>
    </row>
    <row r="67" s="3999" customFormat="1" ht="15.75" spans="1:2">
      <c r="A67" s="4020" t="s">
        <v>67</v>
      </c>
      <c r="B67" s="4013" t="str">
        <f>'预评函-2（2）'!A12</f>
        <v/>
      </c>
    </row>
    <row r="68" ht="15.75" spans="1:2">
      <c r="A68" s="4001" t="s">
        <v>68</v>
      </c>
      <c r="B68" s="4002" t="str">
        <f>'预评函-3'!A9</f>
        <v>XX</v>
      </c>
    </row>
    <row r="69" spans="1:1">
      <c r="A69" s="4008" t="s">
        <v>69</v>
      </c>
    </row>
    <row r="70" spans="1:1">
      <c r="A70" s="400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2" sqref="C12"/>
    </sheetView>
  </sheetViews>
  <sheetFormatPr defaultColWidth="10" defaultRowHeight="12.75"/>
  <cols>
    <col min="1" max="1" width="18.625" style="3672" customWidth="1"/>
    <col min="2" max="2" width="15" style="3672" customWidth="1"/>
    <col min="3" max="3" width="14.125" style="3672" customWidth="1"/>
    <col min="4" max="4" width="12.5" style="3672" customWidth="1"/>
    <col min="5" max="5" width="13.875" style="3672" customWidth="1"/>
    <col min="6" max="6" width="15" style="3672" customWidth="1"/>
    <col min="7" max="7" width="14.875" style="3672" customWidth="1"/>
    <col min="8" max="8" width="4.25" style="3673" customWidth="1"/>
    <col min="9" max="10" width="10" style="3673" customWidth="1"/>
    <col min="11" max="13" width="10" style="3674" customWidth="1"/>
    <col min="14" max="15" width="10" style="3673" customWidth="1"/>
    <col min="16" max="17" width="10" style="3673"/>
    <col min="18" max="18" width="10" style="3673" customWidth="1"/>
    <col min="19" max="66" width="10" style="3673"/>
    <col min="67" max="16384" width="10" style="3672"/>
  </cols>
  <sheetData>
    <row r="1" ht="13.5" spans="1:17">
      <c r="A1" s="3675" t="s">
        <v>331</v>
      </c>
      <c r="B1" s="3676" t="str">
        <f>IF(B6="北京市","北京市",C6)&amp;IF(E12="房屋所有权证",B29,E29)&amp;D5&amp;"预评估"</f>
        <v>北京市预评估</v>
      </c>
      <c r="C1" s="3677"/>
      <c r="D1" s="3677"/>
      <c r="E1" s="3677"/>
      <c r="F1" s="3678" t="s">
        <v>332</v>
      </c>
      <c r="G1" s="3679"/>
      <c r="I1" s="3811" t="str">
        <f>IF(B6="北京市","北京市",C6)&amp;IF(E12="房屋所有权证",B29,E29)&amp;"房地产"</f>
        <v>北京市房地产</v>
      </c>
      <c r="J1" s="3812"/>
      <c r="K1" s="3813"/>
      <c r="L1" s="3813"/>
      <c r="M1" s="3813"/>
      <c r="N1" s="3812"/>
      <c r="O1" s="3812"/>
      <c r="P1" s="3812"/>
      <c r="Q1" s="3812"/>
    </row>
    <row r="2" ht="13.5" spans="1:8">
      <c r="A2" s="3680" t="s">
        <v>333</v>
      </c>
      <c r="B2" s="3681">
        <v>44620</v>
      </c>
      <c r="C2" s="3682" t="s">
        <v>334</v>
      </c>
      <c r="D2" s="3681">
        <v>38443</v>
      </c>
      <c r="E2" s="3683"/>
      <c r="F2" s="3683"/>
      <c r="G2" s="3684"/>
      <c r="H2" s="3685"/>
    </row>
    <row r="3" ht="13.5" spans="1:8">
      <c r="A3" s="3686" t="s">
        <v>335</v>
      </c>
      <c r="B3" s="3687" t="s">
        <v>176</v>
      </c>
      <c r="C3" s="3688">
        <f ca="1">SUMIF(注册房地产估价师,B3,估价师及机构信息!B3:B16)</f>
        <v>0</v>
      </c>
      <c r="D3" s="3687"/>
      <c r="E3" s="3689">
        <f ca="1">SUMIF(注册房地产估价师,D3,估价师及机构信息!B3:B16)</f>
        <v>0</v>
      </c>
      <c r="F3" s="3690"/>
      <c r="G3" s="3691"/>
      <c r="H3" s="3685"/>
    </row>
    <row r="4" ht="13.5" customHeight="1" spans="1:7">
      <c r="A4" s="3680" t="s">
        <v>336</v>
      </c>
      <c r="B4" s="3692" t="s">
        <v>337</v>
      </c>
      <c r="C4" s="3693" t="s">
        <v>338</v>
      </c>
      <c r="D4" s="3694"/>
      <c r="E4" s="3683"/>
      <c r="F4" s="3683"/>
      <c r="G4" s="3684"/>
    </row>
    <row r="5" spans="1:17">
      <c r="A5" s="3695" t="s">
        <v>339</v>
      </c>
      <c r="B5" s="3696" t="s">
        <v>120</v>
      </c>
      <c r="C5" s="3697" t="s">
        <v>340</v>
      </c>
      <c r="D5" s="3698"/>
      <c r="E5" s="3699" t="s">
        <v>341</v>
      </c>
      <c r="F5" s="3698"/>
      <c r="G5" s="3700"/>
      <c r="I5" s="3811" t="str">
        <f>IF(C16="否","截至估价时点，估价对象抵押权未见登记。","截至价值时点，估价对象已设定抵押。")</f>
        <v>截至价值时点，估价对象已设定抵押。</v>
      </c>
      <c r="J5" s="3812"/>
      <c r="K5" s="3813"/>
      <c r="L5" s="3813"/>
      <c r="M5" s="3813"/>
      <c r="N5" s="3812"/>
      <c r="O5" s="3812"/>
      <c r="P5" s="3812"/>
      <c r="Q5" s="3812"/>
    </row>
    <row r="6" spans="1:17">
      <c r="A6" s="3701" t="s">
        <v>342</v>
      </c>
      <c r="B6" s="3702" t="s">
        <v>343</v>
      </c>
      <c r="C6" s="3703" t="s">
        <v>120</v>
      </c>
      <c r="D6" s="3704" t="s">
        <v>344</v>
      </c>
      <c r="E6" s="3705"/>
      <c r="F6" s="3705"/>
      <c r="G6" s="3706"/>
      <c r="I6" s="3812" t="str">
        <f>IF(COUNTIF(B5,"*上海银行*"),"上海银行","")</f>
        <v/>
      </c>
      <c r="J6" s="3812"/>
      <c r="K6" s="3813"/>
      <c r="L6" s="3813"/>
      <c r="M6" s="3813"/>
      <c r="N6" s="3812"/>
      <c r="O6" s="3812"/>
      <c r="P6" s="3812"/>
      <c r="Q6" s="3812"/>
    </row>
    <row r="7" ht="13.5" spans="1:7">
      <c r="A7" s="3707" t="s">
        <v>345</v>
      </c>
      <c r="B7" s="3708" t="s">
        <v>346</v>
      </c>
      <c r="C7" s="2099" t="str">
        <f>IF(B7="自然人","姓名","名称")</f>
        <v>姓名</v>
      </c>
      <c r="D7" s="3709" t="s">
        <v>120</v>
      </c>
      <c r="E7" s="3690"/>
      <c r="F7" s="3690"/>
      <c r="G7" s="3691"/>
    </row>
    <row r="8" ht="13.5" spans="1:7">
      <c r="A8" s="3710" t="s">
        <v>347</v>
      </c>
      <c r="B8" s="3711" t="s">
        <v>348</v>
      </c>
      <c r="C8" s="3712"/>
      <c r="D8" s="3713"/>
      <c r="E8" s="3714" t="s">
        <v>349</v>
      </c>
      <c r="F8" s="3715" t="s">
        <v>350</v>
      </c>
      <c r="G8" s="3716" t="str">
        <f>C6</f>
        <v>XX</v>
      </c>
    </row>
    <row r="9" spans="1:7">
      <c r="A9" s="3710"/>
      <c r="B9" s="2120" t="s">
        <v>351</v>
      </c>
      <c r="C9" s="3696"/>
      <c r="D9" s="3717"/>
      <c r="E9" s="3718" t="s">
        <v>352</v>
      </c>
      <c r="F9" s="3719"/>
      <c r="G9" s="3720"/>
    </row>
    <row r="10" ht="13.5" spans="1:7">
      <c r="A10" s="3710"/>
      <c r="B10" s="2120" t="s">
        <v>353</v>
      </c>
      <c r="C10" s="3721"/>
      <c r="D10" s="3722"/>
      <c r="E10" s="3723" t="s">
        <v>354</v>
      </c>
      <c r="F10" s="3724"/>
      <c r="G10" s="3725"/>
    </row>
    <row r="11" ht="13.5" spans="1:7">
      <c r="A11" s="3710"/>
      <c r="B11" s="2076" t="s">
        <v>355</v>
      </c>
      <c r="C11" s="3726"/>
      <c r="D11" s="3727"/>
      <c r="E11" s="3705"/>
      <c r="F11" s="3705"/>
      <c r="G11" s="3706"/>
    </row>
    <row r="12" ht="13.5" spans="1:7">
      <c r="A12" s="3728" t="s">
        <v>356</v>
      </c>
      <c r="B12" s="3729" t="s">
        <v>357</v>
      </c>
      <c r="C12" s="3730">
        <v>118.67</v>
      </c>
      <c r="D12" s="3731" t="s">
        <v>358</v>
      </c>
      <c r="E12" s="3732"/>
      <c r="F12" s="3733"/>
      <c r="G12" s="3706"/>
    </row>
    <row r="13" ht="21" customHeight="1" spans="1:17">
      <c r="A13" s="3734"/>
      <c r="B13" s="3735" t="s">
        <v>359</v>
      </c>
      <c r="C13" s="3736"/>
      <c r="D13" s="3737" t="s">
        <v>358</v>
      </c>
      <c r="E13" s="3738"/>
      <c r="F13" s="3705"/>
      <c r="G13" s="3706"/>
      <c r="I13" s="3705" t="s">
        <v>360</v>
      </c>
      <c r="J13" s="3814" t="str">
        <f>"根据估价对象"&amp;IF(B19="——",B18&amp;C18,B18&amp;C18&amp;"、"&amp;B19&amp;C19)&amp;"，"&amp;IF(C16="是","截至价值时点，估价对象已设定抵押。","截至价值时点，估价对象抵押权未见登记。")</f>
        <v>根据估价对象、，截至价值时点，估价对象抵押权未见登记。</v>
      </c>
      <c r="K13" s="3813"/>
      <c r="L13" s="3813"/>
      <c r="M13" s="3813"/>
      <c r="N13" s="3812"/>
      <c r="O13" s="3812"/>
      <c r="P13" s="3812"/>
      <c r="Q13" s="3812"/>
    </row>
    <row r="14" ht="13.5" spans="1:17">
      <c r="A14" s="3739"/>
      <c r="B14" s="3731" t="s">
        <v>361</v>
      </c>
      <c r="C14" s="3740"/>
      <c r="D14" s="3705"/>
      <c r="E14" s="3705"/>
      <c r="F14" s="3705"/>
      <c r="G14" s="3706"/>
      <c r="I14" s="3705"/>
      <c r="J14" s="38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813"/>
      <c r="L14" s="3813"/>
      <c r="M14" s="3813"/>
      <c r="N14" s="3812"/>
      <c r="O14" s="3812"/>
      <c r="P14" s="3812"/>
      <c r="Q14" s="3812"/>
    </row>
    <row r="15" ht="13.5" spans="1:17">
      <c r="A15" s="3741"/>
      <c r="B15" s="3742" t="s">
        <v>362</v>
      </c>
      <c r="C15" s="3743"/>
      <c r="D15" s="3690"/>
      <c r="E15" s="3690"/>
      <c r="F15" s="3690"/>
      <c r="G15" s="3691"/>
      <c r="I15" s="3705"/>
      <c r="J15" s="38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813"/>
      <c r="L15" s="3813"/>
      <c r="M15" s="3813"/>
      <c r="N15" s="3812"/>
      <c r="O15" s="3812"/>
      <c r="P15" s="3812"/>
      <c r="Q15" s="3812"/>
    </row>
    <row r="16" ht="25.5" spans="1:10">
      <c r="A16" s="3739" t="s">
        <v>363</v>
      </c>
      <c r="B16" s="3744" t="s">
        <v>364</v>
      </c>
      <c r="C16" s="3745"/>
      <c r="D16" s="3734" t="s">
        <v>365</v>
      </c>
      <c r="E16" s="3746"/>
      <c r="F16" s="3747" t="str">
        <f>IF(AND(C16="是",E16="否"),"是否提供他项权证或相关说明","")</f>
        <v/>
      </c>
      <c r="G16" s="3746"/>
      <c r="J16" s="3685"/>
    </row>
    <row r="17" ht="13.5" customHeight="1" spans="1:10">
      <c r="A17" s="3748" t="s">
        <v>366</v>
      </c>
      <c r="B17" s="3749" t="s">
        <v>367</v>
      </c>
      <c r="C17" s="3750"/>
      <c r="D17" s="3751" t="s">
        <v>368</v>
      </c>
      <c r="E17" s="3752"/>
      <c r="F17" s="3753" t="s">
        <v>369</v>
      </c>
      <c r="G17" s="3754"/>
      <c r="J17" s="3685"/>
    </row>
    <row r="18" ht="24" spans="1:10">
      <c r="A18" s="3748"/>
      <c r="B18" s="3755"/>
      <c r="C18" s="3700"/>
      <c r="D18" s="3756" t="s">
        <v>370</v>
      </c>
      <c r="E18" s="3757"/>
      <c r="F18" s="3758"/>
      <c r="G18" s="3759"/>
      <c r="H18" s="3685"/>
      <c r="J18" s="3685"/>
    </row>
    <row r="19" ht="21.75" customHeight="1" spans="1:7">
      <c r="A19" s="3748"/>
      <c r="B19" s="3760"/>
      <c r="C19" s="3738"/>
      <c r="D19" s="3748"/>
      <c r="E19" s="3705"/>
      <c r="F19" s="3705"/>
      <c r="G19" s="3759"/>
    </row>
    <row r="20" spans="1:7">
      <c r="A20" s="3754" t="s">
        <v>371</v>
      </c>
      <c r="B20" s="3761" t="s">
        <v>372</v>
      </c>
      <c r="C20" s="3762"/>
      <c r="D20" s="3763" t="s">
        <v>372</v>
      </c>
      <c r="E20" s="3762"/>
      <c r="F20" s="3705"/>
      <c r="G20" s="3759"/>
    </row>
    <row r="21" spans="1:7">
      <c r="A21" s="3759"/>
      <c r="B21" s="3764" t="s">
        <v>373</v>
      </c>
      <c r="C21" s="3722"/>
      <c r="D21" s="3748" t="s">
        <v>373</v>
      </c>
      <c r="E21" s="3765"/>
      <c r="F21" s="3705"/>
      <c r="G21" s="3759"/>
    </row>
    <row r="22" spans="1:7">
      <c r="A22" s="3759"/>
      <c r="B22" s="3705" t="s">
        <v>374</v>
      </c>
      <c r="C22" s="3766"/>
      <c r="D22" s="3705" t="s">
        <v>374</v>
      </c>
      <c r="E22" s="3765"/>
      <c r="F22" s="3705"/>
      <c r="G22" s="3759"/>
    </row>
    <row r="23" s="3668" customFormat="1" ht="16.5" spans="1:66">
      <c r="A23" s="3767"/>
      <c r="B23" s="3768" t="s">
        <v>375</v>
      </c>
      <c r="C23" s="3736"/>
      <c r="D23" s="3768" t="s">
        <v>375</v>
      </c>
      <c r="E23" s="3769"/>
      <c r="F23" s="3768"/>
      <c r="G23" s="3767"/>
      <c r="H23" s="3770"/>
      <c r="I23" s="3770"/>
      <c r="J23" s="3770"/>
      <c r="K23" s="3815"/>
      <c r="L23" s="3815"/>
      <c r="M23" s="3815"/>
      <c r="N23" s="3815"/>
      <c r="O23" s="3815"/>
      <c r="P23" s="3815"/>
      <c r="Q23" s="3770"/>
      <c r="R23" s="3770"/>
      <c r="S23" s="3770"/>
      <c r="T23" s="3770"/>
      <c r="U23" s="3770"/>
      <c r="V23" s="3770"/>
      <c r="W23" s="3770"/>
      <c r="X23" s="3770"/>
      <c r="Y23" s="3770"/>
      <c r="Z23" s="3770"/>
      <c r="AA23" s="3770"/>
      <c r="AB23" s="3770"/>
      <c r="AC23" s="3770"/>
      <c r="AD23" s="3770"/>
      <c r="AE23" s="3770"/>
      <c r="AF23" s="3770"/>
      <c r="AG23" s="3770"/>
      <c r="AH23" s="3770"/>
      <c r="AI23" s="3770"/>
      <c r="AJ23" s="3770"/>
      <c r="AK23" s="3770"/>
      <c r="AL23" s="3770"/>
      <c r="AM23" s="3770"/>
      <c r="AN23" s="3770"/>
      <c r="AO23" s="3770"/>
      <c r="AP23" s="3770"/>
      <c r="AQ23" s="3770"/>
      <c r="AR23" s="3770"/>
      <c r="AS23" s="3770"/>
      <c r="AT23" s="3770"/>
      <c r="AU23" s="3770"/>
      <c r="AV23" s="3770"/>
      <c r="AW23" s="3770"/>
      <c r="AX23" s="3770"/>
      <c r="AY23" s="3770"/>
      <c r="AZ23" s="3770"/>
      <c r="BA23" s="3770"/>
      <c r="BB23" s="3770"/>
      <c r="BC23" s="3770"/>
      <c r="BD23" s="3770"/>
      <c r="BE23" s="3770"/>
      <c r="BF23" s="3770"/>
      <c r="BG23" s="3770"/>
      <c r="BH23" s="3770"/>
      <c r="BI23" s="3770"/>
      <c r="BJ23" s="3770"/>
      <c r="BK23" s="3770"/>
      <c r="BL23" s="3770"/>
      <c r="BM23" s="3770"/>
      <c r="BN23" s="3770"/>
    </row>
    <row r="24" s="3669" customFormat="1" ht="18" customHeight="1" spans="1:66">
      <c r="A24" s="3771" t="s">
        <v>376</v>
      </c>
      <c r="B24" s="3771"/>
      <c r="C24" s="3771"/>
      <c r="D24" s="3771"/>
      <c r="E24" s="3771"/>
      <c r="F24" s="3771"/>
      <c r="G24" s="3771"/>
      <c r="H24" s="3772"/>
      <c r="I24" s="3772"/>
      <c r="J24" s="3772"/>
      <c r="K24" s="3816"/>
      <c r="L24" s="3816"/>
      <c r="M24" s="3816"/>
      <c r="N24" s="3816"/>
      <c r="O24" s="3816"/>
      <c r="P24" s="3816"/>
      <c r="Q24" s="3819"/>
      <c r="R24" s="3819"/>
      <c r="S24" s="3819"/>
      <c r="T24" s="3819"/>
      <c r="U24" s="3819"/>
      <c r="V24" s="3819"/>
      <c r="W24" s="3819"/>
      <c r="X24" s="3819"/>
      <c r="Y24" s="3819"/>
      <c r="Z24" s="3819"/>
      <c r="AA24" s="3819"/>
      <c r="AB24" s="3819"/>
      <c r="AC24" s="3819"/>
      <c r="AD24" s="3819"/>
      <c r="AE24" s="3819"/>
      <c r="AF24" s="3819"/>
      <c r="AG24" s="3819"/>
      <c r="AH24" s="3819"/>
      <c r="AI24" s="3819"/>
      <c r="AJ24" s="3819"/>
      <c r="AK24" s="3819"/>
      <c r="AL24" s="3819"/>
      <c r="AM24" s="3819"/>
      <c r="AN24" s="3819"/>
      <c r="AO24" s="3819"/>
      <c r="AP24" s="3819"/>
      <c r="AQ24" s="3819"/>
      <c r="AR24" s="3819"/>
      <c r="AS24" s="3819"/>
      <c r="AT24" s="3819"/>
      <c r="AU24" s="3819"/>
      <c r="AV24" s="3819"/>
      <c r="AW24" s="3819"/>
      <c r="AX24" s="3819"/>
      <c r="AY24" s="3819"/>
      <c r="AZ24" s="3819"/>
      <c r="BA24" s="3819"/>
      <c r="BB24" s="3819"/>
      <c r="BC24" s="3819"/>
      <c r="BD24" s="3819"/>
      <c r="BE24" s="3819"/>
      <c r="BF24" s="3819"/>
      <c r="BG24" s="3819"/>
      <c r="BH24" s="3819"/>
      <c r="BI24" s="3819"/>
      <c r="BJ24" s="3819"/>
      <c r="BK24" s="3819"/>
      <c r="BL24" s="3819"/>
      <c r="BM24" s="3819"/>
      <c r="BN24" s="3819"/>
    </row>
    <row r="25" ht="14.25" spans="1:11">
      <c r="A25" s="3773" t="s">
        <v>377</v>
      </c>
      <c r="B25" s="3705"/>
      <c r="C25" s="3705"/>
      <c r="D25" s="3705"/>
      <c r="E25" s="3705"/>
      <c r="F25" s="3705"/>
      <c r="G25" s="3767"/>
      <c r="K25" s="3673"/>
    </row>
    <row r="26" s="3670" customFormat="1" ht="13.5" spans="1:66">
      <c r="A26" s="3774"/>
      <c r="B26" s="3775" t="s">
        <v>378</v>
      </c>
      <c r="C26" s="3774"/>
      <c r="D26" s="3775"/>
      <c r="E26" s="3776" t="s">
        <v>379</v>
      </c>
      <c r="F26" s="3774"/>
      <c r="G26" s="3777" t="s">
        <v>380</v>
      </c>
      <c r="H26" s="3778"/>
      <c r="I26" s="3778"/>
      <c r="J26" s="3778"/>
      <c r="K26" s="3778"/>
      <c r="L26" s="3817"/>
      <c r="M26" s="3817"/>
      <c r="N26" s="3778"/>
      <c r="O26" s="3778"/>
      <c r="P26" s="3778"/>
      <c r="Q26" s="3778"/>
      <c r="R26" s="3778"/>
      <c r="S26" s="3778"/>
      <c r="T26" s="3778"/>
      <c r="U26" s="3778"/>
      <c r="V26" s="3778"/>
      <c r="W26" s="3778"/>
      <c r="X26" s="3778"/>
      <c r="Y26" s="3778"/>
      <c r="Z26" s="3778"/>
      <c r="AA26" s="3778"/>
      <c r="AB26" s="3778"/>
      <c r="AC26" s="3778"/>
      <c r="AD26" s="3778"/>
      <c r="AE26" s="3778"/>
      <c r="AF26" s="3778"/>
      <c r="AG26" s="3778"/>
      <c r="AH26" s="3778"/>
      <c r="AI26" s="3778"/>
      <c r="AJ26" s="3778"/>
      <c r="AK26" s="3778"/>
      <c r="AL26" s="3778"/>
      <c r="AM26" s="3778"/>
      <c r="AN26" s="3778"/>
      <c r="AO26" s="3778"/>
      <c r="AP26" s="3778"/>
      <c r="AQ26" s="3778"/>
      <c r="AR26" s="3778"/>
      <c r="AS26" s="3778"/>
      <c r="AT26" s="3778"/>
      <c r="AU26" s="3778"/>
      <c r="AV26" s="3778"/>
      <c r="AW26" s="3778"/>
      <c r="AX26" s="3778"/>
      <c r="AY26" s="3778"/>
      <c r="AZ26" s="3778"/>
      <c r="BA26" s="3778"/>
      <c r="BB26" s="3778"/>
      <c r="BC26" s="3778"/>
      <c r="BD26" s="3778"/>
      <c r="BE26" s="3778"/>
      <c r="BF26" s="3778"/>
      <c r="BG26" s="3778"/>
      <c r="BH26" s="3778"/>
      <c r="BI26" s="3778"/>
      <c r="BJ26" s="3778"/>
      <c r="BK26" s="3778"/>
      <c r="BL26" s="3778"/>
      <c r="BM26" s="3778"/>
      <c r="BN26" s="3778"/>
    </row>
    <row r="27" s="3670" customFormat="1" ht="13.5" spans="1:66">
      <c r="A27" s="3774"/>
      <c r="B27" s="3779"/>
      <c r="C27" s="3774"/>
      <c r="D27" s="3775"/>
      <c r="E27" s="3779"/>
      <c r="F27" s="3774"/>
      <c r="G27" s="3780"/>
      <c r="H27" s="3778"/>
      <c r="I27" s="3778"/>
      <c r="J27" s="3778"/>
      <c r="K27" s="3778"/>
      <c r="L27" s="3817"/>
      <c r="M27" s="3817"/>
      <c r="N27" s="3778"/>
      <c r="O27" s="3778"/>
      <c r="P27" s="3778"/>
      <c r="Q27" s="3778"/>
      <c r="R27" s="3778"/>
      <c r="S27" s="3778"/>
      <c r="T27" s="3778"/>
      <c r="U27" s="3778"/>
      <c r="V27" s="3778"/>
      <c r="W27" s="3778"/>
      <c r="X27" s="3778"/>
      <c r="Y27" s="3778"/>
      <c r="Z27" s="3778"/>
      <c r="AA27" s="3778"/>
      <c r="AB27" s="3778"/>
      <c r="AC27" s="3778"/>
      <c r="AD27" s="3778"/>
      <c r="AE27" s="3778"/>
      <c r="AF27" s="3778"/>
      <c r="AG27" s="3778"/>
      <c r="AH27" s="3778"/>
      <c r="AI27" s="3778"/>
      <c r="AJ27" s="3778"/>
      <c r="AK27" s="3778"/>
      <c r="AL27" s="3778"/>
      <c r="AM27" s="3778"/>
      <c r="AN27" s="3778"/>
      <c r="AO27" s="3778"/>
      <c r="AP27" s="3778"/>
      <c r="AQ27" s="3778"/>
      <c r="AR27" s="3778"/>
      <c r="AS27" s="3778"/>
      <c r="AT27" s="3778"/>
      <c r="AU27" s="3778"/>
      <c r="AV27" s="3778"/>
      <c r="AW27" s="3778"/>
      <c r="AX27" s="3778"/>
      <c r="AY27" s="3778"/>
      <c r="AZ27" s="3778"/>
      <c r="BA27" s="3778"/>
      <c r="BB27" s="3778"/>
      <c r="BC27" s="3778"/>
      <c r="BD27" s="3778"/>
      <c r="BE27" s="3778"/>
      <c r="BF27" s="3778"/>
      <c r="BG27" s="3778"/>
      <c r="BH27" s="3778"/>
      <c r="BI27" s="3778"/>
      <c r="BJ27" s="3778"/>
      <c r="BK27" s="3778"/>
      <c r="BL27" s="3778"/>
      <c r="BM27" s="3778"/>
      <c r="BN27" s="3778"/>
    </row>
    <row r="28" spans="1:11">
      <c r="A28" s="3781" t="s">
        <v>381</v>
      </c>
      <c r="B28" s="3782"/>
      <c r="C28" s="3783" t="s">
        <v>381</v>
      </c>
      <c r="D28" s="3784"/>
      <c r="E28" s="3782"/>
      <c r="F28" s="3781" t="s">
        <v>381</v>
      </c>
      <c r="G28" s="3782"/>
      <c r="K28" s="3673"/>
    </row>
    <row r="29" spans="1:11">
      <c r="A29" s="3785" t="s">
        <v>382</v>
      </c>
      <c r="B29" s="3786"/>
      <c r="C29" s="3787" t="s">
        <v>383</v>
      </c>
      <c r="D29" s="3788"/>
      <c r="E29" s="3786"/>
      <c r="F29" s="3785" t="s">
        <v>383</v>
      </c>
      <c r="G29" s="3786"/>
      <c r="K29" s="3673"/>
    </row>
    <row r="30" spans="1:11">
      <c r="A30" s="3785" t="s">
        <v>384</v>
      </c>
      <c r="B30" s="3786"/>
      <c r="C30" s="3787" t="s">
        <v>384</v>
      </c>
      <c r="D30" s="3788"/>
      <c r="E30" s="3786"/>
      <c r="F30" s="3785" t="s">
        <v>385</v>
      </c>
      <c r="G30" s="3786"/>
      <c r="K30" s="3673"/>
    </row>
    <row r="31" spans="1:7">
      <c r="A31" s="3785" t="s">
        <v>386</v>
      </c>
      <c r="B31" s="3786"/>
      <c r="C31" s="3789" t="s">
        <v>387</v>
      </c>
      <c r="D31" s="3705"/>
      <c r="E31" s="3790" t="str">
        <f>E32&amp;" "&amp;E33&amp;" "&amp;E34&amp;" "&amp;E35</f>
        <v>   </v>
      </c>
      <c r="F31" s="3785" t="s">
        <v>388</v>
      </c>
      <c r="G31" s="3786"/>
    </row>
    <row r="32" spans="1:7">
      <c r="A32" s="3785" t="s">
        <v>389</v>
      </c>
      <c r="B32" s="3786"/>
      <c r="C32" s="3791"/>
      <c r="D32" s="2120" t="s">
        <v>390</v>
      </c>
      <c r="E32" s="3786"/>
      <c r="F32" s="3785" t="s">
        <v>391</v>
      </c>
      <c r="G32" s="3786"/>
    </row>
    <row r="33" ht="24.75" spans="1:7">
      <c r="A33" s="3792" t="s">
        <v>392</v>
      </c>
      <c r="B33" s="3793"/>
      <c r="C33" s="3791"/>
      <c r="D33" s="2120" t="s">
        <v>393</v>
      </c>
      <c r="E33" s="3786"/>
      <c r="F33" s="3785" t="s">
        <v>394</v>
      </c>
      <c r="G33" s="3786"/>
    </row>
    <row r="34" spans="1:7">
      <c r="A34" s="3781" t="s">
        <v>395</v>
      </c>
      <c r="B34" s="3782"/>
      <c r="C34" s="3791"/>
      <c r="D34" s="2120" t="s">
        <v>396</v>
      </c>
      <c r="E34" s="3786"/>
      <c r="F34" s="3785" t="s">
        <v>397</v>
      </c>
      <c r="G34" s="3786"/>
    </row>
    <row r="35" ht="13.5" spans="1:7">
      <c r="A35" s="3785" t="s">
        <v>398</v>
      </c>
      <c r="B35" s="3786"/>
      <c r="C35" s="3794"/>
      <c r="D35" s="2120" t="s">
        <v>399</v>
      </c>
      <c r="E35" s="3786"/>
      <c r="F35" s="3792" t="s">
        <v>400</v>
      </c>
      <c r="G35" s="3795"/>
    </row>
    <row r="36" spans="1:7">
      <c r="A36" s="3785" t="s">
        <v>357</v>
      </c>
      <c r="B36" s="3786"/>
      <c r="C36" s="3787" t="s">
        <v>401</v>
      </c>
      <c r="D36" s="3788"/>
      <c r="E36" s="3786"/>
      <c r="F36" s="3784" t="s">
        <v>402</v>
      </c>
      <c r="G36" s="3782"/>
    </row>
    <row r="37" ht="13.5" spans="1:7">
      <c r="A37" s="3785" t="s">
        <v>403</v>
      </c>
      <c r="B37" s="3786"/>
      <c r="C37" s="3796" t="s">
        <v>404</v>
      </c>
      <c r="D37" s="3797"/>
      <c r="E37" s="3793"/>
      <c r="F37" s="3788" t="s">
        <v>405</v>
      </c>
      <c r="G37" s="3786"/>
    </row>
    <row r="38" ht="13.5" spans="1:7">
      <c r="A38" s="3785" t="s">
        <v>406</v>
      </c>
      <c r="B38" s="3786"/>
      <c r="C38" s="3781" t="s">
        <v>407</v>
      </c>
      <c r="D38" s="3731" t="s">
        <v>391</v>
      </c>
      <c r="E38" s="3782"/>
      <c r="F38" s="3792" t="s">
        <v>408</v>
      </c>
      <c r="G38" s="3793"/>
    </row>
    <row r="39" spans="1:7">
      <c r="A39" s="3785" t="s">
        <v>409</v>
      </c>
      <c r="B39" s="3786"/>
      <c r="C39" s="3785"/>
      <c r="D39" s="2120" t="s">
        <v>398</v>
      </c>
      <c r="E39" s="3786"/>
      <c r="F39" s="3781" t="s">
        <v>410</v>
      </c>
      <c r="G39" s="3782"/>
    </row>
    <row r="40" spans="1:7">
      <c r="A40" s="3785" t="s">
        <v>411</v>
      </c>
      <c r="B40" s="3786"/>
      <c r="C40" s="3785" t="s">
        <v>412</v>
      </c>
      <c r="D40" s="2120" t="s">
        <v>357</v>
      </c>
      <c r="E40" s="3786"/>
      <c r="F40" s="3785" t="s">
        <v>413</v>
      </c>
      <c r="G40" s="3786"/>
    </row>
    <row r="41" ht="24.75" customHeight="1" spans="1:7">
      <c r="A41" s="3792" t="s">
        <v>414</v>
      </c>
      <c r="B41" s="3793"/>
      <c r="C41" s="3792"/>
      <c r="D41" s="3737" t="s">
        <v>359</v>
      </c>
      <c r="E41" s="3793"/>
      <c r="F41" s="3792" t="s">
        <v>415</v>
      </c>
      <c r="G41" s="3793"/>
    </row>
    <row r="42" spans="1:7">
      <c r="A42" s="3798" t="s">
        <v>416</v>
      </c>
      <c r="B42" s="3799"/>
      <c r="C42" s="3800" t="s">
        <v>416</v>
      </c>
      <c r="D42" s="3801"/>
      <c r="E42" s="3799"/>
      <c r="F42" s="3781" t="s">
        <v>417</v>
      </c>
      <c r="G42" s="3799"/>
    </row>
    <row r="43" spans="1:7">
      <c r="A43" s="3710" t="s">
        <v>418</v>
      </c>
      <c r="B43" s="3802"/>
      <c r="C43" s="3748"/>
      <c r="D43" s="3764"/>
      <c r="E43" s="3802"/>
      <c r="F43" s="3710"/>
      <c r="G43" s="3802"/>
    </row>
    <row r="44" spans="1:7">
      <c r="A44" s="3710" t="s">
        <v>372</v>
      </c>
      <c r="B44" s="3803"/>
      <c r="C44" s="3748"/>
      <c r="D44" s="2087" t="s">
        <v>372</v>
      </c>
      <c r="E44" s="3803"/>
      <c r="F44" s="3710" t="s">
        <v>372</v>
      </c>
      <c r="G44" s="3803"/>
    </row>
    <row r="45" spans="1:7">
      <c r="A45" s="3710" t="s">
        <v>373</v>
      </c>
      <c r="B45" s="3803"/>
      <c r="C45" s="3748"/>
      <c r="D45" s="3764" t="s">
        <v>373</v>
      </c>
      <c r="E45" s="3803"/>
      <c r="F45" s="3710" t="s">
        <v>373</v>
      </c>
      <c r="G45" s="3803"/>
    </row>
    <row r="46" spans="1:7">
      <c r="A46" s="3710" t="s">
        <v>374</v>
      </c>
      <c r="B46" s="3803"/>
      <c r="C46" s="3748"/>
      <c r="D46" s="3764" t="s">
        <v>374</v>
      </c>
      <c r="E46" s="3803"/>
      <c r="F46" s="3710" t="s">
        <v>374</v>
      </c>
      <c r="G46" s="3803"/>
    </row>
    <row r="47" spans="1:7">
      <c r="A47" s="3710" t="s">
        <v>375</v>
      </c>
      <c r="B47" s="3803"/>
      <c r="C47" s="3748"/>
      <c r="D47" s="3764" t="s">
        <v>375</v>
      </c>
      <c r="E47" s="3803"/>
      <c r="F47" s="3710" t="s">
        <v>375</v>
      </c>
      <c r="G47" s="3803"/>
    </row>
    <row r="48" spans="1:7">
      <c r="A48" s="3710"/>
      <c r="B48" s="3803"/>
      <c r="C48" s="3748"/>
      <c r="D48" s="3764"/>
      <c r="E48" s="3803"/>
      <c r="F48" s="3710"/>
      <c r="G48" s="3803"/>
    </row>
    <row r="49" ht="13.5" spans="1:7">
      <c r="A49" s="3792" t="s">
        <v>419</v>
      </c>
      <c r="B49" s="3793"/>
      <c r="C49" s="3804" t="s">
        <v>419</v>
      </c>
      <c r="D49" s="2087"/>
      <c r="E49" s="3805"/>
      <c r="F49" s="3792" t="s">
        <v>420</v>
      </c>
      <c r="G49" s="3793"/>
    </row>
    <row r="50" spans="1:7">
      <c r="A50" s="3785" t="s">
        <v>421</v>
      </c>
      <c r="B50" s="3806"/>
      <c r="C50" s="3781" t="s">
        <v>422</v>
      </c>
      <c r="D50" s="3731"/>
      <c r="E50" s="3807"/>
      <c r="F50" s="3808"/>
      <c r="G50" s="3809"/>
    </row>
    <row r="51" ht="13.5" spans="1:7">
      <c r="A51" s="3785" t="s">
        <v>423</v>
      </c>
      <c r="B51" s="3806"/>
      <c r="C51" s="3792" t="s">
        <v>424</v>
      </c>
      <c r="D51" s="3737"/>
      <c r="E51" s="3793"/>
      <c r="F51" s="3705"/>
      <c r="G51" s="3706"/>
    </row>
    <row r="52" spans="1:7">
      <c r="A52" s="3785" t="s">
        <v>402</v>
      </c>
      <c r="B52" s="3786"/>
      <c r="C52" s="3705"/>
      <c r="D52" s="3705"/>
      <c r="E52" s="3705"/>
      <c r="F52" s="3705"/>
      <c r="G52" s="3706"/>
    </row>
    <row r="53" ht="24.75" spans="1:7">
      <c r="A53" s="3792" t="s">
        <v>425</v>
      </c>
      <c r="B53" s="3795"/>
      <c r="C53" s="3768"/>
      <c r="D53" s="3768"/>
      <c r="E53" s="3768"/>
      <c r="F53" s="3768"/>
      <c r="G53" s="3810"/>
    </row>
    <row r="57" s="3671" customFormat="1" spans="8:66">
      <c r="H57" s="3685"/>
      <c r="I57" s="3685"/>
      <c r="J57" s="3685"/>
      <c r="K57" s="3818"/>
      <c r="L57" s="3818"/>
      <c r="M57" s="3818"/>
      <c r="N57" s="3685"/>
      <c r="O57" s="3685"/>
      <c r="P57" s="3685"/>
      <c r="Q57" s="3685"/>
      <c r="R57" s="3685"/>
      <c r="S57" s="3685"/>
      <c r="T57" s="3685"/>
      <c r="U57" s="3685"/>
      <c r="V57" s="3685"/>
      <c r="W57" s="3685"/>
      <c r="X57" s="3685"/>
      <c r="Y57" s="3685"/>
      <c r="Z57" s="3685"/>
      <c r="AA57" s="3685"/>
      <c r="AB57" s="3685"/>
      <c r="AC57" s="3685"/>
      <c r="AD57" s="3685"/>
      <c r="AE57" s="3685"/>
      <c r="AF57" s="3685"/>
      <c r="AG57" s="3685"/>
      <c r="AH57" s="3685"/>
      <c r="AI57" s="3685"/>
      <c r="AJ57" s="3685"/>
      <c r="AK57" s="3685"/>
      <c r="AL57" s="3685"/>
      <c r="AM57" s="3685"/>
      <c r="AN57" s="3685"/>
      <c r="AO57" s="3685"/>
      <c r="AP57" s="3685"/>
      <c r="AQ57" s="3685"/>
      <c r="AR57" s="3685"/>
      <c r="AS57" s="3685"/>
      <c r="AT57" s="3685"/>
      <c r="AU57" s="3685"/>
      <c r="AV57" s="3685"/>
      <c r="AW57" s="3685"/>
      <c r="AX57" s="3685"/>
      <c r="AY57" s="3685"/>
      <c r="AZ57" s="3685"/>
      <c r="BA57" s="3685"/>
      <c r="BB57" s="3685"/>
      <c r="BC57" s="3685"/>
      <c r="BD57" s="3685"/>
      <c r="BE57" s="3685"/>
      <c r="BF57" s="3685"/>
      <c r="BG57" s="3685"/>
      <c r="BH57" s="3685"/>
      <c r="BI57" s="3685"/>
      <c r="BJ57" s="3685"/>
      <c r="BK57" s="3685"/>
      <c r="BL57" s="3685"/>
      <c r="BM57" s="3685"/>
      <c r="BN57" s="3685"/>
    </row>
    <row r="58" s="3671" customFormat="1" spans="8:66">
      <c r="H58" s="3685"/>
      <c r="I58" s="3685"/>
      <c r="J58" s="3685"/>
      <c r="K58" s="3818"/>
      <c r="L58" s="3818"/>
      <c r="M58" s="3818"/>
      <c r="N58" s="3685"/>
      <c r="O58" s="3685"/>
      <c r="P58" s="3685"/>
      <c r="Q58" s="3685"/>
      <c r="R58" s="3685"/>
      <c r="S58" s="3685"/>
      <c r="T58" s="3685"/>
      <c r="U58" s="3685"/>
      <c r="V58" s="3685"/>
      <c r="W58" s="3685"/>
      <c r="X58" s="3685"/>
      <c r="Y58" s="3685"/>
      <c r="Z58" s="3685"/>
      <c r="AA58" s="3685"/>
      <c r="AB58" s="3685"/>
      <c r="AC58" s="3685"/>
      <c r="AD58" s="3685"/>
      <c r="AE58" s="3685"/>
      <c r="AF58" s="3685"/>
      <c r="AG58" s="3685"/>
      <c r="AH58" s="3685"/>
      <c r="AI58" s="3685"/>
      <c r="AJ58" s="3685"/>
      <c r="AK58" s="3685"/>
      <c r="AL58" s="3685"/>
      <c r="AM58" s="3685"/>
      <c r="AN58" s="3685"/>
      <c r="AO58" s="3685"/>
      <c r="AP58" s="3685"/>
      <c r="AQ58" s="3685"/>
      <c r="AR58" s="3685"/>
      <c r="AS58" s="3685"/>
      <c r="AT58" s="3685"/>
      <c r="AU58" s="3685"/>
      <c r="AV58" s="3685"/>
      <c r="AW58" s="3685"/>
      <c r="AX58" s="3685"/>
      <c r="AY58" s="3685"/>
      <c r="AZ58" s="3685"/>
      <c r="BA58" s="3685"/>
      <c r="BB58" s="3685"/>
      <c r="BC58" s="3685"/>
      <c r="BD58" s="3685"/>
      <c r="BE58" s="3685"/>
      <c r="BF58" s="3685"/>
      <c r="BG58" s="3685"/>
      <c r="BH58" s="3685"/>
      <c r="BI58" s="3685"/>
      <c r="BJ58" s="3685"/>
      <c r="BK58" s="3685"/>
      <c r="BL58" s="3685"/>
      <c r="BM58" s="3685"/>
      <c r="BN58" s="3685"/>
    </row>
    <row r="59" s="3671" customFormat="1" spans="8:66">
      <c r="H59" s="3685"/>
      <c r="I59" s="3685"/>
      <c r="J59" s="3685"/>
      <c r="K59" s="3818"/>
      <c r="L59" s="3818"/>
      <c r="M59" s="3818"/>
      <c r="N59" s="3685"/>
      <c r="O59" s="3685"/>
      <c r="P59" s="3685"/>
      <c r="Q59" s="3685"/>
      <c r="R59" s="3685"/>
      <c r="S59" s="3685"/>
      <c r="T59" s="3685"/>
      <c r="U59" s="3685"/>
      <c r="V59" s="3685"/>
      <c r="W59" s="3685"/>
      <c r="X59" s="3685"/>
      <c r="Y59" s="3685"/>
      <c r="Z59" s="3685"/>
      <c r="AA59" s="3685"/>
      <c r="AB59" s="3685"/>
      <c r="AC59" s="3685"/>
      <c r="AD59" s="3685"/>
      <c r="AE59" s="3685"/>
      <c r="AF59" s="3685"/>
      <c r="AG59" s="3685"/>
      <c r="AH59" s="3685"/>
      <c r="AI59" s="3685"/>
      <c r="AJ59" s="3685"/>
      <c r="AK59" s="3685"/>
      <c r="AL59" s="3685"/>
      <c r="AM59" s="3685"/>
      <c r="AN59" s="3685"/>
      <c r="AO59" s="3685"/>
      <c r="AP59" s="3685"/>
      <c r="AQ59" s="3685"/>
      <c r="AR59" s="3685"/>
      <c r="AS59" s="3685"/>
      <c r="AT59" s="3685"/>
      <c r="AU59" s="3685"/>
      <c r="AV59" s="3685"/>
      <c r="AW59" s="3685"/>
      <c r="AX59" s="3685"/>
      <c r="AY59" s="3685"/>
      <c r="AZ59" s="3685"/>
      <c r="BA59" s="3685"/>
      <c r="BB59" s="3685"/>
      <c r="BC59" s="3685"/>
      <c r="BD59" s="3685"/>
      <c r="BE59" s="3685"/>
      <c r="BF59" s="3685"/>
      <c r="BG59" s="3685"/>
      <c r="BH59" s="3685"/>
      <c r="BI59" s="3685"/>
      <c r="BJ59" s="3685"/>
      <c r="BK59" s="3685"/>
      <c r="BL59" s="3685"/>
      <c r="BM59" s="3685"/>
      <c r="BN59" s="3685"/>
    </row>
    <row r="60" s="3671" customFormat="1" spans="8:66">
      <c r="H60" s="3685"/>
      <c r="I60" s="3685"/>
      <c r="J60" s="3685"/>
      <c r="K60" s="3818"/>
      <c r="L60" s="3818"/>
      <c r="M60" s="3818"/>
      <c r="N60" s="3685"/>
      <c r="O60" s="3685"/>
      <c r="P60" s="3685"/>
      <c r="Q60" s="3685"/>
      <c r="R60" s="3685"/>
      <c r="S60" s="3685"/>
      <c r="T60" s="3685"/>
      <c r="U60" s="3685"/>
      <c r="V60" s="3685"/>
      <c r="W60" s="3685"/>
      <c r="X60" s="3685"/>
      <c r="Y60" s="3685"/>
      <c r="Z60" s="3685"/>
      <c r="AA60" s="3685"/>
      <c r="AB60" s="3685"/>
      <c r="AC60" s="3685"/>
      <c r="AD60" s="3685"/>
      <c r="AE60" s="3685"/>
      <c r="AF60" s="3685"/>
      <c r="AG60" s="3685"/>
      <c r="AH60" s="3685"/>
      <c r="AI60" s="3685"/>
      <c r="AJ60" s="3685"/>
      <c r="AK60" s="3685"/>
      <c r="AL60" s="3685"/>
      <c r="AM60" s="3685"/>
      <c r="AN60" s="3685"/>
      <c r="AO60" s="3685"/>
      <c r="AP60" s="3685"/>
      <c r="AQ60" s="3685"/>
      <c r="AR60" s="3685"/>
      <c r="AS60" s="3685"/>
      <c r="AT60" s="3685"/>
      <c r="AU60" s="3685"/>
      <c r="AV60" s="3685"/>
      <c r="AW60" s="3685"/>
      <c r="AX60" s="3685"/>
      <c r="AY60" s="3685"/>
      <c r="AZ60" s="3685"/>
      <c r="BA60" s="3685"/>
      <c r="BB60" s="3685"/>
      <c r="BC60" s="3685"/>
      <c r="BD60" s="3685"/>
      <c r="BE60" s="3685"/>
      <c r="BF60" s="3685"/>
      <c r="BG60" s="3685"/>
      <c r="BH60" s="3685"/>
      <c r="BI60" s="3685"/>
      <c r="BJ60" s="3685"/>
      <c r="BK60" s="3685"/>
      <c r="BL60" s="3685"/>
      <c r="BM60" s="3685"/>
      <c r="BN60" s="3685"/>
    </row>
    <row r="61" s="3671" customFormat="1" spans="8:66">
      <c r="H61" s="3685"/>
      <c r="I61" s="3685"/>
      <c r="J61" s="3685"/>
      <c r="K61" s="3818"/>
      <c r="L61" s="3818"/>
      <c r="M61" s="3818"/>
      <c r="N61" s="3685"/>
      <c r="O61" s="3685"/>
      <c r="P61" s="3685"/>
      <c r="Q61" s="3685"/>
      <c r="R61" s="3685"/>
      <c r="S61" s="3685"/>
      <c r="T61" s="3685"/>
      <c r="U61" s="3685"/>
      <c r="V61" s="3685"/>
      <c r="W61" s="3685"/>
      <c r="X61" s="3685"/>
      <c r="Y61" s="3685"/>
      <c r="Z61" s="3685"/>
      <c r="AA61" s="3685"/>
      <c r="AB61" s="3685"/>
      <c r="AC61" s="3685"/>
      <c r="AD61" s="3685"/>
      <c r="AE61" s="3685"/>
      <c r="AF61" s="3685"/>
      <c r="AG61" s="3685"/>
      <c r="AH61" s="3685"/>
      <c r="AI61" s="3685"/>
      <c r="AJ61" s="3685"/>
      <c r="AK61" s="3685"/>
      <c r="AL61" s="3685"/>
      <c r="AM61" s="3685"/>
      <c r="AN61" s="3685"/>
      <c r="AO61" s="3685"/>
      <c r="AP61" s="3685"/>
      <c r="AQ61" s="3685"/>
      <c r="AR61" s="3685"/>
      <c r="AS61" s="3685"/>
      <c r="AT61" s="3685"/>
      <c r="AU61" s="3685"/>
      <c r="AV61" s="3685"/>
      <c r="AW61" s="3685"/>
      <c r="AX61" s="3685"/>
      <c r="AY61" s="3685"/>
      <c r="AZ61" s="3685"/>
      <c r="BA61" s="3685"/>
      <c r="BB61" s="3685"/>
      <c r="BC61" s="3685"/>
      <c r="BD61" s="3685"/>
      <c r="BE61" s="3685"/>
      <c r="BF61" s="3685"/>
      <c r="BG61" s="3685"/>
      <c r="BH61" s="3685"/>
      <c r="BI61" s="3685"/>
      <c r="BJ61" s="3685"/>
      <c r="BK61" s="3685"/>
      <c r="BL61" s="3685"/>
      <c r="BM61" s="3685"/>
      <c r="BN61" s="3685"/>
    </row>
    <row r="62" s="3671" customFormat="1" spans="8:66">
      <c r="H62" s="3685"/>
      <c r="I62" s="3685"/>
      <c r="J62" s="3685"/>
      <c r="K62" s="3818"/>
      <c r="L62" s="3818"/>
      <c r="M62" s="3818"/>
      <c r="N62" s="3685"/>
      <c r="O62" s="3685"/>
      <c r="P62" s="3685"/>
      <c r="Q62" s="3685"/>
      <c r="R62" s="3685"/>
      <c r="S62" s="3685"/>
      <c r="T62" s="3685"/>
      <c r="U62" s="3685"/>
      <c r="V62" s="3685"/>
      <c r="W62" s="3685"/>
      <c r="X62" s="3685"/>
      <c r="Y62" s="3685"/>
      <c r="Z62" s="3685"/>
      <c r="AA62" s="3685"/>
      <c r="AB62" s="3685"/>
      <c r="AC62" s="3685"/>
      <c r="AD62" s="3685"/>
      <c r="AE62" s="3685"/>
      <c r="AF62" s="3685"/>
      <c r="AG62" s="3685"/>
      <c r="AH62" s="3685"/>
      <c r="AI62" s="3685"/>
      <c r="AJ62" s="3685"/>
      <c r="AK62" s="3685"/>
      <c r="AL62" s="3685"/>
      <c r="AM62" s="3685"/>
      <c r="AN62" s="3685"/>
      <c r="AO62" s="3685"/>
      <c r="AP62" s="3685"/>
      <c r="AQ62" s="3685"/>
      <c r="AR62" s="3685"/>
      <c r="AS62" s="3685"/>
      <c r="AT62" s="3685"/>
      <c r="AU62" s="3685"/>
      <c r="AV62" s="3685"/>
      <c r="AW62" s="3685"/>
      <c r="AX62" s="3685"/>
      <c r="AY62" s="3685"/>
      <c r="AZ62" s="3685"/>
      <c r="BA62" s="3685"/>
      <c r="BB62" s="3685"/>
      <c r="BC62" s="3685"/>
      <c r="BD62" s="3685"/>
      <c r="BE62" s="3685"/>
      <c r="BF62" s="3685"/>
      <c r="BG62" s="3685"/>
      <c r="BH62" s="3685"/>
      <c r="BI62" s="3685"/>
      <c r="BJ62" s="3685"/>
      <c r="BK62" s="3685"/>
      <c r="BL62" s="3685"/>
      <c r="BM62" s="3685"/>
      <c r="BN62" s="3685"/>
    </row>
    <row r="63" s="3671" customFormat="1" spans="8:66">
      <c r="H63" s="3685"/>
      <c r="I63" s="3685"/>
      <c r="J63" s="3685"/>
      <c r="K63" s="3818"/>
      <c r="L63" s="3818"/>
      <c r="M63" s="3818"/>
      <c r="N63" s="3685"/>
      <c r="O63" s="3685"/>
      <c r="P63" s="3685"/>
      <c r="Q63" s="3685"/>
      <c r="R63" s="3685"/>
      <c r="S63" s="3685"/>
      <c r="T63" s="3685"/>
      <c r="U63" s="3685"/>
      <c r="V63" s="3685"/>
      <c r="W63" s="3685"/>
      <c r="X63" s="3685"/>
      <c r="Y63" s="3685"/>
      <c r="Z63" s="3685"/>
      <c r="AA63" s="3685"/>
      <c r="AB63" s="3685"/>
      <c r="AC63" s="3685"/>
      <c r="AD63" s="3685"/>
      <c r="AE63" s="3685"/>
      <c r="AF63" s="3685"/>
      <c r="AG63" s="3685"/>
      <c r="AH63" s="3685"/>
      <c r="AI63" s="3685"/>
      <c r="AJ63" s="3685"/>
      <c r="AK63" s="3685"/>
      <c r="AL63" s="3685"/>
      <c r="AM63" s="3685"/>
      <c r="AN63" s="3685"/>
      <c r="AO63" s="3685"/>
      <c r="AP63" s="3685"/>
      <c r="AQ63" s="3685"/>
      <c r="AR63" s="3685"/>
      <c r="AS63" s="3685"/>
      <c r="AT63" s="3685"/>
      <c r="AU63" s="3685"/>
      <c r="AV63" s="3685"/>
      <c r="AW63" s="3685"/>
      <c r="AX63" s="3685"/>
      <c r="AY63" s="3685"/>
      <c r="AZ63" s="3685"/>
      <c r="BA63" s="3685"/>
      <c r="BB63" s="3685"/>
      <c r="BC63" s="3685"/>
      <c r="BD63" s="3685"/>
      <c r="BE63" s="3685"/>
      <c r="BF63" s="3685"/>
      <c r="BG63" s="3685"/>
      <c r="BH63" s="3685"/>
      <c r="BI63" s="3685"/>
      <c r="BJ63" s="3685"/>
      <c r="BK63" s="3685"/>
      <c r="BL63" s="3685"/>
      <c r="BM63" s="3685"/>
      <c r="BN63" s="368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B18:B19">
      <formula1>"《房屋所有权证》,《国有土地使用证》,《不动产权证书》,——"</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43">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664" customWidth="1"/>
    <col min="2" max="2" width="10.625" style="3664" customWidth="1"/>
    <col min="3" max="3" width="15.75" style="3664" customWidth="1"/>
    <col min="4" max="7" width="9.5" style="3664" customWidth="1"/>
    <col min="8" max="13" width="9.125" style="3664" customWidth="1"/>
    <col min="14" max="16384" width="9" style="3664"/>
  </cols>
  <sheetData>
    <row r="1" ht="14.25" spans="1:13">
      <c r="A1" s="3665" t="s">
        <v>426</v>
      </c>
      <c r="B1" s="3665" t="s">
        <v>427</v>
      </c>
      <c r="C1" s="3665" t="s">
        <v>428</v>
      </c>
      <c r="D1" s="3666" t="s">
        <v>429</v>
      </c>
      <c r="E1" s="3666" t="s">
        <v>430</v>
      </c>
      <c r="F1" s="3666"/>
      <c r="G1" s="3666"/>
      <c r="H1" s="3666"/>
      <c r="I1" s="3666"/>
      <c r="J1" s="3666"/>
      <c r="K1" s="3666"/>
      <c r="L1" s="3666"/>
      <c r="M1" s="3666"/>
    </row>
    <row r="2" ht="27" customHeight="1" spans="1:13">
      <c r="A2" s="3665"/>
      <c r="B2" s="3665"/>
      <c r="C2" s="3665"/>
      <c r="D2" s="3666"/>
      <c r="E2" s="3666" t="s">
        <v>431</v>
      </c>
      <c r="F2" s="3666" t="s">
        <v>432</v>
      </c>
      <c r="G2" s="3666"/>
      <c r="H2" s="3666"/>
      <c r="I2" s="3666"/>
      <c r="J2" s="3666" t="s">
        <v>433</v>
      </c>
      <c r="K2" s="3666"/>
      <c r="L2" s="3666"/>
      <c r="M2" s="3666"/>
    </row>
    <row r="3" ht="28.5" spans="1:13">
      <c r="A3" s="3665"/>
      <c r="B3" s="3665"/>
      <c r="C3" s="3665"/>
      <c r="D3" s="3666"/>
      <c r="E3" s="3666"/>
      <c r="F3" s="3667" t="s">
        <v>434</v>
      </c>
      <c r="G3" s="3667" t="s">
        <v>435</v>
      </c>
      <c r="H3" s="3667" t="s">
        <v>436</v>
      </c>
      <c r="I3" s="3667" t="s">
        <v>437</v>
      </c>
      <c r="J3" s="3667" t="s">
        <v>434</v>
      </c>
      <c r="K3" s="3667" t="s">
        <v>438</v>
      </c>
      <c r="L3" s="3667" t="s">
        <v>439</v>
      </c>
      <c r="M3" s="3667" t="s">
        <v>440</v>
      </c>
    </row>
    <row r="4" ht="42.75" spans="1:13">
      <c r="A4" s="3667" t="s">
        <v>441</v>
      </c>
      <c r="B4" s="3667" t="s">
        <v>442</v>
      </c>
      <c r="C4" s="3667" t="s">
        <v>443</v>
      </c>
      <c r="D4" s="3666">
        <v>3807.94</v>
      </c>
      <c r="E4" s="3666">
        <v>20666.91</v>
      </c>
      <c r="F4" s="3666">
        <v>19673</v>
      </c>
      <c r="G4" s="3666">
        <v>0</v>
      </c>
      <c r="H4" s="3666">
        <v>19673</v>
      </c>
      <c r="I4" s="3666">
        <v>0</v>
      </c>
      <c r="J4" s="3666">
        <v>993.91</v>
      </c>
      <c r="K4" s="3666">
        <v>0</v>
      </c>
      <c r="L4" s="3666">
        <v>0</v>
      </c>
      <c r="M4" s="3666">
        <v>993.91</v>
      </c>
    </row>
    <row r="5" ht="42.75" spans="1:13">
      <c r="A5" s="3667" t="s">
        <v>441</v>
      </c>
      <c r="B5" s="3667" t="s">
        <v>444</v>
      </c>
      <c r="C5" s="3667" t="s">
        <v>445</v>
      </c>
      <c r="D5" s="3666">
        <v>3667.86</v>
      </c>
      <c r="E5" s="3666">
        <v>19906.61</v>
      </c>
      <c r="F5" s="3666">
        <v>18792.87</v>
      </c>
      <c r="G5" s="3666">
        <v>18792.87</v>
      </c>
      <c r="H5" s="3666">
        <v>0</v>
      </c>
      <c r="I5" s="3666">
        <v>0</v>
      </c>
      <c r="J5" s="3666">
        <v>1113.74</v>
      </c>
      <c r="K5" s="3666">
        <v>55.59</v>
      </c>
      <c r="L5" s="3666">
        <v>0</v>
      </c>
      <c r="M5" s="3666">
        <v>1058.15</v>
      </c>
    </row>
    <row r="6" ht="42.75" spans="1:13">
      <c r="A6" s="3667" t="s">
        <v>441</v>
      </c>
      <c r="B6" s="3667" t="s">
        <v>444</v>
      </c>
      <c r="C6" s="3667" t="s">
        <v>446</v>
      </c>
      <c r="D6" s="3666">
        <v>2067.52</v>
      </c>
      <c r="E6" s="3666">
        <v>11221.06</v>
      </c>
      <c r="F6" s="3666">
        <v>9934.13</v>
      </c>
      <c r="G6" s="3666">
        <v>9934.13</v>
      </c>
      <c r="H6" s="3666">
        <v>0</v>
      </c>
      <c r="I6" s="3666">
        <v>0</v>
      </c>
      <c r="J6" s="3666">
        <v>1286.93</v>
      </c>
      <c r="K6" s="3666">
        <v>0</v>
      </c>
      <c r="L6" s="3666">
        <v>0</v>
      </c>
      <c r="M6" s="3666">
        <v>1286.93</v>
      </c>
    </row>
    <row r="7" ht="42.75" spans="1:13">
      <c r="A7" s="3667" t="s">
        <v>441</v>
      </c>
      <c r="B7" s="3667" t="s">
        <v>444</v>
      </c>
      <c r="C7" s="3667" t="s">
        <v>447</v>
      </c>
      <c r="D7" s="3666">
        <v>8.18</v>
      </c>
      <c r="E7" s="3666">
        <v>44.41</v>
      </c>
      <c r="F7" s="3666">
        <v>0</v>
      </c>
      <c r="G7" s="3666">
        <v>0</v>
      </c>
      <c r="H7" s="3666">
        <v>0</v>
      </c>
      <c r="I7" s="3666">
        <v>0</v>
      </c>
      <c r="J7" s="3666">
        <v>44.41</v>
      </c>
      <c r="K7" s="3666">
        <v>44.41</v>
      </c>
      <c r="L7" s="3666">
        <v>0</v>
      </c>
      <c r="M7" s="3666">
        <v>0</v>
      </c>
    </row>
    <row r="8" ht="42.75" spans="1:13">
      <c r="A8" s="3667" t="s">
        <v>441</v>
      </c>
      <c r="B8" s="3667" t="s">
        <v>444</v>
      </c>
      <c r="C8" s="3667" t="s">
        <v>437</v>
      </c>
      <c r="D8" s="3666">
        <v>2455.53</v>
      </c>
      <c r="E8" s="3666">
        <v>13326.96</v>
      </c>
      <c r="F8" s="3666">
        <v>9231.05</v>
      </c>
      <c r="G8" s="3666">
        <v>0</v>
      </c>
      <c r="H8" s="3666">
        <v>0</v>
      </c>
      <c r="I8" s="3666">
        <v>9231.05</v>
      </c>
      <c r="J8" s="3666">
        <v>4095.91</v>
      </c>
      <c r="K8" s="3666">
        <v>0</v>
      </c>
      <c r="L8" s="3666">
        <v>3320.79</v>
      </c>
      <c r="M8" s="3666">
        <v>775.12</v>
      </c>
    </row>
    <row r="9" ht="27" customHeight="1" spans="1:13">
      <c r="A9" s="3666" t="s">
        <v>448</v>
      </c>
      <c r="B9" s="3666"/>
      <c r="C9" s="3666"/>
      <c r="D9" s="3666">
        <v>12007.03</v>
      </c>
      <c r="E9" s="3666">
        <v>65165.95</v>
      </c>
      <c r="F9" s="3666">
        <v>57631.05</v>
      </c>
      <c r="G9" s="3666">
        <v>28727</v>
      </c>
      <c r="H9" s="3666">
        <v>19673</v>
      </c>
      <c r="I9" s="3666">
        <v>9231.05</v>
      </c>
      <c r="J9" s="3666">
        <v>7534.9</v>
      </c>
      <c r="K9" s="3666">
        <v>100</v>
      </c>
      <c r="L9" s="3666">
        <v>3320.79</v>
      </c>
      <c r="M9" s="366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18" sqref="E18"/>
    </sheetView>
  </sheetViews>
  <sheetFormatPr defaultColWidth="13.75" defaultRowHeight="12.75"/>
  <cols>
    <col min="1" max="1" width="20.875" style="3553" customWidth="1"/>
    <col min="2" max="2" width="16.75" style="3476" customWidth="1"/>
    <col min="3" max="3" width="18.25" style="3477" customWidth="1"/>
    <col min="4" max="4" width="34.125" style="3554" customWidth="1"/>
    <col min="5" max="5" width="17.625" style="3554" customWidth="1"/>
    <col min="6" max="6" width="15.5" style="3555" customWidth="1"/>
    <col min="7" max="8" width="9.125" style="3556" customWidth="1"/>
    <col min="9" max="9" width="15" style="3477" customWidth="1"/>
    <col min="10" max="14" width="8.875" style="3477" customWidth="1"/>
    <col min="15" max="16" width="12.375" style="3477" customWidth="1"/>
    <col min="17" max="17" width="8.625" style="3477" customWidth="1"/>
    <col min="18" max="18" width="12.5" style="3477" customWidth="1"/>
    <col min="19" max="19" width="8.5" style="3477" customWidth="1"/>
    <col min="20" max="21" width="10.875" style="3477" customWidth="1"/>
    <col min="22" max="23" width="12.5" style="3477" customWidth="1"/>
    <col min="24" max="24" width="12.125" style="3477" customWidth="1"/>
    <col min="25" max="25" width="7.5" style="3477" customWidth="1"/>
    <col min="26" max="26" width="6.375" style="3477" customWidth="1"/>
    <col min="27" max="32" width="6.75" style="3477" customWidth="1"/>
    <col min="33" max="33" width="6.5" style="3477" customWidth="1"/>
    <col min="34" max="36" width="7.25" style="3477" customWidth="1"/>
    <col min="37" max="41" width="8" style="3477" customWidth="1"/>
    <col min="42" max="16384" width="13.75" style="3476"/>
  </cols>
  <sheetData>
    <row r="1" ht="19.5" spans="1:5">
      <c r="A1" s="3557" t="s">
        <v>449</v>
      </c>
      <c r="B1" s="2230"/>
      <c r="D1" s="3555"/>
      <c r="E1" s="3555"/>
    </row>
    <row r="2" s="3480" customFormat="1" ht="15.75" spans="1:41">
      <c r="A2" s="3558" t="s">
        <v>450</v>
      </c>
      <c r="B2" s="3559">
        <f>项目基本情况!D2</f>
        <v>38443</v>
      </c>
      <c r="C2" s="1080"/>
      <c r="D2" s="3560" t="s">
        <v>451</v>
      </c>
      <c r="E2" s="3561"/>
      <c r="F2" s="3562"/>
      <c r="G2" s="3563"/>
      <c r="H2" s="3563"/>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480" customFormat="1" ht="15" customHeight="1" spans="1:41">
      <c r="A3" s="3564" t="s">
        <v>452</v>
      </c>
      <c r="B3" s="3565" t="s">
        <v>453</v>
      </c>
      <c r="C3" s="1080"/>
      <c r="D3" s="3566"/>
      <c r="E3" s="3567" t="s">
        <v>454</v>
      </c>
      <c r="F3" s="3562"/>
      <c r="G3" s="3563"/>
      <c r="H3" s="3563"/>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480" customFormat="1" ht="15" spans="1:41">
      <c r="A4" s="3568" t="s">
        <v>455</v>
      </c>
      <c r="B4" s="3565" t="s">
        <v>456</v>
      </c>
      <c r="C4" s="1080"/>
      <c r="D4" s="3566"/>
      <c r="E4" s="3567"/>
      <c r="F4" s="3562"/>
      <c r="G4" s="3563"/>
      <c r="H4" s="3563"/>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480" customFormat="1" ht="15" spans="1:41">
      <c r="A5" s="3564" t="s">
        <v>457</v>
      </c>
      <c r="B5" s="3569">
        <f>项目基本情况!C12</f>
        <v>118.67</v>
      </c>
      <c r="C5" s="1080"/>
      <c r="D5" s="3570" t="s">
        <v>458</v>
      </c>
      <c r="E5" s="3571"/>
      <c r="F5" s="3562"/>
      <c r="G5" s="3563"/>
      <c r="H5" s="3563"/>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480" customFormat="1" ht="15" spans="1:41">
      <c r="A6" s="3568" t="s">
        <v>459</v>
      </c>
      <c r="B6" s="3572">
        <f>项目基本情况!C13</f>
        <v>0</v>
      </c>
      <c r="C6" s="1080"/>
      <c r="D6" s="3570" t="s">
        <v>460</v>
      </c>
      <c r="E6" s="3571"/>
      <c r="F6" s="3562"/>
      <c r="G6" s="3563"/>
      <c r="H6" s="3563"/>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573"/>
      <c r="D7" s="3574"/>
      <c r="E7" s="3574"/>
      <c r="F7" s="3563"/>
      <c r="G7" s="3563"/>
      <c r="H7" s="3563"/>
    </row>
    <row r="8" s="1080" customFormat="1" ht="15" hidden="1" spans="1:8">
      <c r="A8" s="3573"/>
      <c r="D8" s="3574"/>
      <c r="E8" s="3574"/>
      <c r="F8" s="3563"/>
      <c r="G8" s="3563"/>
      <c r="H8" s="3563"/>
    </row>
    <row r="9" s="1080" customFormat="1" ht="15" hidden="1" spans="3:8">
      <c r="C9" s="3575"/>
      <c r="D9" s="3563"/>
      <c r="E9" s="3563"/>
      <c r="F9" s="3563"/>
      <c r="G9" s="3563"/>
      <c r="H9" s="3563"/>
    </row>
    <row r="10" s="3480" customFormat="1" ht="15" spans="1:41">
      <c r="A10" s="3576" t="s">
        <v>202</v>
      </c>
      <c r="B10" s="3577" t="s">
        <v>461</v>
      </c>
      <c r="C10" s="1080"/>
      <c r="D10" s="3558" t="s">
        <v>462</v>
      </c>
      <c r="E10" s="3578" t="s">
        <v>463</v>
      </c>
      <c r="F10" s="3579"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481" customFormat="1" ht="14.25" spans="1:41">
      <c r="A11" s="3580" t="s">
        <v>465</v>
      </c>
      <c r="B11" s="3581">
        <v>70</v>
      </c>
      <c r="C11" s="1080"/>
      <c r="D11" s="3582" t="s">
        <v>466</v>
      </c>
      <c r="E11" s="3583">
        <v>160</v>
      </c>
      <c r="F11" s="3584" t="s">
        <v>467</v>
      </c>
      <c r="G11" s="1080"/>
      <c r="H11" s="1080"/>
      <c r="I11" s="1080"/>
      <c r="J11" s="1080"/>
      <c r="K11" s="1080"/>
      <c r="L11" s="3482"/>
      <c r="M11" s="3482"/>
      <c r="N11" s="3482"/>
      <c r="O11" s="3482"/>
      <c r="P11" s="3482"/>
      <c r="Q11" s="3482"/>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480" customFormat="1" ht="15" spans="1:41">
      <c r="A12" s="3585" t="s">
        <v>468</v>
      </c>
      <c r="B12" s="3586"/>
      <c r="C12" s="1080"/>
      <c r="D12" s="3585" t="s">
        <v>469</v>
      </c>
      <c r="E12" s="3587">
        <v>200</v>
      </c>
      <c r="F12" s="3074"/>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480" customFormat="1" ht="15" spans="1:41">
      <c r="A13" s="3588" t="s">
        <v>470</v>
      </c>
      <c r="B13" s="3589">
        <f>IF(B12="",B11-(YEAR($B$2)-B27+B24),ROUNDDOWN(MIN((B12-$B$2)/365,B11),2))</f>
        <v>62</v>
      </c>
      <c r="C13" s="3590"/>
      <c r="D13" s="3591" t="s">
        <v>471</v>
      </c>
      <c r="E13" s="3592">
        <v>18987</v>
      </c>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480" customFormat="1" ht="14.25" spans="1:41">
      <c r="A14" s="3585" t="s">
        <v>473</v>
      </c>
      <c r="B14" s="3593">
        <f>IF(ISERROR(ROUND(POWER(1+B15,B11-B13)*(POWER(1+B15,B13)-1)/(POWER(1+B15,B11)-1),3)),0,ROUND(POWER(1+B15,B11-B13)*(POWER(1+B15,B13)-1)/(POWER(1+B15,B11)-1),3))</f>
        <v>0.98</v>
      </c>
      <c r="C14" s="1080"/>
      <c r="D14" s="3594" t="s">
        <v>474</v>
      </c>
      <c r="E14" s="3595">
        <v>200</v>
      </c>
      <c r="F14" s="3074"/>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480" customFormat="1" ht="14.25" spans="1:41">
      <c r="A15" s="3585" t="s">
        <v>475</v>
      </c>
      <c r="B15" s="3596">
        <v>0.045</v>
      </c>
      <c r="C15" s="3018" t="s">
        <v>476</v>
      </c>
      <c r="D15" s="3585" t="s">
        <v>477</v>
      </c>
      <c r="E15" s="3597">
        <f>E14-E16</f>
        <v>200</v>
      </c>
      <c r="F15" s="3074"/>
      <c r="G15" s="1080"/>
      <c r="H15" s="1080"/>
      <c r="I15" s="1080"/>
      <c r="J15" s="1080">
        <v>2005</v>
      </c>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480" customFormat="1" ht="15" spans="1:41">
      <c r="A16" s="3585" t="s">
        <v>478</v>
      </c>
      <c r="B16" s="3596">
        <v>0.05</v>
      </c>
      <c r="C16" s="3018" t="s">
        <v>479</v>
      </c>
      <c r="D16" s="3598" t="s">
        <v>480</v>
      </c>
      <c r="E16" s="3599">
        <v>0</v>
      </c>
      <c r="F16" s="923"/>
      <c r="G16" s="1080"/>
      <c r="H16" s="1080"/>
      <c r="I16" s="1080"/>
      <c r="J16" s="1080">
        <v>1998</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480" customFormat="1" ht="15" spans="1:41">
      <c r="A17" s="3598" t="s">
        <v>481</v>
      </c>
      <c r="B17" s="3600">
        <v>0.06</v>
      </c>
      <c r="C17" s="3018" t="s">
        <v>482</v>
      </c>
      <c r="D17" s="3576" t="s">
        <v>483</v>
      </c>
      <c r="E17" s="3601">
        <v>1800</v>
      </c>
      <c r="F17" s="2230"/>
      <c r="G17" s="1080"/>
      <c r="H17" s="1080"/>
      <c r="I17" s="1080"/>
      <c r="J17" s="1080">
        <f>J15-J16</f>
        <v>7</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480" customFormat="1" ht="15" spans="1:41">
      <c r="A18" s="3602" t="s">
        <v>484</v>
      </c>
      <c r="B18" s="3603">
        <v>0.065</v>
      </c>
      <c r="C18" s="1080"/>
      <c r="D18" s="3604" t="str">
        <f>IF(B26=0,"建安总额","在建建安")</f>
        <v>建安总额</v>
      </c>
      <c r="E18" s="3605">
        <f>ROUND(B5*E17*IF(B26=0,1,E20),0)</f>
        <v>213606</v>
      </c>
      <c r="F18" s="3606">
        <f>ROUND(E5*E17*IF(B26=0,1,E20),0)</f>
        <v>0</v>
      </c>
      <c r="G18" s="1080"/>
      <c r="H18" s="1080"/>
      <c r="I18" s="1080"/>
      <c r="J18" s="1080">
        <v>60</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480" customFormat="1" ht="15" spans="1:41">
      <c r="A19" s="3074"/>
      <c r="B19" s="3074"/>
      <c r="C19" s="1080"/>
      <c r="D19" s="3604" t="str">
        <f>IF(B26=0,"——","续建建安")</f>
        <v>——</v>
      </c>
      <c r="E19" s="3605" t="str">
        <f>IF(B26=0,"——",ROUND(B5*E17*(1-E20),0))</f>
        <v>——</v>
      </c>
      <c r="F19" s="3606" t="str">
        <f>IF(B26=0,"——",ROUND(E5*E17*(1-E20),0))</f>
        <v>——</v>
      </c>
      <c r="G19" s="1080"/>
      <c r="H19" s="1080"/>
      <c r="I19" s="1080"/>
      <c r="J19" s="1080">
        <f>J18-J17</f>
        <v>53</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480" customFormat="1" ht="15" spans="1:41">
      <c r="A20" s="3607" t="s">
        <v>485</v>
      </c>
      <c r="B20" s="3074"/>
      <c r="C20" s="1080"/>
      <c r="D20" s="3608" t="str">
        <f>IF(B26=0,"成新率","工程进度")</f>
        <v>成新率</v>
      </c>
      <c r="E20" s="3609">
        <v>0.88</v>
      </c>
      <c r="F20" s="2230"/>
      <c r="G20" s="1080"/>
      <c r="H20" s="1080"/>
      <c r="I20" s="1080"/>
      <c r="J20" s="1080">
        <f>J19/J18</f>
        <v>0.883333333333333</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480" customFormat="1" ht="14.25" spans="1:41">
      <c r="A21" s="3610" t="s">
        <v>486</v>
      </c>
      <c r="B21" s="3611">
        <v>0</v>
      </c>
      <c r="C21" s="1080"/>
      <c r="D21" s="3585" t="s">
        <v>487</v>
      </c>
      <c r="E21" s="3612">
        <v>0.03</v>
      </c>
      <c r="F21" s="3613" t="s">
        <v>488</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480" customFormat="1" ht="14.25" spans="1:41">
      <c r="A22" s="3614" t="s">
        <v>489</v>
      </c>
      <c r="B22" s="3615">
        <v>1</v>
      </c>
      <c r="C22" s="1080"/>
      <c r="D22" s="3585" t="s">
        <v>490</v>
      </c>
      <c r="E22" s="3616">
        <v>0.05</v>
      </c>
      <c r="F22" s="3613" t="s">
        <v>491</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480" customFormat="1" ht="14.25" spans="1:41">
      <c r="A23" s="3617" t="s">
        <v>492</v>
      </c>
      <c r="B23" s="3618">
        <f>B22</f>
        <v>1</v>
      </c>
      <c r="C23" s="1080"/>
      <c r="D23" s="3585" t="s">
        <v>493</v>
      </c>
      <c r="E23" s="3587">
        <v>200</v>
      </c>
      <c r="F23" s="3613"/>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480" customFormat="1" ht="15" spans="1:41">
      <c r="A24" s="3619" t="s">
        <v>494</v>
      </c>
      <c r="B24" s="3620">
        <f>B21+B22</f>
        <v>1</v>
      </c>
      <c r="C24" s="1080"/>
      <c r="D24" s="3598" t="s">
        <v>495</v>
      </c>
      <c r="E24" s="3621">
        <v>0.015</v>
      </c>
      <c r="F24" s="3613"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622" t="s">
        <v>497</v>
      </c>
      <c r="B25" s="3623">
        <f>B21+B23</f>
        <v>1</v>
      </c>
      <c r="C25" s="1080"/>
      <c r="D25" s="3582" t="s">
        <v>498</v>
      </c>
      <c r="E25" s="3612">
        <v>0.01</v>
      </c>
      <c r="F25" s="3613" t="s">
        <v>499</v>
      </c>
      <c r="I25" s="3556"/>
    </row>
    <row r="26" ht="15" spans="1:14">
      <c r="A26" s="3619" t="s">
        <v>500</v>
      </c>
      <c r="B26" s="3624">
        <f>B22-B23</f>
        <v>0</v>
      </c>
      <c r="D26" s="3585" t="s">
        <v>501</v>
      </c>
      <c r="E26" s="3616">
        <v>0.01</v>
      </c>
      <c r="F26" s="3613" t="s">
        <v>499</v>
      </c>
      <c r="G26" s="3563"/>
      <c r="H26" s="3563"/>
      <c r="I26" s="1080"/>
      <c r="J26" s="1080"/>
      <c r="K26" s="1080"/>
      <c r="L26" s="1080"/>
      <c r="M26" s="1080"/>
      <c r="N26" s="1080"/>
    </row>
    <row r="27" ht="15" spans="1:14">
      <c r="A27" s="3625" t="s">
        <v>502</v>
      </c>
      <c r="B27" s="3626">
        <v>1998</v>
      </c>
      <c r="C27" s="1080"/>
      <c r="D27" s="3627" t="s">
        <v>503</v>
      </c>
      <c r="E27" s="3628">
        <f ca="1">IF(D27="利息：取LPR",存贷款利率!G1,存贷款利率!G1+F27)</f>
        <v>0.0558</v>
      </c>
      <c r="F27" s="3629">
        <v>0.005</v>
      </c>
      <c r="G27" s="3563"/>
      <c r="H27" s="3563"/>
      <c r="K27" s="1080"/>
      <c r="N27" s="1080"/>
    </row>
    <row r="28" ht="15" spans="1:14">
      <c r="A28" s="2230"/>
      <c r="B28" s="2230"/>
      <c r="D28" s="3591" t="s">
        <v>504</v>
      </c>
      <c r="E28" s="3630">
        <v>0.1</v>
      </c>
      <c r="G28" s="3563"/>
      <c r="H28" s="3563"/>
      <c r="K28" s="1080"/>
      <c r="N28" s="1080"/>
    </row>
    <row r="29" ht="14.25" spans="1:14">
      <c r="A29" s="3631" t="s">
        <v>505</v>
      </c>
      <c r="B29" s="3632" t="s">
        <v>506</v>
      </c>
      <c r="D29" s="3594" t="s">
        <v>507</v>
      </c>
      <c r="E29" s="3633">
        <f>E30+E31</f>
        <v>0.056</v>
      </c>
      <c r="F29" s="923"/>
      <c r="G29" s="3563"/>
      <c r="H29" s="3563"/>
      <c r="K29" s="1080"/>
      <c r="N29" s="1080"/>
    </row>
    <row r="30" ht="14.25" spans="1:14">
      <c r="A30" s="3585" t="str">
        <f>IF(B29="租赁期内按合同租金","合同租金","市场租金")</f>
        <v>市场租金</v>
      </c>
      <c r="B30" s="3634"/>
      <c r="D30" s="3598" t="s">
        <v>508</v>
      </c>
      <c r="E30" s="3635">
        <v>0.05</v>
      </c>
      <c r="F30" s="3636">
        <f>IF(B2&lt;DATE(2016,5,1),0,E30)</f>
        <v>0</v>
      </c>
      <c r="G30" s="3563"/>
      <c r="H30" s="3563"/>
      <c r="K30" s="1080"/>
      <c r="N30" s="1080"/>
    </row>
    <row r="31" ht="14.25" spans="1:14">
      <c r="A31" s="3585" t="s">
        <v>509</v>
      </c>
      <c r="B31" s="3637">
        <f ca="1">存贷款利率!I1</f>
        <v>0.0225</v>
      </c>
      <c r="D31" s="3598" t="s">
        <v>510</v>
      </c>
      <c r="E31" s="3638">
        <f>E30*(E32+E33+E34)+E35</f>
        <v>0.006</v>
      </c>
      <c r="F31" s="923"/>
      <c r="G31" s="3563"/>
      <c r="H31" s="3563"/>
      <c r="K31" s="1080"/>
      <c r="N31" s="1080"/>
    </row>
    <row r="32" ht="14.25" spans="1:14">
      <c r="A32" s="3585" t="s">
        <v>511</v>
      </c>
      <c r="B32" s="3596"/>
      <c r="D32" s="3598" t="s">
        <v>512</v>
      </c>
      <c r="E32" s="3639">
        <v>0.07</v>
      </c>
      <c r="F32" s="3613" t="s">
        <v>513</v>
      </c>
      <c r="G32" s="3563"/>
      <c r="H32" s="3563"/>
      <c r="K32" s="1080"/>
      <c r="L32" s="1080"/>
      <c r="M32" s="1080"/>
      <c r="N32" s="1080"/>
    </row>
    <row r="33" ht="14.25" spans="1:14">
      <c r="A33" s="3585" t="s">
        <v>514</v>
      </c>
      <c r="B33" s="3596"/>
      <c r="D33" s="3598" t="s">
        <v>515</v>
      </c>
      <c r="E33" s="3635">
        <v>0.03</v>
      </c>
      <c r="F33" s="3640" t="s">
        <v>516</v>
      </c>
      <c r="G33" s="3563"/>
      <c r="H33" s="3563"/>
      <c r="K33" s="1080"/>
      <c r="L33" s="1080"/>
      <c r="M33" s="1080"/>
      <c r="N33" s="1080"/>
    </row>
    <row r="34" s="3477" customFormat="1" ht="14.25" spans="1:14">
      <c r="A34" s="3585" t="s">
        <v>517</v>
      </c>
      <c r="B34" s="3641">
        <f>收益法!J54</f>
        <v>62</v>
      </c>
      <c r="D34" s="3598" t="s">
        <v>518</v>
      </c>
      <c r="E34" s="3635">
        <v>0.02</v>
      </c>
      <c r="F34" s="3640" t="s">
        <v>519</v>
      </c>
      <c r="G34" s="3563"/>
      <c r="H34" s="3563"/>
      <c r="I34" s="1080"/>
      <c r="J34" s="1080"/>
      <c r="K34" s="1080"/>
      <c r="L34" s="1080"/>
      <c r="M34" s="1080"/>
      <c r="N34" s="1080"/>
    </row>
    <row r="35" s="3477" customFormat="1" ht="15" spans="1:14">
      <c r="A35" s="3598" t="str">
        <f>IF(B29="租赁期内按合同租金","剩余租赁期","——")</f>
        <v>——</v>
      </c>
      <c r="B35" s="3642"/>
      <c r="D35" s="3591" t="s">
        <v>520</v>
      </c>
      <c r="E35" s="3643"/>
      <c r="F35" s="3584" t="s">
        <v>467</v>
      </c>
      <c r="G35" s="3563"/>
      <c r="H35" s="3563"/>
      <c r="I35" s="1080"/>
      <c r="J35" s="1080"/>
      <c r="K35" s="1080"/>
      <c r="L35" s="1080"/>
      <c r="M35" s="1080"/>
      <c r="N35" s="1080"/>
    </row>
    <row r="36" s="3477" customFormat="1" ht="14.25" spans="1:14">
      <c r="A36" s="3644" t="s">
        <v>521</v>
      </c>
      <c r="B36" s="3645"/>
      <c r="D36" s="3646" t="s">
        <v>522</v>
      </c>
      <c r="E36" s="3647">
        <v>0.03</v>
      </c>
      <c r="F36" s="3074" t="s">
        <v>523</v>
      </c>
      <c r="G36" s="3563"/>
      <c r="H36" s="3563"/>
      <c r="I36" s="1080"/>
      <c r="J36" s="1080"/>
      <c r="K36" s="1080"/>
      <c r="L36" s="1080"/>
      <c r="M36" s="1080"/>
      <c r="N36" s="1080"/>
    </row>
    <row r="37" s="3477" customFormat="1" ht="15" spans="1:14">
      <c r="A37" s="3594" t="str">
        <f>IF(B29="租赁期内按合同租金","租金","——")</f>
        <v>——</v>
      </c>
      <c r="B37" s="3648"/>
      <c r="D37" s="3598" t="s">
        <v>524</v>
      </c>
      <c r="E37" s="3635">
        <v>0.0005</v>
      </c>
      <c r="F37" s="3074" t="s">
        <v>525</v>
      </c>
      <c r="G37" s="3563"/>
      <c r="H37" s="3563"/>
      <c r="I37" s="1080"/>
      <c r="J37" s="1080"/>
      <c r="K37" s="1080"/>
      <c r="L37" s="1080"/>
      <c r="M37" s="1080"/>
      <c r="N37" s="1080"/>
    </row>
    <row r="38" s="3477" customFormat="1" ht="14.25" spans="1:14">
      <c r="A38" s="3585" t="str">
        <f>IF(B29="租赁期内按合同租金","年租金增长率","——")</f>
        <v>——</v>
      </c>
      <c r="B38" s="3596"/>
      <c r="D38" s="3649" t="s">
        <v>526</v>
      </c>
      <c r="E38" s="3650">
        <v>0.012</v>
      </c>
      <c r="F38" s="3074"/>
      <c r="G38" s="3556"/>
      <c r="H38" s="3556"/>
      <c r="I38" s="3563"/>
      <c r="J38" s="1080"/>
      <c r="K38" s="1080"/>
      <c r="L38" s="1080"/>
      <c r="M38" s="1080"/>
      <c r="N38" s="1080"/>
    </row>
    <row r="39" s="3477" customFormat="1" ht="15" spans="1:14">
      <c r="A39" s="3585" t="str">
        <f>IF(B29="租赁期内按合同租金","空置率","——")</f>
        <v>——</v>
      </c>
      <c r="B39" s="3596"/>
      <c r="D39" s="3591" t="s">
        <v>527</v>
      </c>
      <c r="E39" s="3651">
        <v>0.12</v>
      </c>
      <c r="F39" s="3074"/>
      <c r="G39" s="3563"/>
      <c r="H39" s="3563"/>
      <c r="I39" s="1080"/>
      <c r="J39" s="1080"/>
      <c r="K39" s="1080"/>
      <c r="L39" s="1080"/>
      <c r="M39" s="1080"/>
      <c r="N39" s="1080"/>
    </row>
    <row r="40" ht="14.25" spans="1:14">
      <c r="A40" s="3585" t="str">
        <f>IF(B29="租赁期内按合同租金","成新率","——")</f>
        <v>——</v>
      </c>
      <c r="B40" s="3596"/>
      <c r="D40" s="3649" t="s">
        <v>528</v>
      </c>
      <c r="E40" s="3652">
        <f>SUMIF(D42:D51,E41,E42:E51)</f>
        <v>0</v>
      </c>
      <c r="F40" s="3074"/>
      <c r="G40" s="3563"/>
      <c r="H40" s="3563"/>
      <c r="I40" s="1080"/>
      <c r="J40" s="1080"/>
      <c r="K40" s="1080"/>
      <c r="L40" s="1080"/>
      <c r="M40" s="1080"/>
      <c r="N40" s="1080"/>
    </row>
    <row r="41" ht="15" spans="1:14">
      <c r="A41" s="3598" t="str">
        <f>IF(B29="租赁期内按合同租金","租赁期外收益期","——")</f>
        <v>——</v>
      </c>
      <c r="B41" s="3653" t="str">
        <f>IF(B29="租赁期内按合同租金",B34-B35,"——")</f>
        <v>——</v>
      </c>
      <c r="D41" s="3585" t="s">
        <v>529</v>
      </c>
      <c r="E41" s="3654"/>
      <c r="F41" s="3074" t="s">
        <v>530</v>
      </c>
      <c r="G41" s="1082" t="s">
        <v>531</v>
      </c>
      <c r="H41" s="3563"/>
      <c r="I41" s="1080"/>
      <c r="J41" s="1080"/>
      <c r="K41" s="1080"/>
      <c r="L41" s="1080"/>
      <c r="M41" s="1080"/>
      <c r="N41" s="1080"/>
    </row>
    <row r="42" ht="14.25" spans="1:14">
      <c r="A42" s="3582" t="s">
        <v>532</v>
      </c>
      <c r="B42" s="3655"/>
      <c r="D42" s="3656" t="s">
        <v>533</v>
      </c>
      <c r="E42" s="3634"/>
      <c r="F42" s="3074">
        <v>30</v>
      </c>
      <c r="G42" s="3563"/>
      <c r="H42" s="3563"/>
      <c r="I42" s="1080"/>
      <c r="J42" s="1080"/>
      <c r="K42" s="1080"/>
      <c r="L42" s="1080"/>
      <c r="M42" s="1080"/>
      <c r="N42" s="1080"/>
    </row>
    <row r="43" ht="14.25" spans="1:14">
      <c r="A43" s="3585" t="s">
        <v>534</v>
      </c>
      <c r="B43" s="3657"/>
      <c r="D43" s="3656" t="s">
        <v>535</v>
      </c>
      <c r="E43" s="3634"/>
      <c r="F43" s="3074">
        <v>24</v>
      </c>
      <c r="G43" s="3563"/>
      <c r="H43" s="3563"/>
      <c r="I43" s="1080"/>
      <c r="J43" s="1080"/>
      <c r="K43" s="1080"/>
      <c r="L43" s="1080"/>
      <c r="M43" s="1080"/>
      <c r="N43" s="1080"/>
    </row>
    <row r="44" ht="14.25" spans="1:14">
      <c r="A44" s="3585" t="s">
        <v>536</v>
      </c>
      <c r="B44" s="3634"/>
      <c r="D44" s="3656" t="s">
        <v>537</v>
      </c>
      <c r="E44" s="3634"/>
      <c r="F44" s="3074">
        <v>18</v>
      </c>
      <c r="G44" s="3477"/>
      <c r="H44" s="3477"/>
      <c r="I44" s="3563"/>
      <c r="J44" s="1080"/>
      <c r="K44" s="1080"/>
      <c r="L44" s="1080"/>
      <c r="M44" s="1080"/>
      <c r="N44" s="1080"/>
    </row>
    <row r="45" ht="14.25" spans="1:14">
      <c r="A45" s="3585" t="s">
        <v>538</v>
      </c>
      <c r="B45" s="3658"/>
      <c r="C45" s="3018" t="s">
        <v>539</v>
      </c>
      <c r="D45" s="3656" t="s">
        <v>540</v>
      </c>
      <c r="E45" s="3634"/>
      <c r="F45" s="3074">
        <v>12</v>
      </c>
      <c r="G45" s="3477"/>
      <c r="H45" s="3477"/>
      <c r="M45" s="1080"/>
      <c r="N45" s="1080"/>
    </row>
    <row r="46" ht="14.25" spans="1:14">
      <c r="A46" s="3585" t="s">
        <v>541</v>
      </c>
      <c r="B46" s="3659"/>
      <c r="C46" s="3018" t="s">
        <v>542</v>
      </c>
      <c r="D46" s="3656" t="s">
        <v>264</v>
      </c>
      <c r="E46" s="3634"/>
      <c r="F46" s="3074">
        <v>3</v>
      </c>
      <c r="G46" s="3477"/>
      <c r="H46" s="3477"/>
      <c r="M46" s="1080"/>
      <c r="N46" s="1080"/>
    </row>
    <row r="47" ht="15" spans="1:14">
      <c r="A47" s="3591" t="s">
        <v>543</v>
      </c>
      <c r="B47" s="3660"/>
      <c r="C47" s="3018" t="s">
        <v>544</v>
      </c>
      <c r="D47" s="3656" t="s">
        <v>545</v>
      </c>
      <c r="E47" s="3634"/>
      <c r="F47" s="3074">
        <v>1.5</v>
      </c>
      <c r="G47" s="3477"/>
      <c r="H47" s="3477"/>
      <c r="M47" s="1080"/>
      <c r="N47" s="1080"/>
    </row>
    <row r="48" ht="14.25" spans="1:14">
      <c r="A48" s="3477"/>
      <c r="B48" s="3477"/>
      <c r="D48" s="3656" t="s">
        <v>546</v>
      </c>
      <c r="E48" s="3634"/>
      <c r="F48" s="3074"/>
      <c r="G48" s="3477"/>
      <c r="H48" s="3477"/>
      <c r="M48" s="1080"/>
      <c r="N48" s="1080"/>
    </row>
    <row r="49" ht="14.25" spans="1:14">
      <c r="A49" s="3477"/>
      <c r="B49" s="3477"/>
      <c r="D49" s="3656" t="s">
        <v>547</v>
      </c>
      <c r="E49" s="3634"/>
      <c r="F49" s="3074"/>
      <c r="G49" s="3477"/>
      <c r="H49" s="3477"/>
      <c r="M49" s="1080"/>
      <c r="N49" s="1080"/>
    </row>
    <row r="50" ht="14.25" spans="1:14">
      <c r="A50" s="3477"/>
      <c r="B50" s="3477"/>
      <c r="D50" s="3656" t="s">
        <v>548</v>
      </c>
      <c r="E50" s="3634"/>
      <c r="F50" s="3074"/>
      <c r="G50" s="3477"/>
      <c r="H50" s="3477"/>
      <c r="M50" s="1080"/>
      <c r="N50" s="1080"/>
    </row>
    <row r="51" s="2230" customFormat="1" ht="15" spans="1:41">
      <c r="A51" s="3477"/>
      <c r="B51" s="3477"/>
      <c r="C51" s="3477"/>
      <c r="D51" s="3661" t="s">
        <v>549</v>
      </c>
      <c r="E51" s="3662"/>
      <c r="F51" s="3074"/>
      <c r="G51" s="3477"/>
      <c r="H51" s="3477"/>
      <c r="I51" s="3477"/>
      <c r="J51" s="3477"/>
      <c r="K51" s="3477"/>
      <c r="L51" s="3477"/>
      <c r="M51" s="1080"/>
      <c r="N51" s="1080"/>
      <c r="O51" s="3477"/>
      <c r="P51" s="3477"/>
      <c r="Q51" s="3477"/>
      <c r="R51" s="3477"/>
      <c r="S51" s="3477"/>
      <c r="T51" s="3477"/>
      <c r="U51" s="3477"/>
      <c r="V51" s="3477"/>
      <c r="W51" s="3477"/>
      <c r="X51" s="3477"/>
      <c r="Y51" s="3477"/>
      <c r="Z51" s="3477"/>
      <c r="AA51" s="3477"/>
      <c r="AB51" s="3477"/>
      <c r="AC51" s="3477"/>
      <c r="AD51" s="3477"/>
      <c r="AE51" s="3477"/>
      <c r="AF51" s="3477"/>
      <c r="AG51" s="3477"/>
      <c r="AH51" s="3477"/>
      <c r="AI51" s="3477"/>
      <c r="AJ51" s="3477"/>
      <c r="AK51" s="3477"/>
      <c r="AL51" s="3477"/>
      <c r="AM51" s="3477"/>
      <c r="AN51" s="3477"/>
      <c r="AO51" s="3477"/>
    </row>
    <row r="52" s="3477" customFormat="1" ht="14.25" spans="4:14">
      <c r="D52" s="3563"/>
      <c r="E52" s="3563"/>
      <c r="F52" s="3563"/>
      <c r="G52" s="3563"/>
      <c r="H52" s="3563"/>
      <c r="I52" s="1080"/>
      <c r="J52" s="1080"/>
      <c r="K52" s="1080"/>
      <c r="L52" s="1080"/>
      <c r="M52" s="1080"/>
      <c r="N52" s="1080"/>
    </row>
    <row r="53" s="3477" customFormat="1" ht="14.25" spans="4:14">
      <c r="D53" s="3563"/>
      <c r="E53" s="3563"/>
      <c r="F53" s="3563"/>
      <c r="G53" s="3563"/>
      <c r="H53" s="3563"/>
      <c r="I53" s="1080"/>
      <c r="J53" s="1080"/>
      <c r="K53" s="1080"/>
      <c r="L53" s="1080"/>
      <c r="M53" s="1080"/>
      <c r="N53" s="1080"/>
    </row>
    <row r="54" s="3477" customFormat="1" ht="14.25" spans="4:14">
      <c r="D54" s="3563"/>
      <c r="E54" s="3563"/>
      <c r="F54" s="3563"/>
      <c r="G54" s="3563"/>
      <c r="H54" s="3563"/>
      <c r="I54" s="1080"/>
      <c r="J54" s="1080"/>
      <c r="K54" s="1080"/>
      <c r="L54" s="1080"/>
      <c r="M54" s="1080"/>
      <c r="N54" s="1080"/>
    </row>
    <row r="55" s="3477" customFormat="1" ht="14.25" spans="4:14">
      <c r="D55" s="3563"/>
      <c r="E55" s="3563"/>
      <c r="F55" s="3563"/>
      <c r="G55" s="3563"/>
      <c r="H55" s="3563"/>
      <c r="I55" s="1080"/>
      <c r="J55" s="1080"/>
      <c r="K55" s="1080"/>
      <c r="L55" s="1080"/>
      <c r="M55" s="1080"/>
      <c r="N55" s="1080"/>
    </row>
    <row r="56" s="3477" customFormat="1" ht="14.25" spans="4:14">
      <c r="D56" s="3563"/>
      <c r="E56" s="3563"/>
      <c r="F56" s="3563"/>
      <c r="G56" s="3563"/>
      <c r="H56" s="3563"/>
      <c r="I56" s="1080"/>
      <c r="J56" s="1080"/>
      <c r="K56" s="1080"/>
      <c r="L56" s="1080"/>
      <c r="M56" s="1080"/>
      <c r="N56" s="1080"/>
    </row>
    <row r="57" s="3477" customFormat="1" ht="14.25" spans="4:14">
      <c r="D57" s="3563"/>
      <c r="E57" s="3563"/>
      <c r="F57" s="3563"/>
      <c r="G57" s="3563"/>
      <c r="H57" s="3563"/>
      <c r="I57" s="1080"/>
      <c r="J57" s="1080"/>
      <c r="K57" s="1080"/>
      <c r="L57" s="1080"/>
      <c r="M57" s="1080"/>
      <c r="N57" s="1080"/>
    </row>
    <row r="58" s="3477" customFormat="1" ht="14.25" spans="4:14">
      <c r="D58" s="3563"/>
      <c r="E58" s="3563"/>
      <c r="F58" s="3563"/>
      <c r="G58" s="3563"/>
      <c r="H58" s="3563"/>
      <c r="I58" s="1080"/>
      <c r="J58" s="1080"/>
      <c r="K58" s="1080"/>
      <c r="L58" s="1080"/>
      <c r="M58" s="1080"/>
      <c r="N58" s="1080"/>
    </row>
    <row r="59" s="3477" customFormat="1" ht="14.25" spans="4:14">
      <c r="D59" s="3563"/>
      <c r="E59" s="3563"/>
      <c r="F59" s="3563"/>
      <c r="G59" s="3563"/>
      <c r="H59" s="3563"/>
      <c r="I59" s="1080"/>
      <c r="J59" s="1080"/>
      <c r="K59" s="1080"/>
      <c r="L59" s="1080"/>
      <c r="M59" s="1241"/>
      <c r="N59" s="1080"/>
    </row>
    <row r="60" s="3477" customFormat="1" ht="14.25" spans="4:14">
      <c r="D60" s="3563"/>
      <c r="E60" s="3563"/>
      <c r="F60" s="3563"/>
      <c r="G60" s="3563"/>
      <c r="H60" s="3563"/>
      <c r="I60" s="1080"/>
      <c r="J60" s="1080"/>
      <c r="K60" s="1080"/>
      <c r="L60" s="1080"/>
      <c r="M60" s="1080"/>
      <c r="N60" s="1080"/>
    </row>
    <row r="61" s="3477" customFormat="1" ht="14.25" spans="4:14">
      <c r="D61" s="3563"/>
      <c r="E61" s="3563"/>
      <c r="F61" s="3563"/>
      <c r="G61" s="3563"/>
      <c r="H61" s="3563"/>
      <c r="I61" s="1080"/>
      <c r="J61" s="1080"/>
      <c r="K61" s="1080"/>
      <c r="L61" s="1080"/>
      <c r="M61" s="1080"/>
      <c r="N61" s="1080"/>
    </row>
    <row r="62" s="3477" customFormat="1" ht="14.25" spans="4:14">
      <c r="D62" s="3563"/>
      <c r="E62" s="3563"/>
      <c r="F62" s="3563"/>
      <c r="G62" s="3563"/>
      <c r="H62" s="3563"/>
      <c r="I62" s="1080"/>
      <c r="J62" s="1080"/>
      <c r="K62" s="1080"/>
      <c r="L62" s="1080"/>
      <c r="M62" s="1080"/>
      <c r="N62" s="1080"/>
    </row>
    <row r="63" s="3477" customFormat="1" ht="14.25" spans="4:14">
      <c r="D63" s="3563"/>
      <c r="E63" s="3563"/>
      <c r="F63" s="3563"/>
      <c r="G63" s="3563"/>
      <c r="H63" s="3563"/>
      <c r="I63" s="1080"/>
      <c r="J63" s="1080"/>
      <c r="K63" s="1080"/>
      <c r="L63" s="1080"/>
      <c r="M63" s="1080"/>
      <c r="N63" s="1080"/>
    </row>
    <row r="64" s="3477" customFormat="1" ht="14.25" spans="4:14">
      <c r="D64" s="3563"/>
      <c r="E64" s="3563"/>
      <c r="F64" s="3563"/>
      <c r="G64" s="3563"/>
      <c r="H64" s="3563"/>
      <c r="I64" s="1080"/>
      <c r="J64" s="1080"/>
      <c r="K64" s="1080"/>
      <c r="L64" s="1080"/>
      <c r="M64" s="1080"/>
      <c r="N64" s="1080"/>
    </row>
    <row r="65" s="3477" customFormat="1" ht="14.25" spans="4:14">
      <c r="D65" s="3563"/>
      <c r="E65" s="3563"/>
      <c r="F65" s="3563"/>
      <c r="G65" s="3563"/>
      <c r="H65" s="3563"/>
      <c r="I65" s="1080"/>
      <c r="J65" s="1080"/>
      <c r="K65" s="1080"/>
      <c r="L65" s="1080"/>
      <c r="M65" s="1080"/>
      <c r="N65" s="1080"/>
    </row>
    <row r="66" s="3477" customFormat="1" ht="14.25" spans="4:14">
      <c r="D66" s="3563"/>
      <c r="E66" s="3563"/>
      <c r="F66" s="3563"/>
      <c r="G66" s="3563"/>
      <c r="H66" s="3563"/>
      <c r="I66" s="1080"/>
      <c r="J66" s="1080"/>
      <c r="K66" s="1080"/>
      <c r="L66" s="1080"/>
      <c r="M66" s="1080"/>
      <c r="N66" s="1080"/>
    </row>
    <row r="67" s="3477" customFormat="1" ht="14.25" spans="1:14">
      <c r="A67" s="3663"/>
      <c r="D67" s="3563"/>
      <c r="E67" s="3563"/>
      <c r="F67" s="3563"/>
      <c r="G67" s="3563"/>
      <c r="H67" s="3563"/>
      <c r="I67" s="1080"/>
      <c r="J67" s="1080"/>
      <c r="K67" s="1080"/>
      <c r="L67" s="1080"/>
      <c r="M67" s="1080"/>
      <c r="N67" s="1080"/>
    </row>
    <row r="68" s="3477" customFormat="1" ht="14.25" spans="1:8">
      <c r="A68" s="3663"/>
      <c r="D68" s="3563"/>
      <c r="E68" s="3563"/>
      <c r="F68" s="3563"/>
      <c r="G68" s="3556"/>
      <c r="H68" s="3556"/>
    </row>
    <row r="69" s="3477" customFormat="1" spans="1:8">
      <c r="A69" s="3663"/>
      <c r="D69" s="3556"/>
      <c r="E69" s="3556"/>
      <c r="F69" s="3556"/>
      <c r="G69" s="3556"/>
      <c r="H69" s="3556"/>
    </row>
    <row r="70" s="3477" customFormat="1" spans="1:8">
      <c r="A70" s="3663"/>
      <c r="D70" s="3556"/>
      <c r="E70" s="3556"/>
      <c r="F70" s="3556"/>
      <c r="G70" s="3556"/>
      <c r="H70" s="3556"/>
    </row>
    <row r="71" s="3477" customFormat="1" spans="1:8">
      <c r="A71" s="3663"/>
      <c r="D71" s="3556"/>
      <c r="E71" s="3556"/>
      <c r="F71" s="3556"/>
      <c r="G71" s="3556"/>
      <c r="H71" s="3556"/>
    </row>
    <row r="72" s="3477" customFormat="1" spans="1:8">
      <c r="A72" s="3663"/>
      <c r="D72" s="3556"/>
      <c r="E72" s="3556"/>
      <c r="F72" s="3556"/>
      <c r="G72" s="3556"/>
      <c r="H72" s="3556"/>
    </row>
    <row r="73" s="3477" customFormat="1" spans="1:8">
      <c r="A73" s="3663"/>
      <c r="D73" s="3556"/>
      <c r="E73" s="3556"/>
      <c r="F73" s="3556"/>
      <c r="G73" s="3556"/>
      <c r="H73" s="3556"/>
    </row>
    <row r="74" s="3477" customFormat="1" spans="1:8">
      <c r="A74" s="3663"/>
      <c r="D74" s="3556"/>
      <c r="E74" s="3556"/>
      <c r="F74" s="3556"/>
      <c r="G74" s="3556"/>
      <c r="H74" s="3556"/>
    </row>
    <row r="75" s="3477" customFormat="1" spans="1:8">
      <c r="A75" s="3663"/>
      <c r="D75" s="3556"/>
      <c r="E75" s="3556"/>
      <c r="F75" s="3556"/>
      <c r="G75" s="3556"/>
      <c r="H75" s="3556"/>
    </row>
    <row r="76" s="3477" customFormat="1" spans="1:8">
      <c r="A76" s="3663"/>
      <c r="D76" s="3556"/>
      <c r="E76" s="3556"/>
      <c r="F76" s="3556"/>
      <c r="G76" s="3556"/>
      <c r="H76" s="3556"/>
    </row>
    <row r="77" s="3477" customFormat="1" spans="1:8">
      <c r="A77" s="3663"/>
      <c r="D77" s="3556"/>
      <c r="E77" s="3556"/>
      <c r="F77" s="3556"/>
      <c r="G77" s="3556"/>
      <c r="H77" s="3556"/>
    </row>
    <row r="78" s="3477" customFormat="1" spans="1:8">
      <c r="A78" s="3663"/>
      <c r="D78" s="3556"/>
      <c r="E78" s="3556"/>
      <c r="F78" s="3556"/>
      <c r="G78" s="3556"/>
      <c r="H78" s="3556"/>
    </row>
    <row r="79" s="3477" customFormat="1" spans="1:8">
      <c r="A79" s="3663"/>
      <c r="D79" s="3556"/>
      <c r="E79" s="3556"/>
      <c r="F79" s="3556"/>
      <c r="G79" s="3556"/>
      <c r="H79" s="3556"/>
    </row>
    <row r="80" s="3477" customFormat="1" spans="1:8">
      <c r="A80" s="3663"/>
      <c r="D80" s="3556"/>
      <c r="E80" s="3556"/>
      <c r="F80" s="3556"/>
      <c r="G80" s="3556"/>
      <c r="H80" s="3556"/>
    </row>
    <row r="81" s="3477" customFormat="1" spans="1:8">
      <c r="A81" s="3663"/>
      <c r="D81" s="3556"/>
      <c r="E81" s="3556"/>
      <c r="F81" s="3556"/>
      <c r="G81" s="3556"/>
      <c r="H81" s="3556"/>
    </row>
    <row r="82" s="3477" customFormat="1" spans="1:8">
      <c r="A82" s="3663"/>
      <c r="D82" s="3556"/>
      <c r="E82" s="3556"/>
      <c r="F82" s="3556"/>
      <c r="G82" s="3556"/>
      <c r="H82" s="3556"/>
    </row>
    <row r="83" s="3477" customFormat="1" spans="1:8">
      <c r="A83" s="3663"/>
      <c r="D83" s="3556"/>
      <c r="E83" s="3556"/>
      <c r="F83" s="3556"/>
      <c r="G83" s="3556"/>
      <c r="H83" s="3556"/>
    </row>
    <row r="84" s="3477" customFormat="1" spans="1:8">
      <c r="A84" s="3663"/>
      <c r="D84" s="3556"/>
      <c r="E84" s="3556"/>
      <c r="F84" s="3556"/>
      <c r="G84" s="3556"/>
      <c r="H84" s="3556"/>
    </row>
    <row r="85" s="3477" customFormat="1" spans="1:8">
      <c r="A85" s="3663"/>
      <c r="D85" s="3556"/>
      <c r="E85" s="3556"/>
      <c r="F85" s="3556"/>
      <c r="G85" s="3556"/>
      <c r="H85" s="3556"/>
    </row>
    <row r="86" s="3477" customFormat="1" spans="1:8">
      <c r="A86" s="3663"/>
      <c r="D86" s="3556"/>
      <c r="E86" s="3556"/>
      <c r="F86" s="3556"/>
      <c r="G86" s="3556"/>
      <c r="H86" s="3556"/>
    </row>
    <row r="87" s="3477" customFormat="1" spans="1:8">
      <c r="A87" s="3663"/>
      <c r="D87" s="3556"/>
      <c r="E87" s="3556"/>
      <c r="F87" s="3556"/>
      <c r="G87" s="3556"/>
      <c r="H87" s="3556"/>
    </row>
    <row r="88" s="3477" customFormat="1" spans="1:8">
      <c r="A88" s="3663"/>
      <c r="D88" s="3556"/>
      <c r="E88" s="3556"/>
      <c r="F88" s="3556"/>
      <c r="G88" s="3556"/>
      <c r="H88" s="3556"/>
    </row>
    <row r="89" s="3477" customFormat="1" spans="1:8">
      <c r="A89" s="3663"/>
      <c r="D89" s="3556"/>
      <c r="E89" s="3556"/>
      <c r="F89" s="3556"/>
      <c r="G89" s="3556"/>
      <c r="H89" s="3556"/>
    </row>
    <row r="90" s="3477" customFormat="1" spans="1:8">
      <c r="A90" s="3663"/>
      <c r="D90" s="3556"/>
      <c r="E90" s="3556"/>
      <c r="F90" s="3556"/>
      <c r="G90" s="3556"/>
      <c r="H90" s="3556"/>
    </row>
    <row r="91" s="3477" customFormat="1" spans="1:8">
      <c r="A91" s="3663"/>
      <c r="D91" s="3556"/>
      <c r="E91" s="3556"/>
      <c r="F91" s="3556"/>
      <c r="G91" s="3556"/>
      <c r="H91" s="3556"/>
    </row>
    <row r="92" s="3477" customFormat="1" spans="1:8">
      <c r="A92" s="3663"/>
      <c r="D92" s="3556"/>
      <c r="E92" s="3556"/>
      <c r="F92" s="3556"/>
      <c r="G92" s="3556"/>
      <c r="H92" s="3556"/>
    </row>
    <row r="93" s="3477" customFormat="1" spans="1:8">
      <c r="A93" s="3663"/>
      <c r="D93" s="3556"/>
      <c r="E93" s="3556"/>
      <c r="F93" s="3556"/>
      <c r="G93" s="3556"/>
      <c r="H93" s="3556"/>
    </row>
    <row r="94" s="3477" customFormat="1" spans="1:8">
      <c r="A94" s="3663"/>
      <c r="D94" s="3556"/>
      <c r="E94" s="3556"/>
      <c r="F94" s="3556"/>
      <c r="G94" s="3556"/>
      <c r="H94" s="3556"/>
    </row>
    <row r="95" s="3477" customFormat="1" spans="1:8">
      <c r="A95" s="3663"/>
      <c r="D95" s="3556"/>
      <c r="E95" s="3556"/>
      <c r="F95" s="3556"/>
      <c r="G95" s="3556"/>
      <c r="H95" s="3556"/>
    </row>
    <row r="96" s="3477" customFormat="1" spans="1:8">
      <c r="A96" s="3663"/>
      <c r="D96" s="3556"/>
      <c r="E96" s="3556"/>
      <c r="F96" s="3556"/>
      <c r="G96" s="3556"/>
      <c r="H96" s="3556"/>
    </row>
    <row r="97" s="3477" customFormat="1" spans="1:8">
      <c r="A97" s="3663"/>
      <c r="D97" s="3556"/>
      <c r="E97" s="3556"/>
      <c r="F97" s="3556"/>
      <c r="G97" s="3556"/>
      <c r="H97" s="3556"/>
    </row>
    <row r="98" s="3477" customFormat="1" spans="1:8">
      <c r="A98" s="3663"/>
      <c r="D98" s="3556"/>
      <c r="E98" s="3556"/>
      <c r="F98" s="3556"/>
      <c r="G98" s="3556"/>
      <c r="H98" s="3556"/>
    </row>
    <row r="99" s="3477" customFormat="1" spans="1:8">
      <c r="A99" s="3663"/>
      <c r="D99" s="3556"/>
      <c r="E99" s="3556"/>
      <c r="F99" s="3556"/>
      <c r="G99" s="3556"/>
      <c r="H99" s="3556"/>
    </row>
    <row r="100" s="3477" customFormat="1" spans="1:8">
      <c r="A100" s="3663"/>
      <c r="D100" s="3556"/>
      <c r="E100" s="3556"/>
      <c r="F100" s="3556"/>
      <c r="G100" s="3556"/>
      <c r="H100" s="3556"/>
    </row>
    <row r="101" s="3477" customFormat="1" spans="1:8">
      <c r="A101" s="3663"/>
      <c r="D101" s="3556"/>
      <c r="E101" s="3556"/>
      <c r="F101" s="3556"/>
      <c r="G101" s="3556"/>
      <c r="H101" s="3556"/>
    </row>
    <row r="102" s="3477" customFormat="1" spans="1:8">
      <c r="A102" s="3663"/>
      <c r="D102" s="3556"/>
      <c r="E102" s="3556"/>
      <c r="F102" s="3556"/>
      <c r="G102" s="3556"/>
      <c r="H102" s="3556"/>
    </row>
    <row r="103" s="3477" customFormat="1" spans="1:8">
      <c r="A103" s="3663"/>
      <c r="D103" s="3556"/>
      <c r="E103" s="3556"/>
      <c r="F103" s="3556"/>
      <c r="G103" s="3556"/>
      <c r="H103" s="3556"/>
    </row>
    <row r="104" s="3477" customFormat="1" spans="1:8">
      <c r="A104" s="3663"/>
      <c r="D104" s="3556"/>
      <c r="E104" s="3556"/>
      <c r="F104" s="3556"/>
      <c r="G104" s="3556"/>
      <c r="H104" s="3556"/>
    </row>
    <row r="105" s="3477" customFormat="1" spans="1:8">
      <c r="A105" s="3663"/>
      <c r="D105" s="3556"/>
      <c r="E105" s="3556"/>
      <c r="F105" s="3556"/>
      <c r="G105" s="3556"/>
      <c r="H105" s="3556"/>
    </row>
    <row r="106" s="3477" customFormat="1" spans="1:8">
      <c r="A106" s="3663"/>
      <c r="D106" s="3556"/>
      <c r="E106" s="3556"/>
      <c r="F106" s="3556"/>
      <c r="G106" s="3556"/>
      <c r="H106" s="3556"/>
    </row>
    <row r="107" s="3477" customFormat="1" spans="1:8">
      <c r="A107" s="3663"/>
      <c r="D107" s="3556"/>
      <c r="E107" s="3556"/>
      <c r="F107" s="3556"/>
      <c r="G107" s="3556"/>
      <c r="H107" s="3556"/>
    </row>
    <row r="108" s="3477" customFormat="1" spans="1:8">
      <c r="A108" s="3663"/>
      <c r="D108" s="3556"/>
      <c r="E108" s="3556"/>
      <c r="F108" s="3556"/>
      <c r="G108" s="3556"/>
      <c r="H108" s="3556"/>
    </row>
    <row r="109" s="3477" customFormat="1" spans="1:8">
      <c r="A109" s="3663"/>
      <c r="D109" s="3556"/>
      <c r="E109" s="3556"/>
      <c r="F109" s="3556"/>
      <c r="G109" s="3556"/>
      <c r="H109" s="3556"/>
    </row>
    <row r="110" s="3477" customFormat="1" spans="1:8">
      <c r="A110" s="3663"/>
      <c r="D110" s="3556"/>
      <c r="E110" s="3556"/>
      <c r="F110" s="3556"/>
      <c r="G110" s="3556"/>
      <c r="H110" s="3556"/>
    </row>
    <row r="111" s="3477" customFormat="1" spans="1:8">
      <c r="A111" s="3663"/>
      <c r="D111" s="3556"/>
      <c r="E111" s="3556"/>
      <c r="F111" s="3556"/>
      <c r="G111" s="3556"/>
      <c r="H111" s="3556"/>
    </row>
    <row r="112" s="3477" customFormat="1" spans="1:8">
      <c r="A112" s="3663"/>
      <c r="D112" s="3556"/>
      <c r="E112" s="3556"/>
      <c r="F112" s="3556"/>
      <c r="G112" s="3556"/>
      <c r="H112" s="3556"/>
    </row>
    <row r="113" s="3477" customFormat="1" spans="1:8">
      <c r="A113" s="3663"/>
      <c r="D113" s="3556"/>
      <c r="E113" s="3556"/>
      <c r="F113" s="3556"/>
      <c r="G113" s="3556"/>
      <c r="H113" s="3556"/>
    </row>
    <row r="114" s="3477" customFormat="1" spans="1:8">
      <c r="A114" s="3663"/>
      <c r="D114" s="3556"/>
      <c r="E114" s="3556"/>
      <c r="F114" s="3556"/>
      <c r="G114" s="3556"/>
      <c r="H114" s="3556"/>
    </row>
    <row r="115" s="3477" customFormat="1" spans="1:8">
      <c r="A115" s="3663"/>
      <c r="D115" s="3556"/>
      <c r="E115" s="3556"/>
      <c r="F115" s="3556"/>
      <c r="G115" s="3556"/>
      <c r="H115" s="3556"/>
    </row>
    <row r="116" s="3477" customFormat="1" spans="1:8">
      <c r="A116" s="3663"/>
      <c r="D116" s="3556"/>
      <c r="E116" s="3556"/>
      <c r="F116" s="3556"/>
      <c r="G116" s="3556"/>
      <c r="H116" s="3556"/>
    </row>
    <row r="117" s="3477" customFormat="1" spans="1:8">
      <c r="A117" s="3663"/>
      <c r="D117" s="3556"/>
      <c r="E117" s="3556"/>
      <c r="F117" s="3556"/>
      <c r="G117" s="3556"/>
      <c r="H117" s="3556"/>
    </row>
    <row r="118" s="3477" customFormat="1" spans="1:8">
      <c r="A118" s="3663"/>
      <c r="D118" s="3556"/>
      <c r="E118" s="3556"/>
      <c r="F118" s="3556"/>
      <c r="G118" s="3556"/>
      <c r="H118" s="3556"/>
    </row>
    <row r="119" s="3477" customFormat="1" spans="1:8">
      <c r="A119" s="3663"/>
      <c r="D119" s="3556"/>
      <c r="E119" s="3556"/>
      <c r="F119" s="3556"/>
      <c r="G119" s="3556"/>
      <c r="H119" s="3556"/>
    </row>
    <row r="120" s="3477" customFormat="1" spans="1:8">
      <c r="A120" s="3663"/>
      <c r="D120" s="3556"/>
      <c r="E120" s="3556"/>
      <c r="F120" s="3556"/>
      <c r="G120" s="3556"/>
      <c r="H120" s="3556"/>
    </row>
    <row r="121" s="3477" customFormat="1" spans="1:8">
      <c r="A121" s="3663"/>
      <c r="D121" s="3556"/>
      <c r="E121" s="3556"/>
      <c r="F121" s="3556"/>
      <c r="G121" s="3556"/>
      <c r="H121" s="3556"/>
    </row>
    <row r="122" s="3477" customFormat="1" spans="1:8">
      <c r="A122" s="3663"/>
      <c r="D122" s="3556"/>
      <c r="E122" s="3556"/>
      <c r="F122" s="3556"/>
      <c r="G122" s="3556"/>
      <c r="H122" s="3556"/>
    </row>
    <row r="123" s="3477" customFormat="1" spans="1:8">
      <c r="A123" s="3663"/>
      <c r="D123" s="3556"/>
      <c r="E123" s="3556"/>
      <c r="F123" s="3556"/>
      <c r="G123" s="3556"/>
      <c r="H123" s="3556"/>
    </row>
    <row r="124" s="3477" customFormat="1" spans="1:8">
      <c r="A124" s="3663"/>
      <c r="D124" s="3556"/>
      <c r="E124" s="3556"/>
      <c r="F124" s="3556"/>
      <c r="G124" s="3556"/>
      <c r="H124" s="3556"/>
    </row>
    <row r="125" s="3477" customFormat="1" spans="1:8">
      <c r="A125" s="3663"/>
      <c r="D125" s="3556"/>
      <c r="E125" s="3556"/>
      <c r="F125" s="3556"/>
      <c r="G125" s="3556"/>
      <c r="H125" s="3556"/>
    </row>
    <row r="126" s="3477" customFormat="1" spans="1:8">
      <c r="A126" s="3663"/>
      <c r="D126" s="3556"/>
      <c r="E126" s="3556"/>
      <c r="F126" s="3556"/>
      <c r="G126" s="3556"/>
      <c r="H126" s="3556"/>
    </row>
    <row r="127" s="3477" customFormat="1" spans="1:8">
      <c r="A127" s="3663"/>
      <c r="D127" s="3556"/>
      <c r="E127" s="3556"/>
      <c r="F127" s="3556"/>
      <c r="G127" s="3556"/>
      <c r="H127" s="3556"/>
    </row>
    <row r="128" s="3477" customFormat="1" spans="1:8">
      <c r="A128" s="3663"/>
      <c r="D128" s="3556"/>
      <c r="E128" s="3556"/>
      <c r="F128" s="3556"/>
      <c r="G128" s="3556"/>
      <c r="H128" s="3556"/>
    </row>
    <row r="129" s="3477" customFormat="1" spans="1:8">
      <c r="A129" s="3663"/>
      <c r="D129" s="3556"/>
      <c r="E129" s="3556"/>
      <c r="F129" s="3556"/>
      <c r="G129" s="3556"/>
      <c r="H129" s="3556"/>
    </row>
    <row r="130" s="3477" customFormat="1" spans="1:8">
      <c r="A130" s="3663"/>
      <c r="D130" s="3556"/>
      <c r="E130" s="3556"/>
      <c r="F130" s="3556"/>
      <c r="G130" s="3556"/>
      <c r="H130" s="3556"/>
    </row>
    <row r="131" s="3477" customFormat="1" spans="1:8">
      <c r="A131" s="3663"/>
      <c r="D131" s="3556"/>
      <c r="E131" s="3556"/>
      <c r="F131" s="3556"/>
      <c r="G131" s="3556"/>
      <c r="H131" s="3556"/>
    </row>
    <row r="132" s="3477" customFormat="1" spans="1:8">
      <c r="A132" s="3663"/>
      <c r="D132" s="3556"/>
      <c r="E132" s="3556"/>
      <c r="F132" s="3556"/>
      <c r="G132" s="3556"/>
      <c r="H132" s="3556"/>
    </row>
    <row r="133" s="3477" customFormat="1" spans="1:8">
      <c r="A133" s="3663"/>
      <c r="D133" s="3556"/>
      <c r="E133" s="3556"/>
      <c r="F133" s="3556"/>
      <c r="G133" s="3556"/>
      <c r="H133" s="3556"/>
    </row>
    <row r="134" s="3477" customFormat="1" spans="1:8">
      <c r="A134" s="3663"/>
      <c r="D134" s="3556"/>
      <c r="E134" s="3556"/>
      <c r="F134" s="3556"/>
      <c r="G134" s="3556"/>
      <c r="H134" s="3556"/>
    </row>
    <row r="135" s="3477" customFormat="1" spans="1:8">
      <c r="A135" s="3663"/>
      <c r="D135" s="3556"/>
      <c r="E135" s="3556"/>
      <c r="F135" s="3556"/>
      <c r="G135" s="3556"/>
      <c r="H135" s="3556"/>
    </row>
    <row r="136" s="3477" customFormat="1" spans="1:8">
      <c r="A136" s="3663"/>
      <c r="D136" s="3556"/>
      <c r="E136" s="3556"/>
      <c r="F136" s="3556"/>
      <c r="G136" s="3556"/>
      <c r="H136" s="3556"/>
    </row>
    <row r="137" s="3477" customFormat="1" spans="1:8">
      <c r="A137" s="3663"/>
      <c r="D137" s="3556"/>
      <c r="E137" s="3556"/>
      <c r="F137" s="3556"/>
      <c r="G137" s="3556"/>
      <c r="H137" s="3556"/>
    </row>
    <row r="138" s="3477" customFormat="1" spans="1:8">
      <c r="A138" s="3663"/>
      <c r="D138" s="3556"/>
      <c r="E138" s="3556"/>
      <c r="F138" s="3556"/>
      <c r="G138" s="3556"/>
      <c r="H138" s="3556"/>
    </row>
    <row r="139" s="3477" customFormat="1" spans="1:8">
      <c r="A139" s="3663"/>
      <c r="D139" s="3556"/>
      <c r="E139" s="3556"/>
      <c r="F139" s="3556"/>
      <c r="G139" s="3556"/>
      <c r="H139" s="3556"/>
    </row>
    <row r="140" s="3477" customFormat="1" spans="1:8">
      <c r="A140" s="3663"/>
      <c r="D140" s="3556"/>
      <c r="E140" s="3556"/>
      <c r="F140" s="3556"/>
      <c r="G140" s="3556"/>
      <c r="H140" s="3556"/>
    </row>
    <row r="141" s="3477" customFormat="1" spans="1:8">
      <c r="A141" s="3663"/>
      <c r="D141" s="3556"/>
      <c r="E141" s="3556"/>
      <c r="F141" s="3556"/>
      <c r="G141" s="3556"/>
      <c r="H141" s="3556"/>
    </row>
    <row r="142" s="3477" customFormat="1" spans="1:8">
      <c r="A142" s="3663"/>
      <c r="D142" s="3556"/>
      <c r="E142" s="3556"/>
      <c r="F142" s="3556"/>
      <c r="G142" s="3556"/>
      <c r="H142" s="3556"/>
    </row>
    <row r="143" s="3477" customFormat="1" spans="1:8">
      <c r="A143" s="3663"/>
      <c r="D143" s="3556"/>
      <c r="E143" s="3556"/>
      <c r="F143" s="3556"/>
      <c r="G143" s="3556"/>
      <c r="H143" s="3556"/>
    </row>
    <row r="144" s="3477" customFormat="1" spans="1:8">
      <c r="A144" s="3663"/>
      <c r="D144" s="3556"/>
      <c r="E144" s="3556"/>
      <c r="F144" s="3556"/>
      <c r="G144" s="3556"/>
      <c r="H144" s="3556"/>
    </row>
    <row r="145" s="3477" customFormat="1" spans="1:8">
      <c r="A145" s="3663"/>
      <c r="D145" s="3556"/>
      <c r="E145" s="3556"/>
      <c r="F145" s="3556"/>
      <c r="G145" s="3556"/>
      <c r="H145" s="3556"/>
    </row>
    <row r="146" s="3477" customFormat="1" spans="1:8">
      <c r="A146" s="3663"/>
      <c r="D146" s="3556"/>
      <c r="E146" s="3556"/>
      <c r="F146" s="3556"/>
      <c r="G146" s="3556"/>
      <c r="H146" s="3556"/>
    </row>
    <row r="147" s="3477" customFormat="1" spans="1:8">
      <c r="A147" s="3663"/>
      <c r="D147" s="3556"/>
      <c r="E147" s="3556"/>
      <c r="F147" s="3556"/>
      <c r="G147" s="3556"/>
      <c r="H147" s="3556"/>
    </row>
    <row r="148" s="3477" customFormat="1" spans="1:8">
      <c r="A148" s="3663"/>
      <c r="D148" s="3556"/>
      <c r="E148" s="3556"/>
      <c r="F148" s="3556"/>
      <c r="G148" s="3556"/>
      <c r="H148" s="3556"/>
    </row>
    <row r="149" s="3477" customFormat="1" spans="1:8">
      <c r="A149" s="3663"/>
      <c r="D149" s="3556"/>
      <c r="E149" s="3556"/>
      <c r="F149" s="3556"/>
      <c r="G149" s="3556"/>
      <c r="H149" s="3556"/>
    </row>
    <row r="150" s="3477" customFormat="1" spans="1:8">
      <c r="A150" s="3663"/>
      <c r="D150" s="3556"/>
      <c r="E150" s="3556"/>
      <c r="F150" s="3556"/>
      <c r="G150" s="3556"/>
      <c r="H150" s="3556"/>
    </row>
    <row r="151" s="3477" customFormat="1" spans="1:8">
      <c r="A151" s="3663"/>
      <c r="D151" s="3556"/>
      <c r="E151" s="3556"/>
      <c r="F151" s="3556"/>
      <c r="G151" s="3556"/>
      <c r="H151" s="3556"/>
    </row>
    <row r="152" s="3477" customFormat="1" spans="1:8">
      <c r="A152" s="3663"/>
      <c r="D152" s="3556"/>
      <c r="E152" s="3556"/>
      <c r="F152" s="3556"/>
      <c r="G152" s="3556"/>
      <c r="H152" s="3556"/>
    </row>
    <row r="153" s="3477" customFormat="1" spans="1:8">
      <c r="A153" s="3663"/>
      <c r="D153" s="3556"/>
      <c r="E153" s="3556"/>
      <c r="F153" s="3556"/>
      <c r="G153" s="3556"/>
      <c r="H153" s="3556"/>
    </row>
    <row r="154" s="3477" customFormat="1" spans="1:8">
      <c r="A154" s="3663"/>
      <c r="D154" s="3556"/>
      <c r="E154" s="3556"/>
      <c r="F154" s="3556"/>
      <c r="G154" s="3556"/>
      <c r="H154" s="3556"/>
    </row>
    <row r="155" s="3477" customFormat="1" spans="1:8">
      <c r="A155" s="3663"/>
      <c r="D155" s="3556"/>
      <c r="E155" s="3556"/>
      <c r="F155" s="3556"/>
      <c r="G155" s="3556"/>
      <c r="H155" s="3556"/>
    </row>
    <row r="156" s="3477" customFormat="1" spans="1:8">
      <c r="A156" s="3663"/>
      <c r="D156" s="3556"/>
      <c r="E156" s="3556"/>
      <c r="F156" s="3556"/>
      <c r="G156" s="3556"/>
      <c r="H156" s="3556"/>
    </row>
    <row r="157" s="3477" customFormat="1" spans="1:8">
      <c r="A157" s="3663"/>
      <c r="D157" s="3556"/>
      <c r="E157" s="3556"/>
      <c r="F157" s="3556"/>
      <c r="G157" s="3556"/>
      <c r="H157" s="3556"/>
    </row>
    <row r="158" spans="1:2">
      <c r="A158" s="3663"/>
      <c r="B158" s="3477"/>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480" customWidth="1"/>
    <col min="2" max="2" width="24.5" style="3481" customWidth="1"/>
    <col min="3" max="3" width="28.375" style="3482" customWidth="1"/>
    <col min="4" max="4" width="2.625" style="3482" customWidth="1"/>
    <col min="5" max="5" width="5.875" style="3482" customWidth="1"/>
    <col min="6" max="6" width="27" style="3481" customWidth="1"/>
    <col min="7" max="7" width="32.375" style="3483" customWidth="1"/>
    <col min="8" max="8" width="11.875" style="3484" customWidth="1"/>
    <col min="9" max="9" width="16.75" style="3485" customWidth="1"/>
    <col min="10" max="10" width="2.625" style="3484" customWidth="1"/>
    <col min="11" max="11" width="11.875" style="3484" customWidth="1"/>
    <col min="12" max="12" width="16.75" style="3485" customWidth="1"/>
    <col min="13" max="13" width="2.625" style="3484" customWidth="1"/>
    <col min="14" max="14" width="11.875" style="3484" customWidth="1"/>
    <col min="15" max="15" width="16.75" style="3485" customWidth="1"/>
    <col min="16" max="16" width="2.625" style="3484" customWidth="1"/>
    <col min="17" max="17" width="11.875" style="3484" customWidth="1"/>
    <col min="18" max="18" width="16.75" style="3486" customWidth="1"/>
    <col min="19" max="29" width="9" style="3479"/>
    <col min="30" max="16384" width="9" style="3480"/>
  </cols>
  <sheetData>
    <row r="1" s="3475" customFormat="1" ht="19.5" spans="1:29">
      <c r="A1" s="3487" t="s">
        <v>550</v>
      </c>
      <c r="B1" s="3488"/>
      <c r="C1" s="3488"/>
      <c r="D1" s="3488"/>
      <c r="E1" s="3488"/>
      <c r="F1" s="3488"/>
      <c r="G1" s="3488"/>
      <c r="H1" s="3489"/>
      <c r="I1" s="3541"/>
      <c r="J1" s="3489"/>
      <c r="K1" s="3489"/>
      <c r="L1" s="3541"/>
      <c r="M1" s="3489"/>
      <c r="N1" s="3489"/>
      <c r="O1" s="3541"/>
      <c r="P1" s="3489"/>
      <c r="Q1" s="3549"/>
      <c r="R1" s="3550"/>
      <c r="S1" s="3551"/>
      <c r="T1" s="3551"/>
      <c r="U1" s="3551"/>
      <c r="V1" s="3551"/>
      <c r="W1" s="3551"/>
      <c r="X1" s="3551"/>
      <c r="Y1" s="3551"/>
      <c r="Z1" s="3551"/>
      <c r="AA1" s="3551"/>
      <c r="AB1" s="3551"/>
      <c r="AC1" s="3551"/>
    </row>
    <row r="2" s="3476" customFormat="1" ht="13.5" spans="1:29">
      <c r="A2" s="3490"/>
      <c r="B2" s="3491"/>
      <c r="C2" s="3492" t="s">
        <v>551</v>
      </c>
      <c r="D2" s="3493"/>
      <c r="E2" s="3490"/>
      <c r="F2" s="3494"/>
      <c r="G2" s="3492" t="s">
        <v>552</v>
      </c>
      <c r="H2" s="3478"/>
      <c r="I2" s="3478"/>
      <c r="J2" s="3478"/>
      <c r="K2" s="3478"/>
      <c r="L2" s="3478"/>
      <c r="M2" s="3478"/>
      <c r="N2" s="3478"/>
      <c r="O2" s="3478"/>
      <c r="P2" s="3478"/>
      <c r="Q2" s="3478"/>
      <c r="R2" s="3478"/>
      <c r="S2" s="3478"/>
      <c r="T2" s="3478"/>
      <c r="U2" s="3478"/>
      <c r="V2" s="3478"/>
      <c r="W2" s="3478"/>
      <c r="X2" s="3478"/>
      <c r="Y2" s="3478"/>
      <c r="Z2" s="3478"/>
      <c r="AA2" s="3478"/>
      <c r="AB2" s="3478"/>
      <c r="AC2" s="3478"/>
    </row>
    <row r="3" s="3476" customFormat="1" ht="36" spans="1:29">
      <c r="A3" s="3495" t="s">
        <v>553</v>
      </c>
      <c r="B3" s="3496" t="s">
        <v>554</v>
      </c>
      <c r="C3" s="3497" t="s">
        <v>555</v>
      </c>
      <c r="D3" s="3498"/>
      <c r="E3" s="3499" t="s">
        <v>553</v>
      </c>
      <c r="F3" s="3500" t="s">
        <v>556</v>
      </c>
      <c r="G3" s="3501" t="s">
        <v>557</v>
      </c>
      <c r="H3" s="3478"/>
      <c r="I3" s="3478"/>
      <c r="J3" s="3478"/>
      <c r="K3" s="3478"/>
      <c r="L3" s="3478"/>
      <c r="M3" s="3478"/>
      <c r="N3" s="3478"/>
      <c r="O3" s="3478"/>
      <c r="P3" s="3478"/>
      <c r="Q3" s="3478"/>
      <c r="R3" s="3478"/>
      <c r="S3" s="3478"/>
      <c r="T3" s="3478"/>
      <c r="U3" s="3478"/>
      <c r="V3" s="3478"/>
      <c r="W3" s="3478"/>
      <c r="X3" s="3478"/>
      <c r="Y3" s="3478"/>
      <c r="Z3" s="3478"/>
      <c r="AA3" s="3478"/>
      <c r="AB3" s="3478"/>
      <c r="AC3" s="3478"/>
    </row>
    <row r="4" s="3476" customFormat="1" ht="24.75" spans="1:29">
      <c r="A4" s="3499"/>
      <c r="B4" s="2133" t="s">
        <v>558</v>
      </c>
      <c r="C4" s="3502" t="s">
        <v>559</v>
      </c>
      <c r="D4" s="3498"/>
      <c r="E4" s="3503"/>
      <c r="F4" s="3124" t="s">
        <v>560</v>
      </c>
      <c r="G4" s="3504" t="s">
        <v>561</v>
      </c>
      <c r="H4" s="3478"/>
      <c r="I4" s="3478"/>
      <c r="J4" s="3478"/>
      <c r="K4" s="3478"/>
      <c r="L4" s="3478"/>
      <c r="M4" s="3478"/>
      <c r="N4" s="3478"/>
      <c r="O4" s="3478"/>
      <c r="P4" s="3478"/>
      <c r="Q4" s="3478"/>
      <c r="R4" s="3478"/>
      <c r="S4" s="3478"/>
      <c r="T4" s="3478"/>
      <c r="U4" s="3478"/>
      <c r="V4" s="3478"/>
      <c r="W4" s="3478"/>
      <c r="X4" s="3478"/>
      <c r="Y4" s="3478"/>
      <c r="Z4" s="3478"/>
      <c r="AA4" s="3478"/>
      <c r="AB4" s="3478"/>
      <c r="AC4" s="3478"/>
    </row>
    <row r="5" s="3476" customFormat="1" ht="24.75" spans="1:29">
      <c r="A5" s="3499"/>
      <c r="B5" s="2133" t="s">
        <v>562</v>
      </c>
      <c r="C5" s="3502" t="s">
        <v>563</v>
      </c>
      <c r="D5" s="3498"/>
      <c r="E5" s="3503"/>
      <c r="F5" s="2133" t="s">
        <v>564</v>
      </c>
      <c r="G5" s="3504" t="s">
        <v>565</v>
      </c>
      <c r="H5" s="3478"/>
      <c r="I5" s="3478"/>
      <c r="J5" s="3478"/>
      <c r="K5" s="3478"/>
      <c r="L5" s="3478"/>
      <c r="M5" s="3478"/>
      <c r="N5" s="3478"/>
      <c r="O5" s="3478"/>
      <c r="P5" s="3478"/>
      <c r="Q5" s="3478"/>
      <c r="R5" s="3478"/>
      <c r="S5" s="3478"/>
      <c r="T5" s="3478"/>
      <c r="U5" s="3478"/>
      <c r="V5" s="3478"/>
      <c r="W5" s="3478"/>
      <c r="X5" s="3478"/>
      <c r="Y5" s="3478"/>
      <c r="Z5" s="3478"/>
      <c r="AA5" s="3478"/>
      <c r="AB5" s="3478"/>
      <c r="AC5" s="3478"/>
    </row>
    <row r="6" s="3476" customFormat="1" ht="36" spans="1:29">
      <c r="A6" s="3499"/>
      <c r="B6" s="2133" t="s">
        <v>560</v>
      </c>
      <c r="C6" s="3504" t="s">
        <v>561</v>
      </c>
      <c r="D6" s="3498"/>
      <c r="E6" s="3503"/>
      <c r="F6" s="2133" t="s">
        <v>566</v>
      </c>
      <c r="G6" s="3504" t="s">
        <v>567</v>
      </c>
      <c r="H6" s="3478"/>
      <c r="I6" s="3478"/>
      <c r="J6" s="3478"/>
      <c r="K6" s="3478"/>
      <c r="L6" s="3478"/>
      <c r="M6" s="3478"/>
      <c r="N6" s="3478"/>
      <c r="O6" s="3478"/>
      <c r="P6" s="3478"/>
      <c r="Q6" s="3478"/>
      <c r="R6" s="3478"/>
      <c r="S6" s="3478"/>
      <c r="T6" s="3478"/>
      <c r="U6" s="3478"/>
      <c r="V6" s="3478"/>
      <c r="W6" s="3478"/>
      <c r="X6" s="3478"/>
      <c r="Y6" s="3478"/>
      <c r="Z6" s="3478"/>
      <c r="AA6" s="3478"/>
      <c r="AB6" s="3478"/>
      <c r="AC6" s="3478"/>
    </row>
    <row r="7" s="3476" customFormat="1" ht="24.75" spans="1:29">
      <c r="A7" s="3499"/>
      <c r="B7" s="2133" t="s">
        <v>564</v>
      </c>
      <c r="C7" s="3504" t="s">
        <v>565</v>
      </c>
      <c r="D7" s="3128"/>
      <c r="E7" s="3505"/>
      <c r="F7" s="3506" t="s">
        <v>568</v>
      </c>
      <c r="G7" s="3507" t="s">
        <v>569</v>
      </c>
      <c r="H7" s="3478"/>
      <c r="I7" s="3478"/>
      <c r="J7" s="3478"/>
      <c r="K7" s="3478"/>
      <c r="L7" s="3478"/>
      <c r="M7" s="3478"/>
      <c r="N7" s="3478"/>
      <c r="O7" s="3478"/>
      <c r="P7" s="3478"/>
      <c r="Q7" s="3478"/>
      <c r="R7" s="3478"/>
      <c r="S7" s="3478"/>
      <c r="T7" s="3478"/>
      <c r="U7" s="3478"/>
      <c r="V7" s="3478"/>
      <c r="W7" s="3478"/>
      <c r="X7" s="3478"/>
      <c r="Y7" s="3478"/>
      <c r="Z7" s="3478"/>
      <c r="AA7" s="3478"/>
      <c r="AB7" s="3478"/>
      <c r="AC7" s="3478"/>
    </row>
    <row r="8" s="3476" customFormat="1" ht="12.75" spans="1:29">
      <c r="A8" s="3499"/>
      <c r="B8" s="2133" t="s">
        <v>566</v>
      </c>
      <c r="C8" s="3504" t="s">
        <v>567</v>
      </c>
      <c r="D8" s="3128"/>
      <c r="E8" s="3128"/>
      <c r="F8" s="3136"/>
      <c r="G8" s="3136"/>
      <c r="H8" s="3478"/>
      <c r="I8" s="3478"/>
      <c r="J8" s="3478"/>
      <c r="K8" s="3478"/>
      <c r="L8" s="3478"/>
      <c r="M8" s="3478"/>
      <c r="N8" s="3478"/>
      <c r="O8" s="3478"/>
      <c r="P8" s="3478"/>
      <c r="Q8" s="3478"/>
      <c r="R8" s="3478"/>
      <c r="S8" s="3478"/>
      <c r="T8" s="3478"/>
      <c r="U8" s="3478"/>
      <c r="V8" s="3478"/>
      <c r="W8" s="3478"/>
      <c r="X8" s="3478"/>
      <c r="Y8" s="3478"/>
      <c r="Z8" s="3478"/>
      <c r="AA8" s="3478"/>
      <c r="AB8" s="3478"/>
      <c r="AC8" s="3478"/>
    </row>
    <row r="9" s="3476" customFormat="1" ht="24" spans="1:29">
      <c r="A9" s="3499"/>
      <c r="B9" s="2133" t="s">
        <v>570</v>
      </c>
      <c r="C9" s="3502" t="s">
        <v>571</v>
      </c>
      <c r="D9" s="3498"/>
      <c r="E9" s="3128"/>
      <c r="F9" s="3136"/>
      <c r="G9" s="3136"/>
      <c r="H9" s="3478"/>
      <c r="I9" s="3478"/>
      <c r="J9" s="3478"/>
      <c r="K9" s="3478"/>
      <c r="L9" s="3478"/>
      <c r="M9" s="3478"/>
      <c r="N9" s="3478"/>
      <c r="O9" s="3478"/>
      <c r="P9" s="3478"/>
      <c r="Q9" s="3478"/>
      <c r="R9" s="3478"/>
      <c r="S9" s="3478"/>
      <c r="T9" s="3478"/>
      <c r="U9" s="3478"/>
      <c r="V9" s="3478"/>
      <c r="W9" s="3478"/>
      <c r="X9" s="3478"/>
      <c r="Y9" s="3478"/>
      <c r="Z9" s="3478"/>
      <c r="AA9" s="3478"/>
      <c r="AB9" s="3478"/>
      <c r="AC9" s="3478"/>
    </row>
    <row r="10" s="3477" customFormat="1" ht="13.5" spans="1:29">
      <c r="A10" s="3508"/>
      <c r="B10" s="3130" t="s">
        <v>572</v>
      </c>
      <c r="C10" s="3509"/>
      <c r="D10" s="3498"/>
      <c r="E10" s="3498"/>
      <c r="F10" s="3136"/>
      <c r="G10" s="3136"/>
      <c r="H10" s="3351"/>
      <c r="I10" s="3542"/>
      <c r="J10" s="3543"/>
      <c r="K10" s="3351"/>
      <c r="L10" s="3542"/>
      <c r="M10" s="3543"/>
      <c r="N10" s="3351"/>
      <c r="O10" s="3542"/>
      <c r="P10" s="3543"/>
      <c r="Q10" s="3351"/>
      <c r="R10" s="3542"/>
      <c r="S10" s="3478"/>
      <c r="T10" s="3478"/>
      <c r="U10" s="3478"/>
      <c r="V10" s="3478"/>
      <c r="W10" s="3478"/>
      <c r="X10" s="3478"/>
      <c r="Y10" s="3478"/>
      <c r="Z10" s="3478"/>
      <c r="AA10" s="3478"/>
      <c r="AB10" s="3478"/>
      <c r="AC10" s="3478"/>
    </row>
    <row r="11" s="3477" customFormat="1" ht="12.75" spans="1:29">
      <c r="A11" s="3510"/>
      <c r="B11" s="3128"/>
      <c r="C11" s="3498"/>
      <c r="D11" s="3498"/>
      <c r="E11" s="3498"/>
      <c r="F11" s="3128"/>
      <c r="G11" s="3511"/>
      <c r="H11" s="3351"/>
      <c r="I11" s="3542"/>
      <c r="J11" s="3543"/>
      <c r="K11" s="3351"/>
      <c r="L11" s="3542"/>
      <c r="M11" s="3543"/>
      <c r="N11" s="3351"/>
      <c r="O11" s="3542"/>
      <c r="P11" s="3543"/>
      <c r="Q11" s="3351"/>
      <c r="R11" s="3542"/>
      <c r="S11" s="3478"/>
      <c r="T11" s="3478"/>
      <c r="U11" s="3478"/>
      <c r="V11" s="3478"/>
      <c r="W11" s="3478"/>
      <c r="X11" s="3478"/>
      <c r="Y11" s="3478"/>
      <c r="Z11" s="3478"/>
      <c r="AA11" s="3478"/>
      <c r="AB11" s="3478"/>
      <c r="AC11" s="3478"/>
    </row>
    <row r="12" s="3475" customFormat="1" ht="18" spans="1:29">
      <c r="A12" s="3512"/>
      <c r="B12" s="3513"/>
      <c r="C12" s="3514"/>
      <c r="D12" s="3515"/>
      <c r="E12" s="3514"/>
      <c r="F12" s="3513"/>
      <c r="G12" s="2940"/>
      <c r="H12" s="3516"/>
      <c r="I12" s="3544"/>
      <c r="J12" s="3516"/>
      <c r="K12" s="3516"/>
      <c r="L12" s="3545"/>
      <c r="M12" s="3516"/>
      <c r="N12" s="3546"/>
      <c r="O12" s="3547"/>
      <c r="P12" s="3546"/>
      <c r="Q12" s="3546"/>
      <c r="R12" s="3550"/>
      <c r="S12" s="3551"/>
      <c r="T12" s="3551"/>
      <c r="U12" s="3551"/>
      <c r="V12" s="3551"/>
      <c r="W12" s="3551"/>
      <c r="X12" s="3551"/>
      <c r="Y12" s="3551"/>
      <c r="Z12" s="3551"/>
      <c r="AA12" s="3551"/>
      <c r="AB12" s="3551"/>
      <c r="AC12" s="3551"/>
    </row>
    <row r="13" ht="19.5" spans="1:7">
      <c r="A13" s="3517" t="s">
        <v>573</v>
      </c>
      <c r="B13" s="3515"/>
      <c r="C13" s="3515"/>
      <c r="D13" s="3518"/>
      <c r="E13" s="3515"/>
      <c r="F13" s="3515"/>
      <c r="G13" s="3515"/>
    </row>
    <row r="14" s="3476" customFormat="1" ht="13.5" spans="1:29">
      <c r="A14" s="3519"/>
      <c r="B14" s="3519"/>
      <c r="C14" s="3520" t="s">
        <v>551</v>
      </c>
      <c r="D14" s="3498"/>
      <c r="E14" s="3521"/>
      <c r="F14" s="3521"/>
      <c r="G14" s="3492" t="s">
        <v>552</v>
      </c>
      <c r="H14" s="3522"/>
      <c r="I14" s="3548"/>
      <c r="J14" s="3522"/>
      <c r="K14" s="3522"/>
      <c r="L14" s="3548"/>
      <c r="M14" s="3522"/>
      <c r="N14" s="3522"/>
      <c r="O14" s="3548"/>
      <c r="P14" s="3522"/>
      <c r="Q14" s="3522"/>
      <c r="R14" s="3552"/>
      <c r="S14" s="3478"/>
      <c r="T14" s="3478"/>
      <c r="U14" s="3478"/>
      <c r="V14" s="3478"/>
      <c r="W14" s="3478"/>
      <c r="X14" s="3478"/>
      <c r="Y14" s="3478"/>
      <c r="Z14" s="3478"/>
      <c r="AA14" s="3478"/>
      <c r="AB14" s="3478"/>
      <c r="AC14" s="3478"/>
    </row>
    <row r="15" s="3476" customFormat="1" ht="36" spans="1:29">
      <c r="A15" s="3523" t="s">
        <v>553</v>
      </c>
      <c r="B15" s="3524" t="s">
        <v>554</v>
      </c>
      <c r="C15" s="3525" t="str">
        <f>C3</f>
        <v>估价对象周边居住用地比例、居住小区规模和社区发展完善程度，综合评价居住社区成熟度一般</v>
      </c>
      <c r="D15" s="3498"/>
      <c r="E15" s="3526" t="s">
        <v>553</v>
      </c>
      <c r="F15" s="3524" t="s">
        <v>556</v>
      </c>
      <c r="G15" s="3527" t="str">
        <f>G3</f>
        <v>估价对象位于XX开发区，园区建设成熟度XX，产业集聚程度XX</v>
      </c>
      <c r="H15" s="3522"/>
      <c r="I15" s="3548"/>
      <c r="J15" s="3522"/>
      <c r="K15" s="3522"/>
      <c r="L15" s="3548"/>
      <c r="M15" s="3522"/>
      <c r="N15" s="3522"/>
      <c r="O15" s="3548"/>
      <c r="P15" s="3522"/>
      <c r="Q15" s="3522"/>
      <c r="R15" s="3552"/>
      <c r="S15" s="3478"/>
      <c r="T15" s="3478"/>
      <c r="U15" s="3478"/>
      <c r="V15" s="3478"/>
      <c r="W15" s="3478"/>
      <c r="X15" s="3478"/>
      <c r="Y15" s="3478"/>
      <c r="Z15" s="3478"/>
      <c r="AA15" s="3478"/>
      <c r="AB15" s="3478"/>
      <c r="AC15" s="3478"/>
    </row>
    <row r="16" s="3476" customFormat="1" ht="24.75" spans="1:29">
      <c r="A16" s="3528"/>
      <c r="B16" s="3119" t="s">
        <v>558</v>
      </c>
      <c r="C16" s="3529" t="str">
        <f>C4</f>
        <v>估价对象位于XX商圈，周边商业氛围成熟，人流量大，商业繁华度好</v>
      </c>
      <c r="D16" s="3498"/>
      <c r="E16" s="3530"/>
      <c r="F16" s="3121" t="s">
        <v>560</v>
      </c>
      <c r="G16" s="3531" t="str">
        <f>G4</f>
        <v>估价对象周边道路状况、公共交通通达情况、停车便捷程度，综合评价交通便捷度较好</v>
      </c>
      <c r="H16" s="3522"/>
      <c r="I16" s="3548"/>
      <c r="J16" s="3522"/>
      <c r="K16" s="3522"/>
      <c r="L16" s="3548"/>
      <c r="M16" s="3522"/>
      <c r="N16" s="3522"/>
      <c r="O16" s="3548"/>
      <c r="P16" s="3522"/>
      <c r="Q16" s="3522"/>
      <c r="R16" s="3552"/>
      <c r="S16" s="3478"/>
      <c r="T16" s="3478"/>
      <c r="U16" s="3478"/>
      <c r="V16" s="3478"/>
      <c r="W16" s="3478"/>
      <c r="X16" s="3478"/>
      <c r="Y16" s="3478"/>
      <c r="Z16" s="3478"/>
      <c r="AA16" s="3478"/>
      <c r="AB16" s="3478"/>
      <c r="AC16" s="3478"/>
    </row>
    <row r="17" s="3476" customFormat="1" ht="24.75" spans="1:29">
      <c r="A17" s="3528"/>
      <c r="B17" s="3119" t="s">
        <v>562</v>
      </c>
      <c r="C17" s="3529" t="str">
        <f>C5</f>
        <v>估价对象位于XX商圈，周边办公楼项目较多，入驻率高，办公集聚程度较好</v>
      </c>
      <c r="D17" s="3128"/>
      <c r="E17" s="3530"/>
      <c r="F17" s="3121" t="s">
        <v>574</v>
      </c>
      <c r="G17" s="3532"/>
      <c r="H17" s="3522"/>
      <c r="I17" s="3548"/>
      <c r="J17" s="3522"/>
      <c r="K17" s="3522"/>
      <c r="L17" s="3548"/>
      <c r="M17" s="3522"/>
      <c r="N17" s="3522"/>
      <c r="O17" s="3548"/>
      <c r="P17" s="3522"/>
      <c r="Q17" s="3522"/>
      <c r="R17" s="3552"/>
      <c r="S17" s="3478"/>
      <c r="T17" s="3478"/>
      <c r="U17" s="3478"/>
      <c r="V17" s="3478"/>
      <c r="W17" s="3478"/>
      <c r="X17" s="3478"/>
      <c r="Y17" s="3478"/>
      <c r="Z17" s="3478"/>
      <c r="AA17" s="3478"/>
      <c r="AB17" s="3478"/>
      <c r="AC17" s="3478"/>
    </row>
    <row r="18" s="3476" customFormat="1" ht="36" spans="1:29">
      <c r="A18" s="3528"/>
      <c r="B18" s="3121" t="s">
        <v>560</v>
      </c>
      <c r="C18" s="3531" t="str">
        <f>C6</f>
        <v>估价对象周边道路状况、公共交通通达情况、停车便捷程度，综合评价交通便捷度较好</v>
      </c>
      <c r="D18" s="3128"/>
      <c r="E18" s="3530"/>
      <c r="F18" s="3121" t="s">
        <v>568</v>
      </c>
      <c r="G18" s="3531" t="str">
        <f>G7</f>
        <v>该园区内是否有污染型企业，绿化情况，卫生条件，整体环境状况判断</v>
      </c>
      <c r="H18" s="3522"/>
      <c r="I18" s="3548"/>
      <c r="J18" s="3522"/>
      <c r="K18" s="3522"/>
      <c r="L18" s="3548"/>
      <c r="M18" s="3522"/>
      <c r="N18" s="3522"/>
      <c r="O18" s="3548"/>
      <c r="P18" s="3522"/>
      <c r="Q18" s="3522"/>
      <c r="R18" s="3552"/>
      <c r="S18" s="3478"/>
      <c r="T18" s="3478"/>
      <c r="U18" s="3478"/>
      <c r="V18" s="3478"/>
      <c r="W18" s="3478"/>
      <c r="X18" s="3478"/>
      <c r="Y18" s="3478"/>
      <c r="Z18" s="3478"/>
      <c r="AA18" s="3478"/>
      <c r="AB18" s="3478"/>
      <c r="AC18" s="3478"/>
    </row>
    <row r="19" s="3476" customFormat="1" ht="12.75" spans="1:29">
      <c r="A19" s="3528"/>
      <c r="B19" s="3121" t="s">
        <v>574</v>
      </c>
      <c r="C19" s="3532"/>
      <c r="D19" s="3498"/>
      <c r="E19" s="3530"/>
      <c r="F19" s="2133" t="s">
        <v>564</v>
      </c>
      <c r="G19" s="3531" t="str">
        <f>G5</f>
        <v>估价对象所在区域公共配套设施齐备情况</v>
      </c>
      <c r="H19" s="3522"/>
      <c r="I19" s="3548"/>
      <c r="J19" s="3522"/>
      <c r="K19" s="3522"/>
      <c r="L19" s="3548"/>
      <c r="M19" s="3522"/>
      <c r="N19" s="3522"/>
      <c r="O19" s="3548"/>
      <c r="P19" s="3522"/>
      <c r="Q19" s="3522"/>
      <c r="R19" s="3552"/>
      <c r="S19" s="3478"/>
      <c r="T19" s="3478"/>
      <c r="U19" s="3478"/>
      <c r="V19" s="3478"/>
      <c r="W19" s="3478"/>
      <c r="X19" s="3478"/>
      <c r="Y19" s="3478"/>
      <c r="Z19" s="3478"/>
      <c r="AA19" s="3478"/>
      <c r="AB19" s="3478"/>
      <c r="AC19" s="3478"/>
    </row>
    <row r="20" s="3476" customFormat="1" ht="24" spans="1:29">
      <c r="A20" s="3528"/>
      <c r="B20" s="3121" t="s">
        <v>575</v>
      </c>
      <c r="C20" s="3529" t="str">
        <f>C9</f>
        <v>区域自然环境：；人文环境；综合评价环境状况一般</v>
      </c>
      <c r="D20" s="3128"/>
      <c r="E20" s="3530"/>
      <c r="F20" s="2133" t="s">
        <v>566</v>
      </c>
      <c r="G20" s="3531" t="str">
        <f>G6</f>
        <v>估价对象所在区域基础设施水平</v>
      </c>
      <c r="H20" s="3522"/>
      <c r="I20" s="3548"/>
      <c r="J20" s="3522"/>
      <c r="K20" s="3522"/>
      <c r="L20" s="3548"/>
      <c r="M20" s="3522"/>
      <c r="N20" s="3522"/>
      <c r="O20" s="3548"/>
      <c r="P20" s="3522"/>
      <c r="Q20" s="3522"/>
      <c r="R20" s="3552"/>
      <c r="S20" s="3478"/>
      <c r="T20" s="3478"/>
      <c r="U20" s="3478"/>
      <c r="V20" s="3478"/>
      <c r="W20" s="3478"/>
      <c r="X20" s="3478"/>
      <c r="Y20" s="3478"/>
      <c r="Z20" s="3478"/>
      <c r="AA20" s="3478"/>
      <c r="AB20" s="3478"/>
      <c r="AC20" s="3478"/>
    </row>
    <row r="21" s="3476" customFormat="1" ht="24" spans="1:29">
      <c r="A21" s="3528"/>
      <c r="B21" s="2133" t="s">
        <v>564</v>
      </c>
      <c r="C21" s="3531" t="str">
        <f>C7</f>
        <v>估价对象所在区域公共配套设施齐备情况</v>
      </c>
      <c r="D21" s="3498"/>
      <c r="E21" s="3530"/>
      <c r="F21" s="3121" t="s">
        <v>576</v>
      </c>
      <c r="G21" s="3533"/>
      <c r="H21" s="3522"/>
      <c r="I21" s="3548"/>
      <c r="J21" s="3522"/>
      <c r="K21" s="3522"/>
      <c r="L21" s="3548"/>
      <c r="M21" s="3522"/>
      <c r="N21" s="3522"/>
      <c r="O21" s="3548"/>
      <c r="P21" s="3522"/>
      <c r="Q21" s="3522"/>
      <c r="R21" s="3552"/>
      <c r="S21" s="3478"/>
      <c r="T21" s="3478"/>
      <c r="U21" s="3478"/>
      <c r="V21" s="3478"/>
      <c r="W21" s="3478"/>
      <c r="X21" s="3478"/>
      <c r="Y21" s="3478"/>
      <c r="Z21" s="3478"/>
      <c r="AA21" s="3478"/>
      <c r="AB21" s="3478"/>
      <c r="AC21" s="3478"/>
    </row>
    <row r="22" s="3476" customFormat="1" ht="12.75" spans="1:29">
      <c r="A22" s="3528"/>
      <c r="B22" s="2133" t="s">
        <v>566</v>
      </c>
      <c r="C22" s="3531" t="str">
        <f>C8</f>
        <v>估价对象所在区域基础设施水平</v>
      </c>
      <c r="D22" s="3498"/>
      <c r="E22" s="3530"/>
      <c r="F22" s="3121" t="s">
        <v>572</v>
      </c>
      <c r="G22" s="3534"/>
      <c r="H22" s="3522"/>
      <c r="I22" s="3548"/>
      <c r="J22" s="3522"/>
      <c r="K22" s="3522"/>
      <c r="L22" s="3548"/>
      <c r="M22" s="3522"/>
      <c r="N22" s="3522"/>
      <c r="O22" s="3548"/>
      <c r="P22" s="3522"/>
      <c r="Q22" s="3522"/>
      <c r="R22" s="3552"/>
      <c r="S22" s="3478"/>
      <c r="T22" s="3478"/>
      <c r="U22" s="3478"/>
      <c r="V22" s="3478"/>
      <c r="W22" s="3478"/>
      <c r="X22" s="3478"/>
      <c r="Y22" s="3478"/>
      <c r="Z22" s="3478"/>
      <c r="AA22" s="3478"/>
      <c r="AB22" s="3478"/>
      <c r="AC22" s="3478"/>
    </row>
    <row r="23" s="3478" customFormat="1" ht="13.5" spans="1:18">
      <c r="A23" s="3528"/>
      <c r="B23" s="3121" t="s">
        <v>576</v>
      </c>
      <c r="C23" s="3533"/>
      <c r="D23" s="3522"/>
      <c r="E23" s="3535"/>
      <c r="F23" s="3129" t="s">
        <v>352</v>
      </c>
      <c r="G23" s="3536"/>
      <c r="H23" s="3522"/>
      <c r="I23" s="3548"/>
      <c r="J23" s="3522"/>
      <c r="K23" s="3522"/>
      <c r="L23" s="3548"/>
      <c r="M23" s="3522"/>
      <c r="N23" s="3522"/>
      <c r="O23" s="3548"/>
      <c r="P23" s="3522"/>
      <c r="Q23" s="3522"/>
      <c r="R23" s="3552"/>
    </row>
    <row r="24" s="3478" customFormat="1" ht="13.5" spans="1:18">
      <c r="A24" s="3537"/>
      <c r="B24" s="3129" t="s">
        <v>572</v>
      </c>
      <c r="C24" s="3538">
        <f>C10</f>
        <v>0</v>
      </c>
      <c r="D24" s="3522"/>
      <c r="E24" s="3539"/>
      <c r="F24" s="3539"/>
      <c r="G24" s="3540"/>
      <c r="H24" s="3522"/>
      <c r="I24" s="3548"/>
      <c r="J24" s="3522"/>
      <c r="K24" s="3522"/>
      <c r="L24" s="3548"/>
      <c r="M24" s="3522"/>
      <c r="N24" s="3522"/>
      <c r="O24" s="3548"/>
      <c r="P24" s="3522"/>
      <c r="Q24" s="3522"/>
      <c r="R24" s="3552"/>
    </row>
    <row r="25" s="3479" customFormat="1" spans="2:18">
      <c r="B25" s="3484"/>
      <c r="C25" s="3484"/>
      <c r="D25" s="3484"/>
      <c r="H25" s="3484"/>
      <c r="I25" s="3485"/>
      <c r="J25" s="3484"/>
      <c r="K25" s="3484"/>
      <c r="L25" s="3485"/>
      <c r="M25" s="3484"/>
      <c r="N25" s="3484"/>
      <c r="O25" s="3485"/>
      <c r="P25" s="3484"/>
      <c r="Q25" s="3484"/>
      <c r="R25" s="3486"/>
    </row>
    <row r="26" s="3479" customFormat="1" spans="2:18">
      <c r="B26" s="3484"/>
      <c r="C26" s="3484"/>
      <c r="D26" s="3484"/>
      <c r="H26" s="3484"/>
      <c r="I26" s="3485"/>
      <c r="J26" s="3484"/>
      <c r="K26" s="3484"/>
      <c r="L26" s="3485"/>
      <c r="M26" s="3484"/>
      <c r="N26" s="3484"/>
      <c r="O26" s="3485"/>
      <c r="P26" s="3484"/>
      <c r="Q26" s="3484"/>
      <c r="R26" s="3486"/>
    </row>
    <row r="27" s="3479" customFormat="1" spans="2:18">
      <c r="B27" s="3484"/>
      <c r="C27" s="3484"/>
      <c r="D27" s="3484"/>
      <c r="H27" s="3484"/>
      <c r="I27" s="3485"/>
      <c r="J27" s="3484"/>
      <c r="K27" s="3484"/>
      <c r="L27" s="3485"/>
      <c r="M27" s="3484"/>
      <c r="N27" s="3484"/>
      <c r="O27" s="3485"/>
      <c r="P27" s="3484"/>
      <c r="Q27" s="3484"/>
      <c r="R27" s="3486"/>
    </row>
    <row r="28" s="3479" customFormat="1" spans="2:18">
      <c r="B28" s="3484"/>
      <c r="C28" s="3484"/>
      <c r="D28" s="3484"/>
      <c r="H28" s="3484"/>
      <c r="I28" s="3485"/>
      <c r="J28" s="3484"/>
      <c r="K28" s="3484"/>
      <c r="L28" s="3485"/>
      <c r="M28" s="3484"/>
      <c r="N28" s="3484"/>
      <c r="O28" s="3485"/>
      <c r="P28" s="3484"/>
      <c r="Q28" s="3484"/>
      <c r="R28" s="3486"/>
    </row>
    <row r="29" s="3479" customFormat="1" spans="2:18">
      <c r="B29" s="3484"/>
      <c r="C29" s="3484"/>
      <c r="D29" s="3484"/>
      <c r="H29" s="3484"/>
      <c r="I29" s="3485"/>
      <c r="J29" s="3484"/>
      <c r="K29" s="3484"/>
      <c r="L29" s="3485"/>
      <c r="M29" s="3484"/>
      <c r="N29" s="3484"/>
      <c r="O29" s="3485"/>
      <c r="P29" s="3484"/>
      <c r="Q29" s="3484"/>
      <c r="R29" s="3486"/>
    </row>
    <row r="30" s="3479" customFormat="1" spans="2:18">
      <c r="B30" s="3484"/>
      <c r="C30" s="3484"/>
      <c r="D30" s="3484"/>
      <c r="H30" s="3484"/>
      <c r="I30" s="3485"/>
      <c r="J30" s="3484"/>
      <c r="K30" s="3484"/>
      <c r="L30" s="3485"/>
      <c r="M30" s="3484"/>
      <c r="N30" s="3484"/>
      <c r="O30" s="3485"/>
      <c r="P30" s="3484"/>
      <c r="Q30" s="3484"/>
      <c r="R30" s="3486"/>
    </row>
    <row r="31" s="3479" customFormat="1" spans="2:18">
      <c r="B31" s="3484"/>
      <c r="C31" s="3484"/>
      <c r="D31" s="3484"/>
      <c r="H31" s="3484"/>
      <c r="I31" s="3485"/>
      <c r="J31" s="3484"/>
      <c r="K31" s="3484"/>
      <c r="L31" s="3485"/>
      <c r="M31" s="3484"/>
      <c r="N31" s="3484"/>
      <c r="O31" s="3485"/>
      <c r="P31" s="3484"/>
      <c r="Q31" s="3484"/>
      <c r="R31" s="3486"/>
    </row>
    <row r="32" s="3479" customFormat="1" spans="2:18">
      <c r="B32" s="3484"/>
      <c r="C32" s="3484"/>
      <c r="D32" s="3484"/>
      <c r="H32" s="3484"/>
      <c r="I32" s="3485"/>
      <c r="J32" s="3484"/>
      <c r="K32" s="3484"/>
      <c r="L32" s="3485"/>
      <c r="M32" s="3484"/>
      <c r="N32" s="3484"/>
      <c r="O32" s="3485"/>
      <c r="P32" s="3484"/>
      <c r="Q32" s="3484"/>
      <c r="R32" s="3486"/>
    </row>
    <row r="33" s="3479" customFormat="1" spans="2:18">
      <c r="B33" s="3484"/>
      <c r="C33" s="3484"/>
      <c r="D33" s="3484"/>
      <c r="H33" s="3484"/>
      <c r="I33" s="3485"/>
      <c r="J33" s="3484"/>
      <c r="K33" s="3484"/>
      <c r="L33" s="3485"/>
      <c r="M33" s="3484"/>
      <c r="N33" s="3484"/>
      <c r="O33" s="3485"/>
      <c r="P33" s="3484"/>
      <c r="Q33" s="3484"/>
      <c r="R33" s="3486"/>
    </row>
    <row r="34" s="3479" customFormat="1" spans="2:18">
      <c r="B34" s="3484"/>
      <c r="C34" s="3484"/>
      <c r="D34" s="3484"/>
      <c r="H34" s="3484"/>
      <c r="I34" s="3485"/>
      <c r="J34" s="3484"/>
      <c r="K34" s="3484"/>
      <c r="L34" s="3485"/>
      <c r="M34" s="3484"/>
      <c r="N34" s="3484"/>
      <c r="O34" s="3485"/>
      <c r="P34" s="3484"/>
      <c r="Q34" s="3484"/>
      <c r="R34" s="3486"/>
    </row>
    <row r="35" s="3479" customFormat="1" spans="2:18">
      <c r="B35" s="3484"/>
      <c r="C35" s="3484"/>
      <c r="D35" s="3484"/>
      <c r="H35" s="3484"/>
      <c r="I35" s="3485"/>
      <c r="J35" s="3484"/>
      <c r="K35" s="3484"/>
      <c r="L35" s="3485"/>
      <c r="M35" s="3484"/>
      <c r="N35" s="3484"/>
      <c r="O35" s="3485"/>
      <c r="P35" s="3484"/>
      <c r="Q35" s="3484"/>
      <c r="R35" s="3486"/>
    </row>
    <row r="36" s="3479" customFormat="1" spans="2:18">
      <c r="B36" s="3484"/>
      <c r="C36" s="3484"/>
      <c r="D36" s="3484"/>
      <c r="H36" s="3484"/>
      <c r="I36" s="3485"/>
      <c r="J36" s="3484"/>
      <c r="K36" s="3484"/>
      <c r="L36" s="3485"/>
      <c r="M36" s="3484"/>
      <c r="N36" s="3484"/>
      <c r="O36" s="3485"/>
      <c r="P36" s="3484"/>
      <c r="Q36" s="3484"/>
      <c r="R36" s="3486"/>
    </row>
    <row r="37" s="3479" customFormat="1" spans="2:18">
      <c r="B37" s="3484"/>
      <c r="C37" s="3484"/>
      <c r="D37" s="3484"/>
      <c r="H37" s="3484"/>
      <c r="I37" s="3485"/>
      <c r="J37" s="3484"/>
      <c r="K37" s="3484"/>
      <c r="L37" s="3485"/>
      <c r="M37" s="3484"/>
      <c r="N37" s="3484"/>
      <c r="O37" s="3485"/>
      <c r="P37" s="3484"/>
      <c r="Q37" s="3484"/>
      <c r="R37" s="3486"/>
    </row>
    <row r="38" s="3479" customFormat="1" spans="2:18">
      <c r="B38" s="3484"/>
      <c r="C38" s="3484"/>
      <c r="D38" s="3484"/>
      <c r="E38" s="3484"/>
      <c r="F38" s="3484"/>
      <c r="G38" s="3485"/>
      <c r="H38" s="3484"/>
      <c r="I38" s="3485"/>
      <c r="J38" s="3484"/>
      <c r="K38" s="3484"/>
      <c r="L38" s="3485"/>
      <c r="M38" s="3484"/>
      <c r="N38" s="3484"/>
      <c r="O38" s="3485"/>
      <c r="P38" s="3484"/>
      <c r="Q38" s="3484"/>
      <c r="R38" s="3486"/>
    </row>
    <row r="39" s="3479" customFormat="1" spans="2:18">
      <c r="B39" s="3484"/>
      <c r="C39" s="3484"/>
      <c r="D39" s="3484"/>
      <c r="E39" s="3484"/>
      <c r="F39" s="3484"/>
      <c r="G39" s="3485"/>
      <c r="H39" s="3484"/>
      <c r="I39" s="3485"/>
      <c r="J39" s="3484"/>
      <c r="K39" s="3484"/>
      <c r="L39" s="3485"/>
      <c r="M39" s="3484"/>
      <c r="N39" s="3484"/>
      <c r="O39" s="3485"/>
      <c r="P39" s="3484"/>
      <c r="Q39" s="3484"/>
      <c r="R39" s="3486"/>
    </row>
    <row r="40" s="3479" customFormat="1" spans="2:18">
      <c r="B40" s="3484"/>
      <c r="C40" s="3484"/>
      <c r="D40" s="3484"/>
      <c r="E40" s="3484"/>
      <c r="F40" s="3484"/>
      <c r="G40" s="3485"/>
      <c r="H40" s="3484"/>
      <c r="I40" s="3485"/>
      <c r="J40" s="3484"/>
      <c r="K40" s="3484"/>
      <c r="L40" s="3485"/>
      <c r="M40" s="3484"/>
      <c r="N40" s="3484"/>
      <c r="O40" s="3485"/>
      <c r="P40" s="3484"/>
      <c r="Q40" s="3484"/>
      <c r="R40" s="3486"/>
    </row>
    <row r="41" s="3479" customFormat="1" spans="2:18">
      <c r="B41" s="3484"/>
      <c r="C41" s="3484"/>
      <c r="D41" s="3484"/>
      <c r="E41" s="3484"/>
      <c r="F41" s="3484"/>
      <c r="G41" s="3485"/>
      <c r="H41" s="3484"/>
      <c r="I41" s="3485"/>
      <c r="J41" s="3484"/>
      <c r="K41" s="3484"/>
      <c r="L41" s="3485"/>
      <c r="M41" s="3484"/>
      <c r="N41" s="3484"/>
      <c r="O41" s="3485"/>
      <c r="P41" s="3484"/>
      <c r="Q41" s="3484"/>
      <c r="R41" s="3486"/>
    </row>
    <row r="42" s="3479" customFormat="1" spans="2:18">
      <c r="B42" s="3484"/>
      <c r="C42" s="3484"/>
      <c r="D42" s="3484"/>
      <c r="E42" s="3484"/>
      <c r="F42" s="3484"/>
      <c r="G42" s="3485"/>
      <c r="H42" s="3484"/>
      <c r="I42" s="3485"/>
      <c r="J42" s="3484"/>
      <c r="K42" s="3484"/>
      <c r="L42" s="3485"/>
      <c r="M42" s="3484"/>
      <c r="N42" s="3484"/>
      <c r="O42" s="3485"/>
      <c r="P42" s="3484"/>
      <c r="Q42" s="3484"/>
      <c r="R42" s="3486"/>
    </row>
    <row r="43" s="3479" customFormat="1" spans="2:18">
      <c r="B43" s="3484"/>
      <c r="C43" s="3484"/>
      <c r="D43" s="3484"/>
      <c r="E43" s="3484"/>
      <c r="F43" s="3484"/>
      <c r="G43" s="3485"/>
      <c r="H43" s="3484"/>
      <c r="I43" s="3485"/>
      <c r="J43" s="3484"/>
      <c r="K43" s="3484"/>
      <c r="L43" s="3485"/>
      <c r="M43" s="3484"/>
      <c r="N43" s="3484"/>
      <c r="O43" s="3485"/>
      <c r="P43" s="3484"/>
      <c r="Q43" s="3484"/>
      <c r="R43" s="3486"/>
    </row>
    <row r="44" s="3479" customFormat="1" spans="2:18">
      <c r="B44" s="3484"/>
      <c r="C44" s="3484"/>
      <c r="D44" s="3484"/>
      <c r="E44" s="3484"/>
      <c r="F44" s="3484"/>
      <c r="G44" s="3485"/>
      <c r="H44" s="3484"/>
      <c r="I44" s="3485"/>
      <c r="J44" s="3484"/>
      <c r="K44" s="3484"/>
      <c r="L44" s="3485"/>
      <c r="M44" s="3484"/>
      <c r="N44" s="3484"/>
      <c r="O44" s="3485"/>
      <c r="P44" s="3484"/>
      <c r="Q44" s="3484"/>
      <c r="R44" s="3486"/>
    </row>
    <row r="45" s="3479" customFormat="1" spans="2:18">
      <c r="B45" s="3484"/>
      <c r="C45" s="3484"/>
      <c r="D45" s="3484"/>
      <c r="E45" s="3484"/>
      <c r="F45" s="3484"/>
      <c r="G45" s="3485"/>
      <c r="H45" s="3484"/>
      <c r="I45" s="3485"/>
      <c r="J45" s="3484"/>
      <c r="K45" s="3484"/>
      <c r="L45" s="3485"/>
      <c r="M45" s="3484"/>
      <c r="N45" s="3484"/>
      <c r="O45" s="3485"/>
      <c r="P45" s="3484"/>
      <c r="Q45" s="3484"/>
      <c r="R45" s="3486"/>
    </row>
    <row r="46" s="3479" customFormat="1" spans="2:18">
      <c r="B46" s="3484"/>
      <c r="C46" s="3484"/>
      <c r="D46" s="3484"/>
      <c r="E46" s="3484"/>
      <c r="F46" s="3484"/>
      <c r="G46" s="3485"/>
      <c r="H46" s="3484"/>
      <c r="I46" s="3485"/>
      <c r="J46" s="3484"/>
      <c r="K46" s="3484"/>
      <c r="L46" s="3485"/>
      <c r="M46" s="3484"/>
      <c r="N46" s="3484"/>
      <c r="O46" s="3485"/>
      <c r="P46" s="3484"/>
      <c r="Q46" s="3484"/>
      <c r="R46" s="3486"/>
    </row>
    <row r="47" s="3479" customFormat="1" spans="2:18">
      <c r="B47" s="3484"/>
      <c r="C47" s="3484"/>
      <c r="D47" s="3484"/>
      <c r="E47" s="3484"/>
      <c r="F47" s="3484"/>
      <c r="G47" s="3485"/>
      <c r="H47" s="3484"/>
      <c r="I47" s="3485"/>
      <c r="J47" s="3484"/>
      <c r="K47" s="3484"/>
      <c r="L47" s="3485"/>
      <c r="M47" s="3484"/>
      <c r="N47" s="3484"/>
      <c r="O47" s="3485"/>
      <c r="P47" s="3484"/>
      <c r="Q47" s="3484"/>
      <c r="R47" s="3486"/>
    </row>
    <row r="48" s="3479" customFormat="1" spans="2:18">
      <c r="B48" s="3484"/>
      <c r="C48" s="3484"/>
      <c r="D48" s="3484"/>
      <c r="E48" s="3484"/>
      <c r="F48" s="3484"/>
      <c r="G48" s="3485"/>
      <c r="H48" s="3484"/>
      <c r="I48" s="3485"/>
      <c r="J48" s="3484"/>
      <c r="K48" s="3484"/>
      <c r="L48" s="3485"/>
      <c r="M48" s="3484"/>
      <c r="N48" s="3484"/>
      <c r="O48" s="3485"/>
      <c r="P48" s="3484"/>
      <c r="Q48" s="3484"/>
      <c r="R48" s="3486"/>
    </row>
    <row r="49" s="3479" customFormat="1" spans="2:18">
      <c r="B49" s="3484"/>
      <c r="C49" s="3484"/>
      <c r="D49" s="3484"/>
      <c r="E49" s="3484"/>
      <c r="F49" s="3484"/>
      <c r="G49" s="3485"/>
      <c r="H49" s="3484"/>
      <c r="I49" s="3485"/>
      <c r="J49" s="3484"/>
      <c r="K49" s="3484"/>
      <c r="L49" s="3485"/>
      <c r="M49" s="3484"/>
      <c r="N49" s="3484"/>
      <c r="O49" s="3485"/>
      <c r="P49" s="3484"/>
      <c r="Q49" s="3484"/>
      <c r="R49" s="3486"/>
    </row>
    <row r="50" s="3479" customFormat="1" spans="2:18">
      <c r="B50" s="3484"/>
      <c r="C50" s="3484"/>
      <c r="D50" s="3484"/>
      <c r="E50" s="3484"/>
      <c r="F50" s="3484"/>
      <c r="G50" s="3485"/>
      <c r="H50" s="3484"/>
      <c r="I50" s="3485"/>
      <c r="J50" s="3484"/>
      <c r="K50" s="3484"/>
      <c r="L50" s="3485"/>
      <c r="M50" s="3484"/>
      <c r="N50" s="3484"/>
      <c r="O50" s="3485"/>
      <c r="P50" s="3484"/>
      <c r="Q50" s="3484"/>
      <c r="R50" s="3486"/>
    </row>
    <row r="51" s="3479" customFormat="1" spans="2:18">
      <c r="B51" s="3484"/>
      <c r="C51" s="3484"/>
      <c r="D51" s="3484"/>
      <c r="E51" s="3484"/>
      <c r="F51" s="3484"/>
      <c r="G51" s="3485"/>
      <c r="H51" s="3484"/>
      <c r="I51" s="3485"/>
      <c r="J51" s="3484"/>
      <c r="K51" s="3484"/>
      <c r="L51" s="3485"/>
      <c r="M51" s="3484"/>
      <c r="N51" s="3484"/>
      <c r="O51" s="3485"/>
      <c r="P51" s="3484"/>
      <c r="Q51" s="3484"/>
      <c r="R51" s="3486"/>
    </row>
    <row r="52" s="3479" customFormat="1" spans="2:18">
      <c r="B52" s="3484"/>
      <c r="C52" s="3484"/>
      <c r="D52" s="3484"/>
      <c r="E52" s="3484"/>
      <c r="F52" s="3484"/>
      <c r="G52" s="3485"/>
      <c r="H52" s="3484"/>
      <c r="I52" s="3485"/>
      <c r="J52" s="3484"/>
      <c r="K52" s="3484"/>
      <c r="L52" s="3485"/>
      <c r="M52" s="3484"/>
      <c r="N52" s="3484"/>
      <c r="O52" s="3485"/>
      <c r="P52" s="3484"/>
      <c r="Q52" s="3484"/>
      <c r="R52" s="3486"/>
    </row>
    <row r="53" s="3479" customFormat="1" spans="2:18">
      <c r="B53" s="3484"/>
      <c r="C53" s="3484"/>
      <c r="D53" s="3484"/>
      <c r="E53" s="3484"/>
      <c r="F53" s="3484"/>
      <c r="G53" s="3485"/>
      <c r="H53" s="3484"/>
      <c r="I53" s="3485"/>
      <c r="J53" s="3484"/>
      <c r="K53" s="3484"/>
      <c r="L53" s="3485"/>
      <c r="M53" s="3484"/>
      <c r="N53" s="3484"/>
      <c r="O53" s="3485"/>
      <c r="P53" s="3484"/>
      <c r="Q53" s="3484"/>
      <c r="R53" s="3486"/>
    </row>
    <row r="54" s="3479" customFormat="1" spans="2:18">
      <c r="B54" s="3484"/>
      <c r="C54" s="3484"/>
      <c r="D54" s="3484"/>
      <c r="E54" s="3484"/>
      <c r="F54" s="3484"/>
      <c r="G54" s="3485"/>
      <c r="H54" s="3484"/>
      <c r="I54" s="3485"/>
      <c r="J54" s="3484"/>
      <c r="K54" s="3484"/>
      <c r="L54" s="3485"/>
      <c r="M54" s="3484"/>
      <c r="N54" s="3484"/>
      <c r="O54" s="3485"/>
      <c r="P54" s="3484"/>
      <c r="Q54" s="3484"/>
      <c r="R54" s="3486"/>
    </row>
    <row r="55" s="3479" customFormat="1" spans="2:18">
      <c r="B55" s="3484"/>
      <c r="C55" s="3484"/>
      <c r="D55" s="3484"/>
      <c r="E55" s="3484"/>
      <c r="F55" s="3484"/>
      <c r="G55" s="3485"/>
      <c r="H55" s="3484"/>
      <c r="I55" s="3485"/>
      <c r="J55" s="3484"/>
      <c r="K55" s="3484"/>
      <c r="L55" s="3485"/>
      <c r="M55" s="3484"/>
      <c r="N55" s="3484"/>
      <c r="O55" s="3485"/>
      <c r="P55" s="3484"/>
      <c r="Q55" s="3484"/>
      <c r="R55" s="3486"/>
    </row>
    <row r="56" s="3479" customFormat="1" spans="2:18">
      <c r="B56" s="3484"/>
      <c r="C56" s="3484"/>
      <c r="D56" s="3484"/>
      <c r="E56" s="3484"/>
      <c r="F56" s="3484"/>
      <c r="G56" s="3485"/>
      <c r="H56" s="3484"/>
      <c r="I56" s="3485"/>
      <c r="J56" s="3484"/>
      <c r="K56" s="3484"/>
      <c r="L56" s="3485"/>
      <c r="M56" s="3484"/>
      <c r="N56" s="3484"/>
      <c r="O56" s="3485"/>
      <c r="P56" s="3484"/>
      <c r="Q56" s="3484"/>
      <c r="R56" s="3486"/>
    </row>
    <row r="57" s="3479" customFormat="1" spans="2:18">
      <c r="B57" s="3484"/>
      <c r="C57" s="3484"/>
      <c r="D57" s="3484"/>
      <c r="E57" s="3484"/>
      <c r="F57" s="3484"/>
      <c r="G57" s="3485"/>
      <c r="H57" s="3484"/>
      <c r="I57" s="3485"/>
      <c r="J57" s="3484"/>
      <c r="K57" s="3484"/>
      <c r="L57" s="3485"/>
      <c r="M57" s="3484"/>
      <c r="N57" s="3484"/>
      <c r="O57" s="3485"/>
      <c r="P57" s="3484"/>
      <c r="Q57" s="3484"/>
      <c r="R57" s="3486"/>
    </row>
    <row r="58" s="3479" customFormat="1" spans="2:18">
      <c r="B58" s="3484"/>
      <c r="C58" s="3484"/>
      <c r="D58" s="3484"/>
      <c r="E58" s="3484"/>
      <c r="F58" s="3484"/>
      <c r="G58" s="3485"/>
      <c r="H58" s="3484"/>
      <c r="I58" s="3485"/>
      <c r="J58" s="3484"/>
      <c r="K58" s="3484"/>
      <c r="L58" s="3485"/>
      <c r="M58" s="3484"/>
      <c r="N58" s="3484"/>
      <c r="O58" s="3485"/>
      <c r="P58" s="3484"/>
      <c r="Q58" s="3484"/>
      <c r="R58" s="3486"/>
    </row>
    <row r="59" s="3479" customFormat="1" spans="2:18">
      <c r="B59" s="3484"/>
      <c r="C59" s="3484"/>
      <c r="D59" s="3484"/>
      <c r="E59" s="3484"/>
      <c r="F59" s="3484"/>
      <c r="G59" s="3485"/>
      <c r="H59" s="3484"/>
      <c r="I59" s="3485"/>
      <c r="J59" s="3484"/>
      <c r="K59" s="3484"/>
      <c r="L59" s="3485"/>
      <c r="M59" s="3484"/>
      <c r="N59" s="3484"/>
      <c r="O59" s="3485"/>
      <c r="P59" s="3484"/>
      <c r="Q59" s="3484"/>
      <c r="R59" s="3486"/>
    </row>
    <row r="60" s="3479" customFormat="1" spans="2:18">
      <c r="B60" s="3484"/>
      <c r="C60" s="3484"/>
      <c r="D60" s="3484"/>
      <c r="E60" s="3484"/>
      <c r="F60" s="3484"/>
      <c r="G60" s="3485"/>
      <c r="H60" s="3484"/>
      <c r="I60" s="3485"/>
      <c r="J60" s="3484"/>
      <c r="K60" s="3484"/>
      <c r="L60" s="3485"/>
      <c r="M60" s="3484"/>
      <c r="N60" s="3484"/>
      <c r="O60" s="3485"/>
      <c r="P60" s="3484"/>
      <c r="Q60" s="3484"/>
      <c r="R60" s="3486"/>
    </row>
    <row r="61" s="3479" customFormat="1" spans="2:18">
      <c r="B61" s="3484"/>
      <c r="C61" s="3484"/>
      <c r="D61" s="3484"/>
      <c r="E61" s="3484"/>
      <c r="F61" s="3484"/>
      <c r="G61" s="3485"/>
      <c r="H61" s="3484"/>
      <c r="I61" s="3485"/>
      <c r="J61" s="3484"/>
      <c r="K61" s="3484"/>
      <c r="L61" s="3485"/>
      <c r="M61" s="3484"/>
      <c r="N61" s="3484"/>
      <c r="O61" s="3485"/>
      <c r="P61" s="3484"/>
      <c r="Q61" s="3484"/>
      <c r="R61" s="3486"/>
    </row>
    <row r="62" s="3479" customFormat="1" spans="2:18">
      <c r="B62" s="3484"/>
      <c r="C62" s="3484"/>
      <c r="D62" s="3484"/>
      <c r="E62" s="3484"/>
      <c r="F62" s="3484"/>
      <c r="G62" s="3485"/>
      <c r="H62" s="3484"/>
      <c r="I62" s="3485"/>
      <c r="J62" s="3484"/>
      <c r="K62" s="3484"/>
      <c r="L62" s="3485"/>
      <c r="M62" s="3484"/>
      <c r="N62" s="3484"/>
      <c r="O62" s="3485"/>
      <c r="P62" s="3484"/>
      <c r="Q62" s="3484"/>
      <c r="R62" s="3486"/>
    </row>
    <row r="63" s="3479" customFormat="1" spans="2:18">
      <c r="B63" s="3484"/>
      <c r="C63" s="3484"/>
      <c r="D63" s="3484"/>
      <c r="E63" s="3484"/>
      <c r="F63" s="3484"/>
      <c r="G63" s="3485"/>
      <c r="H63" s="3484"/>
      <c r="I63" s="3485"/>
      <c r="J63" s="3484"/>
      <c r="K63" s="3484"/>
      <c r="L63" s="3485"/>
      <c r="M63" s="3484"/>
      <c r="N63" s="3484"/>
      <c r="O63" s="3485"/>
      <c r="P63" s="3484"/>
      <c r="Q63" s="3484"/>
      <c r="R63" s="3486"/>
    </row>
    <row r="64" s="3479" customFormat="1" spans="2:18">
      <c r="B64" s="3484"/>
      <c r="C64" s="3484"/>
      <c r="D64" s="3484"/>
      <c r="E64" s="3484"/>
      <c r="F64" s="3484"/>
      <c r="G64" s="3485"/>
      <c r="H64" s="3484"/>
      <c r="I64" s="3485"/>
      <c r="J64" s="3484"/>
      <c r="K64" s="3484"/>
      <c r="L64" s="3485"/>
      <c r="M64" s="3484"/>
      <c r="N64" s="3484"/>
      <c r="O64" s="3485"/>
      <c r="P64" s="3484"/>
      <c r="Q64" s="3484"/>
      <c r="R64" s="3486"/>
    </row>
    <row r="65" s="3479" customFormat="1" spans="2:18">
      <c r="B65" s="3484"/>
      <c r="C65" s="3484"/>
      <c r="D65" s="3484"/>
      <c r="E65" s="3484"/>
      <c r="F65" s="3484"/>
      <c r="G65" s="3485"/>
      <c r="H65" s="3484"/>
      <c r="I65" s="3485"/>
      <c r="J65" s="3484"/>
      <c r="K65" s="3484"/>
      <c r="L65" s="3485"/>
      <c r="M65" s="3484"/>
      <c r="N65" s="3484"/>
      <c r="O65" s="3485"/>
      <c r="P65" s="3484"/>
      <c r="Q65" s="3484"/>
      <c r="R65" s="3486"/>
    </row>
    <row r="66" s="3479" customFormat="1" spans="2:18">
      <c r="B66" s="3484"/>
      <c r="C66" s="3484"/>
      <c r="D66" s="3484"/>
      <c r="E66" s="3484"/>
      <c r="F66" s="3484"/>
      <c r="G66" s="3485"/>
      <c r="H66" s="3484"/>
      <c r="I66" s="3485"/>
      <c r="J66" s="3484"/>
      <c r="K66" s="3484"/>
      <c r="L66" s="3485"/>
      <c r="M66" s="3484"/>
      <c r="N66" s="3484"/>
      <c r="O66" s="3485"/>
      <c r="P66" s="3484"/>
      <c r="Q66" s="3484"/>
      <c r="R66" s="3486"/>
    </row>
    <row r="67" s="3479" customFormat="1" spans="2:18">
      <c r="B67" s="3484"/>
      <c r="C67" s="3484"/>
      <c r="D67" s="3484"/>
      <c r="E67" s="3484"/>
      <c r="F67" s="3484"/>
      <c r="G67" s="3485"/>
      <c r="H67" s="3484"/>
      <c r="I67" s="3485"/>
      <c r="J67" s="3484"/>
      <c r="K67" s="3484"/>
      <c r="L67" s="3485"/>
      <c r="M67" s="3484"/>
      <c r="N67" s="3484"/>
      <c r="O67" s="3485"/>
      <c r="P67" s="3484"/>
      <c r="Q67" s="3484"/>
      <c r="R67" s="3486"/>
    </row>
    <row r="68" s="3479" customFormat="1" spans="2:18">
      <c r="B68" s="3484"/>
      <c r="C68" s="3484"/>
      <c r="D68" s="3484"/>
      <c r="E68" s="3484"/>
      <c r="F68" s="3484"/>
      <c r="G68" s="3485"/>
      <c r="H68" s="3484"/>
      <c r="I68" s="3485"/>
      <c r="J68" s="3484"/>
      <c r="K68" s="3484"/>
      <c r="L68" s="3485"/>
      <c r="M68" s="3484"/>
      <c r="N68" s="3484"/>
      <c r="O68" s="3485"/>
      <c r="P68" s="3484"/>
      <c r="Q68" s="3484"/>
      <c r="R68" s="3486"/>
    </row>
    <row r="69" s="3479" customFormat="1" spans="2:18">
      <c r="B69" s="3484"/>
      <c r="C69" s="3484"/>
      <c r="D69" s="3484"/>
      <c r="E69" s="3484"/>
      <c r="F69" s="3484"/>
      <c r="G69" s="3485"/>
      <c r="H69" s="3484"/>
      <c r="I69" s="3485"/>
      <c r="J69" s="3484"/>
      <c r="K69" s="3484"/>
      <c r="L69" s="3485"/>
      <c r="M69" s="3484"/>
      <c r="N69" s="3484"/>
      <c r="O69" s="3485"/>
      <c r="P69" s="3484"/>
      <c r="Q69" s="3484"/>
      <c r="R69" s="3486"/>
    </row>
    <row r="70" s="3479" customFormat="1" spans="2:18">
      <c r="B70" s="3484"/>
      <c r="C70" s="3484"/>
      <c r="D70" s="3484"/>
      <c r="E70" s="3484"/>
      <c r="F70" s="3484"/>
      <c r="G70" s="3485"/>
      <c r="H70" s="3484"/>
      <c r="I70" s="3485"/>
      <c r="J70" s="3484"/>
      <c r="K70" s="3484"/>
      <c r="L70" s="3485"/>
      <c r="M70" s="3484"/>
      <c r="N70" s="3484"/>
      <c r="O70" s="3485"/>
      <c r="P70" s="3484"/>
      <c r="Q70" s="3484"/>
      <c r="R70" s="3486"/>
    </row>
    <row r="71" s="3479" customFormat="1" spans="2:18">
      <c r="B71" s="3484"/>
      <c r="C71" s="3484"/>
      <c r="D71" s="3484"/>
      <c r="E71" s="3484"/>
      <c r="F71" s="3484"/>
      <c r="G71" s="3485"/>
      <c r="H71" s="3484"/>
      <c r="I71" s="3485"/>
      <c r="J71" s="3484"/>
      <c r="K71" s="3484"/>
      <c r="L71" s="3485"/>
      <c r="M71" s="3484"/>
      <c r="N71" s="3484"/>
      <c r="O71" s="3485"/>
      <c r="P71" s="3484"/>
      <c r="Q71" s="3484"/>
      <c r="R71" s="3486"/>
    </row>
    <row r="72" s="3479" customFormat="1" spans="2:18">
      <c r="B72" s="3484"/>
      <c r="C72" s="3484"/>
      <c r="D72" s="3484"/>
      <c r="E72" s="3484"/>
      <c r="F72" s="3484"/>
      <c r="G72" s="3485"/>
      <c r="H72" s="3484"/>
      <c r="I72" s="3485"/>
      <c r="J72" s="3484"/>
      <c r="K72" s="3484"/>
      <c r="L72" s="3485"/>
      <c r="M72" s="3484"/>
      <c r="N72" s="3484"/>
      <c r="O72" s="3485"/>
      <c r="P72" s="3484"/>
      <c r="Q72" s="3484"/>
      <c r="R72" s="3486"/>
    </row>
    <row r="73" s="3479" customFormat="1" spans="2:18">
      <c r="B73" s="3484"/>
      <c r="C73" s="3484"/>
      <c r="D73" s="3484"/>
      <c r="E73" s="3484"/>
      <c r="F73" s="3484"/>
      <c r="G73" s="3485"/>
      <c r="H73" s="3484"/>
      <c r="I73" s="3485"/>
      <c r="J73" s="3484"/>
      <c r="K73" s="3484"/>
      <c r="L73" s="3485"/>
      <c r="M73" s="3484"/>
      <c r="N73" s="3484"/>
      <c r="O73" s="3485"/>
      <c r="P73" s="3484"/>
      <c r="Q73" s="3484"/>
      <c r="R73" s="3486"/>
    </row>
    <row r="74" s="3479" customFormat="1" spans="2:18">
      <c r="B74" s="3484"/>
      <c r="C74" s="3484"/>
      <c r="D74" s="3484"/>
      <c r="E74" s="3484"/>
      <c r="F74" s="3484"/>
      <c r="G74" s="3485"/>
      <c r="H74" s="3484"/>
      <c r="I74" s="3485"/>
      <c r="J74" s="3484"/>
      <c r="K74" s="3484"/>
      <c r="L74" s="3485"/>
      <c r="M74" s="3484"/>
      <c r="N74" s="3484"/>
      <c r="O74" s="3485"/>
      <c r="P74" s="3484"/>
      <c r="Q74" s="3484"/>
      <c r="R74" s="3486"/>
    </row>
    <row r="75" s="3479" customFormat="1" spans="2:18">
      <c r="B75" s="3484"/>
      <c r="C75" s="3484"/>
      <c r="D75" s="3484"/>
      <c r="E75" s="3484"/>
      <c r="F75" s="3484"/>
      <c r="G75" s="3485"/>
      <c r="H75" s="3484"/>
      <c r="I75" s="3485"/>
      <c r="J75" s="3484"/>
      <c r="K75" s="3484"/>
      <c r="L75" s="3485"/>
      <c r="M75" s="3484"/>
      <c r="N75" s="3484"/>
      <c r="O75" s="3485"/>
      <c r="P75" s="3484"/>
      <c r="Q75" s="3484"/>
      <c r="R75" s="3486"/>
    </row>
    <row r="76" s="3479" customFormat="1" spans="2:18">
      <c r="B76" s="3484"/>
      <c r="C76" s="3484"/>
      <c r="D76" s="3484"/>
      <c r="E76" s="3484"/>
      <c r="F76" s="3484"/>
      <c r="G76" s="3485"/>
      <c r="H76" s="3484"/>
      <c r="I76" s="3485"/>
      <c r="J76" s="3484"/>
      <c r="K76" s="3484"/>
      <c r="L76" s="3485"/>
      <c r="M76" s="3484"/>
      <c r="N76" s="3484"/>
      <c r="O76" s="3485"/>
      <c r="P76" s="3484"/>
      <c r="Q76" s="3484"/>
      <c r="R76" s="3486"/>
    </row>
    <row r="77" s="3479" customFormat="1" spans="2:18">
      <c r="B77" s="3484"/>
      <c r="C77" s="3484"/>
      <c r="D77" s="3484"/>
      <c r="E77" s="3484"/>
      <c r="F77" s="3484"/>
      <c r="G77" s="3485"/>
      <c r="H77" s="3484"/>
      <c r="I77" s="3485"/>
      <c r="J77" s="3484"/>
      <c r="K77" s="3484"/>
      <c r="L77" s="3485"/>
      <c r="M77" s="3484"/>
      <c r="N77" s="3484"/>
      <c r="O77" s="3485"/>
      <c r="P77" s="3484"/>
      <c r="Q77" s="3484"/>
      <c r="R77" s="3486"/>
    </row>
    <row r="78" s="3479" customFormat="1" spans="2:18">
      <c r="B78" s="3484"/>
      <c r="C78" s="3484"/>
      <c r="D78" s="3484"/>
      <c r="E78" s="3484"/>
      <c r="F78" s="3484"/>
      <c r="G78" s="3485"/>
      <c r="H78" s="3484"/>
      <c r="I78" s="3485"/>
      <c r="J78" s="3484"/>
      <c r="K78" s="3484"/>
      <c r="L78" s="3485"/>
      <c r="M78" s="3484"/>
      <c r="N78" s="3484"/>
      <c r="O78" s="3485"/>
      <c r="P78" s="3484"/>
      <c r="Q78" s="3484"/>
      <c r="R78" s="3486"/>
    </row>
    <row r="79" s="3479" customFormat="1" spans="2:18">
      <c r="B79" s="3484"/>
      <c r="C79" s="3484"/>
      <c r="D79" s="3484"/>
      <c r="E79" s="3484"/>
      <c r="F79" s="3484"/>
      <c r="G79" s="3485"/>
      <c r="H79" s="3484"/>
      <c r="I79" s="3485"/>
      <c r="J79" s="3484"/>
      <c r="K79" s="3484"/>
      <c r="L79" s="3485"/>
      <c r="M79" s="3484"/>
      <c r="N79" s="3484"/>
      <c r="O79" s="3485"/>
      <c r="P79" s="3484"/>
      <c r="Q79" s="3484"/>
      <c r="R79" s="3486"/>
    </row>
    <row r="80" s="3479" customFormat="1" spans="2:18">
      <c r="B80" s="3484"/>
      <c r="C80" s="3484"/>
      <c r="D80" s="3484"/>
      <c r="E80" s="3484"/>
      <c r="F80" s="3484"/>
      <c r="G80" s="3485"/>
      <c r="H80" s="3484"/>
      <c r="I80" s="3485"/>
      <c r="J80" s="3484"/>
      <c r="K80" s="3484"/>
      <c r="L80" s="3485"/>
      <c r="M80" s="3484"/>
      <c r="N80" s="3484"/>
      <c r="O80" s="3485"/>
      <c r="P80" s="3484"/>
      <c r="Q80" s="3484"/>
      <c r="R80" s="3486"/>
    </row>
    <row r="81" s="3479" customFormat="1" spans="2:18">
      <c r="B81" s="3484"/>
      <c r="C81" s="3484"/>
      <c r="D81" s="3484"/>
      <c r="E81" s="3484"/>
      <c r="F81" s="3484"/>
      <c r="G81" s="3485"/>
      <c r="H81" s="3484"/>
      <c r="I81" s="3485"/>
      <c r="J81" s="3484"/>
      <c r="K81" s="3484"/>
      <c r="L81" s="3485"/>
      <c r="M81" s="3484"/>
      <c r="N81" s="3484"/>
      <c r="O81" s="3485"/>
      <c r="P81" s="3484"/>
      <c r="Q81" s="3484"/>
      <c r="R81" s="3486"/>
    </row>
    <row r="82" s="3479" customFormat="1" spans="2:18">
      <c r="B82" s="3484"/>
      <c r="C82" s="3484"/>
      <c r="D82" s="3484"/>
      <c r="E82" s="3484"/>
      <c r="F82" s="3484"/>
      <c r="G82" s="3485"/>
      <c r="H82" s="3484"/>
      <c r="I82" s="3485"/>
      <c r="J82" s="3484"/>
      <c r="K82" s="3484"/>
      <c r="L82" s="3485"/>
      <c r="M82" s="3484"/>
      <c r="N82" s="3484"/>
      <c r="O82" s="3485"/>
      <c r="P82" s="3484"/>
      <c r="Q82" s="3484"/>
      <c r="R82" s="3486"/>
    </row>
    <row r="83" s="3479" customFormat="1" spans="2:18">
      <c r="B83" s="3484"/>
      <c r="C83" s="3484"/>
      <c r="D83" s="3484"/>
      <c r="E83" s="3484"/>
      <c r="F83" s="3484"/>
      <c r="G83" s="3485"/>
      <c r="H83" s="3484"/>
      <c r="I83" s="3485"/>
      <c r="J83" s="3484"/>
      <c r="K83" s="3484"/>
      <c r="L83" s="3485"/>
      <c r="M83" s="3484"/>
      <c r="N83" s="3484"/>
      <c r="O83" s="3485"/>
      <c r="P83" s="3484"/>
      <c r="Q83" s="3484"/>
      <c r="R83" s="3486"/>
    </row>
    <row r="84" s="3479" customFormat="1" spans="2:18">
      <c r="B84" s="3484"/>
      <c r="C84" s="3484"/>
      <c r="D84" s="3484"/>
      <c r="E84" s="3484"/>
      <c r="F84" s="3484"/>
      <c r="G84" s="3485"/>
      <c r="H84" s="3484"/>
      <c r="I84" s="3485"/>
      <c r="J84" s="3484"/>
      <c r="K84" s="3484"/>
      <c r="L84" s="3485"/>
      <c r="M84" s="3484"/>
      <c r="N84" s="3484"/>
      <c r="O84" s="3485"/>
      <c r="P84" s="3484"/>
      <c r="Q84" s="3484"/>
      <c r="R84" s="3486"/>
    </row>
    <row r="85" s="3479" customFormat="1" spans="2:18">
      <c r="B85" s="3484"/>
      <c r="C85" s="3484"/>
      <c r="D85" s="3484"/>
      <c r="E85" s="3484"/>
      <c r="F85" s="3484"/>
      <c r="G85" s="3485"/>
      <c r="H85" s="3484"/>
      <c r="I85" s="3485"/>
      <c r="J85" s="3484"/>
      <c r="K85" s="3484"/>
      <c r="L85" s="3485"/>
      <c r="M85" s="3484"/>
      <c r="N85" s="3484"/>
      <c r="O85" s="3485"/>
      <c r="P85" s="3484"/>
      <c r="Q85" s="3484"/>
      <c r="R85" s="3486"/>
    </row>
    <row r="86" s="3479" customFormat="1" spans="2:18">
      <c r="B86" s="3484"/>
      <c r="C86" s="3484"/>
      <c r="D86" s="3484"/>
      <c r="E86" s="3484"/>
      <c r="F86" s="3484"/>
      <c r="G86" s="3485"/>
      <c r="H86" s="3484"/>
      <c r="I86" s="3485"/>
      <c r="J86" s="3484"/>
      <c r="K86" s="3484"/>
      <c r="L86" s="3485"/>
      <c r="M86" s="3484"/>
      <c r="N86" s="3484"/>
      <c r="O86" s="3485"/>
      <c r="P86" s="3484"/>
      <c r="Q86" s="3484"/>
      <c r="R86" s="3486"/>
    </row>
    <row r="87" s="3479" customFormat="1" spans="2:18">
      <c r="B87" s="3484"/>
      <c r="C87" s="3484"/>
      <c r="D87" s="3484"/>
      <c r="E87" s="3484"/>
      <c r="F87" s="3484"/>
      <c r="G87" s="3485"/>
      <c r="H87" s="3484"/>
      <c r="I87" s="3485"/>
      <c r="J87" s="3484"/>
      <c r="K87" s="3484"/>
      <c r="L87" s="3485"/>
      <c r="M87" s="3484"/>
      <c r="N87" s="3484"/>
      <c r="O87" s="3485"/>
      <c r="P87" s="3484"/>
      <c r="Q87" s="3484"/>
      <c r="R87" s="3486"/>
    </row>
    <row r="88" s="3479" customFormat="1" spans="2:18">
      <c r="B88" s="3484"/>
      <c r="C88" s="3484"/>
      <c r="D88" s="3484"/>
      <c r="E88" s="3484"/>
      <c r="F88" s="3484"/>
      <c r="G88" s="3485"/>
      <c r="H88" s="3484"/>
      <c r="I88" s="3485"/>
      <c r="J88" s="3484"/>
      <c r="K88" s="3484"/>
      <c r="L88" s="3485"/>
      <c r="M88" s="3484"/>
      <c r="N88" s="3484"/>
      <c r="O88" s="3485"/>
      <c r="P88" s="3484"/>
      <c r="Q88" s="3484"/>
      <c r="R88" s="3486"/>
    </row>
    <row r="89" s="3479" customFormat="1" spans="2:18">
      <c r="B89" s="3484"/>
      <c r="C89" s="3484"/>
      <c r="D89" s="3484"/>
      <c r="E89" s="3484"/>
      <c r="F89" s="3484"/>
      <c r="G89" s="3485"/>
      <c r="H89" s="3484"/>
      <c r="I89" s="3485"/>
      <c r="J89" s="3484"/>
      <c r="K89" s="3484"/>
      <c r="L89" s="3485"/>
      <c r="M89" s="3484"/>
      <c r="N89" s="3484"/>
      <c r="O89" s="3485"/>
      <c r="P89" s="3484"/>
      <c r="Q89" s="3484"/>
      <c r="R89" s="3486"/>
    </row>
    <row r="90" s="3479" customFormat="1" spans="2:18">
      <c r="B90" s="3484"/>
      <c r="C90" s="3484"/>
      <c r="D90" s="3484"/>
      <c r="E90" s="3484"/>
      <c r="F90" s="3484"/>
      <c r="G90" s="3485"/>
      <c r="H90" s="3484"/>
      <c r="I90" s="3485"/>
      <c r="J90" s="3484"/>
      <c r="K90" s="3484"/>
      <c r="L90" s="3485"/>
      <c r="M90" s="3484"/>
      <c r="N90" s="3484"/>
      <c r="O90" s="3485"/>
      <c r="P90" s="3484"/>
      <c r="Q90" s="3484"/>
      <c r="R90" s="3486"/>
    </row>
    <row r="91" s="3479" customFormat="1" spans="2:18">
      <c r="B91" s="3484"/>
      <c r="C91" s="3484"/>
      <c r="D91" s="3484"/>
      <c r="E91" s="3484"/>
      <c r="F91" s="3484"/>
      <c r="G91" s="3485"/>
      <c r="H91" s="3484"/>
      <c r="I91" s="3485"/>
      <c r="J91" s="3484"/>
      <c r="K91" s="3484"/>
      <c r="L91" s="3485"/>
      <c r="M91" s="3484"/>
      <c r="N91" s="3484"/>
      <c r="O91" s="3485"/>
      <c r="P91" s="3484"/>
      <c r="Q91" s="3484"/>
      <c r="R91" s="3486"/>
    </row>
    <row r="92" s="3479" customFormat="1" spans="2:18">
      <c r="B92" s="3484"/>
      <c r="C92" s="3484"/>
      <c r="D92" s="3484"/>
      <c r="E92" s="3484"/>
      <c r="F92" s="3484"/>
      <c r="G92" s="3485"/>
      <c r="H92" s="3484"/>
      <c r="I92" s="3485"/>
      <c r="J92" s="3484"/>
      <c r="K92" s="3484"/>
      <c r="L92" s="3485"/>
      <c r="M92" s="3484"/>
      <c r="N92" s="3484"/>
      <c r="O92" s="3485"/>
      <c r="P92" s="3484"/>
      <c r="Q92" s="3484"/>
      <c r="R92" s="3486"/>
    </row>
    <row r="93" s="3479" customFormat="1" spans="2:18">
      <c r="B93" s="3484"/>
      <c r="C93" s="3484"/>
      <c r="D93" s="3484"/>
      <c r="E93" s="3484"/>
      <c r="F93" s="3484"/>
      <c r="G93" s="3485"/>
      <c r="H93" s="3484"/>
      <c r="I93" s="3485"/>
      <c r="J93" s="3484"/>
      <c r="K93" s="3484"/>
      <c r="L93" s="3485"/>
      <c r="M93" s="3484"/>
      <c r="N93" s="3484"/>
      <c r="O93" s="3485"/>
      <c r="P93" s="3484"/>
      <c r="Q93" s="3484"/>
      <c r="R93" s="3486"/>
    </row>
    <row r="94" s="3479" customFormat="1" spans="2:18">
      <c r="B94" s="3484"/>
      <c r="C94" s="3484"/>
      <c r="D94" s="3484"/>
      <c r="E94" s="3484"/>
      <c r="F94" s="3484"/>
      <c r="G94" s="3485"/>
      <c r="H94" s="3484"/>
      <c r="I94" s="3485"/>
      <c r="J94" s="3484"/>
      <c r="K94" s="3484"/>
      <c r="L94" s="3485"/>
      <c r="M94" s="3484"/>
      <c r="N94" s="3484"/>
      <c r="O94" s="3485"/>
      <c r="P94" s="3484"/>
      <c r="Q94" s="3484"/>
      <c r="R94" s="3486"/>
    </row>
    <row r="95" s="3479" customFormat="1" spans="2:18">
      <c r="B95" s="3484"/>
      <c r="C95" s="3484"/>
      <c r="D95" s="3484"/>
      <c r="E95" s="3484"/>
      <c r="F95" s="3484"/>
      <c r="G95" s="3485"/>
      <c r="H95" s="3484"/>
      <c r="I95" s="3485"/>
      <c r="J95" s="3484"/>
      <c r="K95" s="3484"/>
      <c r="L95" s="3485"/>
      <c r="M95" s="3484"/>
      <c r="N95" s="3484"/>
      <c r="O95" s="3485"/>
      <c r="P95" s="3484"/>
      <c r="Q95" s="3484"/>
      <c r="R95" s="3486"/>
    </row>
    <row r="96" s="3479" customFormat="1" spans="2:18">
      <c r="B96" s="3484"/>
      <c r="C96" s="3484"/>
      <c r="D96" s="3484"/>
      <c r="E96" s="3484"/>
      <c r="F96" s="3484"/>
      <c r="G96" s="3485"/>
      <c r="H96" s="3484"/>
      <c r="I96" s="3485"/>
      <c r="J96" s="3484"/>
      <c r="K96" s="3484"/>
      <c r="L96" s="3485"/>
      <c r="M96" s="3484"/>
      <c r="N96" s="3484"/>
      <c r="O96" s="3485"/>
      <c r="P96" s="3484"/>
      <c r="Q96" s="3484"/>
      <c r="R96" s="3486"/>
    </row>
    <row r="97" s="3479" customFormat="1" spans="2:18">
      <c r="B97" s="3484"/>
      <c r="C97" s="3484"/>
      <c r="D97" s="3484"/>
      <c r="E97" s="3484"/>
      <c r="F97" s="3484"/>
      <c r="G97" s="3485"/>
      <c r="H97" s="3484"/>
      <c r="I97" s="3485"/>
      <c r="J97" s="3484"/>
      <c r="K97" s="3484"/>
      <c r="L97" s="3485"/>
      <c r="M97" s="3484"/>
      <c r="N97" s="3484"/>
      <c r="O97" s="3485"/>
      <c r="P97" s="3484"/>
      <c r="Q97" s="3484"/>
      <c r="R97" s="3486"/>
    </row>
    <row r="98" s="3479" customFormat="1" spans="2:18">
      <c r="B98" s="3484"/>
      <c r="C98" s="3484"/>
      <c r="D98" s="3484"/>
      <c r="E98" s="3484"/>
      <c r="F98" s="3484"/>
      <c r="G98" s="3485"/>
      <c r="H98" s="3484"/>
      <c r="I98" s="3485"/>
      <c r="J98" s="3484"/>
      <c r="K98" s="3484"/>
      <c r="L98" s="3485"/>
      <c r="M98" s="3484"/>
      <c r="N98" s="3484"/>
      <c r="O98" s="3485"/>
      <c r="P98" s="3484"/>
      <c r="Q98" s="3484"/>
      <c r="R98" s="3486"/>
    </row>
    <row r="99" s="3479" customFormat="1" spans="2:18">
      <c r="B99" s="3484"/>
      <c r="C99" s="3484"/>
      <c r="D99" s="3484"/>
      <c r="E99" s="3484"/>
      <c r="F99" s="3484"/>
      <c r="G99" s="3485"/>
      <c r="H99" s="3484"/>
      <c r="I99" s="3485"/>
      <c r="J99" s="3484"/>
      <c r="K99" s="3484"/>
      <c r="L99" s="3485"/>
      <c r="M99" s="3484"/>
      <c r="N99" s="3484"/>
      <c r="O99" s="3485"/>
      <c r="P99" s="3484"/>
      <c r="Q99" s="3484"/>
      <c r="R99" s="3486"/>
    </row>
    <row r="100" s="3479" customFormat="1" spans="2:18">
      <c r="B100" s="3484"/>
      <c r="C100" s="3484"/>
      <c r="D100" s="3484"/>
      <c r="E100" s="3484"/>
      <c r="F100" s="3484"/>
      <c r="G100" s="3485"/>
      <c r="H100" s="3484"/>
      <c r="I100" s="3485"/>
      <c r="J100" s="3484"/>
      <c r="K100" s="3484"/>
      <c r="L100" s="3485"/>
      <c r="M100" s="3484"/>
      <c r="N100" s="3484"/>
      <c r="O100" s="3485"/>
      <c r="P100" s="3484"/>
      <c r="Q100" s="3484"/>
      <c r="R100" s="3486"/>
    </row>
    <row r="101" s="3479" customFormat="1" spans="2:18">
      <c r="B101" s="3484"/>
      <c r="C101" s="3484"/>
      <c r="D101" s="3484"/>
      <c r="E101" s="3484"/>
      <c r="F101" s="3484"/>
      <c r="G101" s="3485"/>
      <c r="H101" s="3484"/>
      <c r="I101" s="3485"/>
      <c r="J101" s="3484"/>
      <c r="K101" s="3484"/>
      <c r="L101" s="3485"/>
      <c r="M101" s="3484"/>
      <c r="N101" s="3484"/>
      <c r="O101" s="3485"/>
      <c r="P101" s="3484"/>
      <c r="Q101" s="3484"/>
      <c r="R101" s="3486"/>
    </row>
    <row r="102" s="3479" customFormat="1" spans="2:18">
      <c r="B102" s="3484"/>
      <c r="C102" s="3484"/>
      <c r="D102" s="3484"/>
      <c r="E102" s="3484"/>
      <c r="F102" s="3484"/>
      <c r="G102" s="3485"/>
      <c r="H102" s="3484"/>
      <c r="I102" s="3485"/>
      <c r="J102" s="3484"/>
      <c r="K102" s="3484"/>
      <c r="L102" s="3485"/>
      <c r="M102" s="3484"/>
      <c r="N102" s="3484"/>
      <c r="O102" s="3485"/>
      <c r="P102" s="3484"/>
      <c r="Q102" s="3484"/>
      <c r="R102" s="3486"/>
    </row>
    <row r="103" s="3479" customFormat="1" spans="2:18">
      <c r="B103" s="3484"/>
      <c r="C103" s="3484"/>
      <c r="D103" s="3484"/>
      <c r="E103" s="3484"/>
      <c r="F103" s="3484"/>
      <c r="G103" s="3485"/>
      <c r="H103" s="3484"/>
      <c r="I103" s="3485"/>
      <c r="J103" s="3484"/>
      <c r="K103" s="3484"/>
      <c r="L103" s="3485"/>
      <c r="M103" s="3484"/>
      <c r="N103" s="3484"/>
      <c r="O103" s="3485"/>
      <c r="P103" s="3484"/>
      <c r="Q103" s="3484"/>
      <c r="R103" s="3486"/>
    </row>
    <row r="104" s="3479" customFormat="1" spans="2:18">
      <c r="B104" s="3484"/>
      <c r="C104" s="3484"/>
      <c r="D104" s="3484"/>
      <c r="E104" s="3484"/>
      <c r="F104" s="3484"/>
      <c r="G104" s="3485"/>
      <c r="H104" s="3484"/>
      <c r="I104" s="3485"/>
      <c r="J104" s="3484"/>
      <c r="K104" s="3484"/>
      <c r="L104" s="3485"/>
      <c r="M104" s="3484"/>
      <c r="N104" s="3484"/>
      <c r="O104" s="3485"/>
      <c r="P104" s="3484"/>
      <c r="Q104" s="3484"/>
      <c r="R104" s="3486"/>
    </row>
    <row r="105" s="3479" customFormat="1" spans="2:18">
      <c r="B105" s="3484"/>
      <c r="C105" s="3484"/>
      <c r="D105" s="3484"/>
      <c r="E105" s="3484"/>
      <c r="F105" s="3484"/>
      <c r="G105" s="3485"/>
      <c r="H105" s="3484"/>
      <c r="I105" s="3485"/>
      <c r="J105" s="3484"/>
      <c r="K105" s="3484"/>
      <c r="L105" s="3485"/>
      <c r="M105" s="3484"/>
      <c r="N105" s="3484"/>
      <c r="O105" s="3485"/>
      <c r="P105" s="3484"/>
      <c r="Q105" s="3484"/>
      <c r="R105" s="3486"/>
    </row>
    <row r="106" s="3479" customFormat="1" spans="2:18">
      <c r="B106" s="3484"/>
      <c r="C106" s="3484"/>
      <c r="D106" s="3484"/>
      <c r="E106" s="3484"/>
      <c r="F106" s="3484"/>
      <c r="G106" s="3485"/>
      <c r="H106" s="3484"/>
      <c r="I106" s="3485"/>
      <c r="J106" s="3484"/>
      <c r="K106" s="3484"/>
      <c r="L106" s="3485"/>
      <c r="M106" s="3484"/>
      <c r="N106" s="3484"/>
      <c r="O106" s="3485"/>
      <c r="P106" s="3484"/>
      <c r="Q106" s="3484"/>
      <c r="R106" s="3486"/>
    </row>
    <row r="107" s="3479" customFormat="1" spans="2:18">
      <c r="B107" s="3484"/>
      <c r="C107" s="3484"/>
      <c r="D107" s="3484"/>
      <c r="E107" s="3484"/>
      <c r="F107" s="3484"/>
      <c r="G107" s="3485"/>
      <c r="H107" s="3484"/>
      <c r="I107" s="3485"/>
      <c r="J107" s="3484"/>
      <c r="K107" s="3484"/>
      <c r="L107" s="3485"/>
      <c r="M107" s="3484"/>
      <c r="N107" s="3484"/>
      <c r="O107" s="3485"/>
      <c r="P107" s="3484"/>
      <c r="Q107" s="3484"/>
      <c r="R107" s="3486"/>
    </row>
    <row r="108" s="3479" customFormat="1" spans="2:18">
      <c r="B108" s="3484"/>
      <c r="C108" s="3484"/>
      <c r="D108" s="3484"/>
      <c r="E108" s="3484"/>
      <c r="F108" s="3484"/>
      <c r="G108" s="3485"/>
      <c r="H108" s="3484"/>
      <c r="I108" s="3485"/>
      <c r="J108" s="3484"/>
      <c r="K108" s="3484"/>
      <c r="L108" s="3485"/>
      <c r="M108" s="3484"/>
      <c r="N108" s="3484"/>
      <c r="O108" s="3485"/>
      <c r="P108" s="3484"/>
      <c r="Q108" s="3484"/>
      <c r="R108" s="3486"/>
    </row>
    <row r="109" s="3479" customFormat="1" spans="2:18">
      <c r="B109" s="3484"/>
      <c r="C109" s="3484"/>
      <c r="D109" s="3484"/>
      <c r="E109" s="3484"/>
      <c r="F109" s="3484"/>
      <c r="G109" s="3485"/>
      <c r="H109" s="3484"/>
      <c r="I109" s="3485"/>
      <c r="J109" s="3484"/>
      <c r="K109" s="3484"/>
      <c r="L109" s="3485"/>
      <c r="M109" s="3484"/>
      <c r="N109" s="3484"/>
      <c r="O109" s="3485"/>
      <c r="P109" s="3484"/>
      <c r="Q109" s="3484"/>
      <c r="R109" s="3486"/>
    </row>
    <row r="110" s="3479" customFormat="1" spans="2:18">
      <c r="B110" s="3484"/>
      <c r="C110" s="3484"/>
      <c r="D110" s="3484"/>
      <c r="E110" s="3484"/>
      <c r="F110" s="3484"/>
      <c r="G110" s="3485"/>
      <c r="H110" s="3484"/>
      <c r="I110" s="3485"/>
      <c r="J110" s="3484"/>
      <c r="K110" s="3484"/>
      <c r="L110" s="3485"/>
      <c r="M110" s="3484"/>
      <c r="N110" s="3484"/>
      <c r="O110" s="3485"/>
      <c r="P110" s="3484"/>
      <c r="Q110" s="3484"/>
      <c r="R110" s="3486"/>
    </row>
    <row r="111" s="3479" customFormat="1" spans="2:18">
      <c r="B111" s="3484"/>
      <c r="C111" s="3484"/>
      <c r="D111" s="3484"/>
      <c r="E111" s="3484"/>
      <c r="F111" s="3484"/>
      <c r="G111" s="3485"/>
      <c r="H111" s="3484"/>
      <c r="I111" s="3485"/>
      <c r="J111" s="3484"/>
      <c r="K111" s="3484"/>
      <c r="L111" s="3485"/>
      <c r="M111" s="3484"/>
      <c r="N111" s="3484"/>
      <c r="O111" s="3485"/>
      <c r="P111" s="3484"/>
      <c r="Q111" s="3484"/>
      <c r="R111" s="3486"/>
    </row>
    <row r="112" s="3479" customFormat="1" spans="2:18">
      <c r="B112" s="3484"/>
      <c r="C112" s="3484"/>
      <c r="D112" s="3484"/>
      <c r="E112" s="3484"/>
      <c r="F112" s="3484"/>
      <c r="G112" s="3485"/>
      <c r="H112" s="3484"/>
      <c r="I112" s="3485"/>
      <c r="J112" s="3484"/>
      <c r="K112" s="3484"/>
      <c r="L112" s="3485"/>
      <c r="M112" s="3484"/>
      <c r="N112" s="3484"/>
      <c r="O112" s="3485"/>
      <c r="P112" s="3484"/>
      <c r="Q112" s="3484"/>
      <c r="R112" s="3486"/>
    </row>
    <row r="113" s="3479" customFormat="1" spans="2:18">
      <c r="B113" s="3484"/>
      <c r="C113" s="3484"/>
      <c r="D113" s="3484"/>
      <c r="E113" s="3484"/>
      <c r="F113" s="3484"/>
      <c r="G113" s="3485"/>
      <c r="H113" s="3484"/>
      <c r="I113" s="3485"/>
      <c r="J113" s="3484"/>
      <c r="K113" s="3484"/>
      <c r="L113" s="3485"/>
      <c r="M113" s="3484"/>
      <c r="N113" s="3484"/>
      <c r="O113" s="3485"/>
      <c r="P113" s="3484"/>
      <c r="Q113" s="3484"/>
      <c r="R113" s="3486"/>
    </row>
    <row r="114" s="3479" customFormat="1" spans="2:18">
      <c r="B114" s="3484"/>
      <c r="C114" s="3484"/>
      <c r="D114" s="3484"/>
      <c r="E114" s="3484"/>
      <c r="F114" s="3484"/>
      <c r="G114" s="3485"/>
      <c r="H114" s="3484"/>
      <c r="I114" s="3485"/>
      <c r="J114" s="3484"/>
      <c r="K114" s="3484"/>
      <c r="L114" s="3485"/>
      <c r="M114" s="3484"/>
      <c r="N114" s="3484"/>
      <c r="O114" s="3485"/>
      <c r="P114" s="3484"/>
      <c r="Q114" s="3484"/>
      <c r="R114" s="3486"/>
    </row>
    <row r="115" s="3479" customFormat="1" spans="2:18">
      <c r="B115" s="3484"/>
      <c r="C115" s="3484"/>
      <c r="D115" s="3484"/>
      <c r="E115" s="3484"/>
      <c r="F115" s="3484"/>
      <c r="G115" s="3485"/>
      <c r="H115" s="3484"/>
      <c r="I115" s="3485"/>
      <c r="J115" s="3484"/>
      <c r="K115" s="3484"/>
      <c r="L115" s="3485"/>
      <c r="M115" s="3484"/>
      <c r="N115" s="3484"/>
      <c r="O115" s="3485"/>
      <c r="P115" s="3484"/>
      <c r="Q115" s="3484"/>
      <c r="R115" s="3486"/>
    </row>
    <row r="116" s="3479" customFormat="1" spans="2:18">
      <c r="B116" s="3484"/>
      <c r="C116" s="3484"/>
      <c r="D116" s="3484"/>
      <c r="E116" s="3484"/>
      <c r="F116" s="3484"/>
      <c r="G116" s="3485"/>
      <c r="H116" s="3484"/>
      <c r="I116" s="3485"/>
      <c r="J116" s="3484"/>
      <c r="K116" s="3484"/>
      <c r="L116" s="3485"/>
      <c r="M116" s="3484"/>
      <c r="N116" s="3484"/>
      <c r="O116" s="3485"/>
      <c r="P116" s="3484"/>
      <c r="Q116" s="3484"/>
      <c r="R116" s="3486"/>
    </row>
    <row r="117" s="3479" customFormat="1" spans="2:18">
      <c r="B117" s="3484"/>
      <c r="C117" s="3484"/>
      <c r="D117" s="3484"/>
      <c r="E117" s="3484"/>
      <c r="F117" s="3484"/>
      <c r="G117" s="3485"/>
      <c r="H117" s="3484"/>
      <c r="I117" s="3485"/>
      <c r="J117" s="3484"/>
      <c r="K117" s="3484"/>
      <c r="L117" s="3485"/>
      <c r="M117" s="3484"/>
      <c r="N117" s="3484"/>
      <c r="O117" s="3485"/>
      <c r="P117" s="3484"/>
      <c r="Q117" s="3484"/>
      <c r="R117" s="3486"/>
    </row>
    <row r="118" s="3479" customFormat="1" spans="2:18">
      <c r="B118" s="3484"/>
      <c r="C118" s="3484"/>
      <c r="D118" s="3484"/>
      <c r="E118" s="3484"/>
      <c r="F118" s="3484"/>
      <c r="G118" s="3485"/>
      <c r="H118" s="3484"/>
      <c r="I118" s="3485"/>
      <c r="J118" s="3484"/>
      <c r="K118" s="3484"/>
      <c r="L118" s="3485"/>
      <c r="M118" s="3484"/>
      <c r="N118" s="3484"/>
      <c r="O118" s="3485"/>
      <c r="P118" s="3484"/>
      <c r="Q118" s="3484"/>
      <c r="R118" s="3486"/>
    </row>
    <row r="119" s="3479" customFormat="1" spans="2:18">
      <c r="B119" s="3484"/>
      <c r="C119" s="3484"/>
      <c r="D119" s="3484"/>
      <c r="E119" s="3484"/>
      <c r="F119" s="3484"/>
      <c r="G119" s="3485"/>
      <c r="H119" s="3484"/>
      <c r="I119" s="3485"/>
      <c r="J119" s="3484"/>
      <c r="K119" s="3484"/>
      <c r="L119" s="3485"/>
      <c r="M119" s="3484"/>
      <c r="N119" s="3484"/>
      <c r="O119" s="3485"/>
      <c r="P119" s="3484"/>
      <c r="Q119" s="3484"/>
      <c r="R119" s="3486"/>
    </row>
    <row r="120" s="3479" customFormat="1" spans="2:18">
      <c r="B120" s="3484"/>
      <c r="C120" s="3484"/>
      <c r="D120" s="3484"/>
      <c r="E120" s="3484"/>
      <c r="F120" s="3484"/>
      <c r="G120" s="3485"/>
      <c r="H120" s="3484"/>
      <c r="I120" s="3485"/>
      <c r="J120" s="3484"/>
      <c r="K120" s="3484"/>
      <c r="L120" s="3485"/>
      <c r="M120" s="3484"/>
      <c r="N120" s="3484"/>
      <c r="O120" s="3485"/>
      <c r="P120" s="3484"/>
      <c r="Q120" s="3484"/>
      <c r="R120" s="3486"/>
    </row>
    <row r="121" s="3479" customFormat="1" spans="2:18">
      <c r="B121" s="3484"/>
      <c r="C121" s="3484"/>
      <c r="D121" s="3484"/>
      <c r="E121" s="3484"/>
      <c r="F121" s="3484"/>
      <c r="G121" s="3485"/>
      <c r="H121" s="3484"/>
      <c r="I121" s="3485"/>
      <c r="J121" s="3484"/>
      <c r="K121" s="3484"/>
      <c r="L121" s="3485"/>
      <c r="M121" s="3484"/>
      <c r="N121" s="3484"/>
      <c r="O121" s="3485"/>
      <c r="P121" s="3484"/>
      <c r="Q121" s="3484"/>
      <c r="R121" s="3486"/>
    </row>
    <row r="122" s="3479" customFormat="1" spans="2:18">
      <c r="B122" s="3484"/>
      <c r="C122" s="3484"/>
      <c r="D122" s="3484"/>
      <c r="E122" s="3484"/>
      <c r="F122" s="3484"/>
      <c r="G122" s="3485"/>
      <c r="H122" s="3484"/>
      <c r="I122" s="3485"/>
      <c r="J122" s="3484"/>
      <c r="K122" s="3484"/>
      <c r="L122" s="3485"/>
      <c r="M122" s="3484"/>
      <c r="N122" s="3484"/>
      <c r="O122" s="3485"/>
      <c r="P122" s="3484"/>
      <c r="Q122" s="3484"/>
      <c r="R122" s="3486"/>
    </row>
    <row r="123" s="3479" customFormat="1" spans="2:18">
      <c r="B123" s="3484"/>
      <c r="C123" s="3484"/>
      <c r="D123" s="3484"/>
      <c r="E123" s="3484"/>
      <c r="F123" s="3484"/>
      <c r="G123" s="3485"/>
      <c r="H123" s="3484"/>
      <c r="I123" s="3485"/>
      <c r="J123" s="3484"/>
      <c r="K123" s="3484"/>
      <c r="L123" s="3485"/>
      <c r="M123" s="3484"/>
      <c r="N123" s="3484"/>
      <c r="O123" s="3485"/>
      <c r="P123" s="3484"/>
      <c r="Q123" s="3484"/>
      <c r="R123" s="3486"/>
    </row>
    <row r="124" s="3479" customFormat="1" spans="2:18">
      <c r="B124" s="3484"/>
      <c r="C124" s="3484"/>
      <c r="D124" s="3484"/>
      <c r="E124" s="3484"/>
      <c r="F124" s="3484"/>
      <c r="G124" s="3485"/>
      <c r="H124" s="3484"/>
      <c r="I124" s="3485"/>
      <c r="J124" s="3484"/>
      <c r="K124" s="3484"/>
      <c r="L124" s="3485"/>
      <c r="M124" s="3484"/>
      <c r="N124" s="3484"/>
      <c r="O124" s="3485"/>
      <c r="P124" s="3484"/>
      <c r="Q124" s="3484"/>
      <c r="R124" s="3486"/>
    </row>
    <row r="125" s="3479" customFormat="1" spans="2:18">
      <c r="B125" s="3484"/>
      <c r="C125" s="3484"/>
      <c r="D125" s="3484"/>
      <c r="E125" s="3484"/>
      <c r="F125" s="3484"/>
      <c r="G125" s="3485"/>
      <c r="H125" s="3484"/>
      <c r="I125" s="3485"/>
      <c r="J125" s="3484"/>
      <c r="K125" s="3484"/>
      <c r="L125" s="3485"/>
      <c r="M125" s="3484"/>
      <c r="N125" s="3484"/>
      <c r="O125" s="3485"/>
      <c r="P125" s="3484"/>
      <c r="Q125" s="3484"/>
      <c r="R125" s="3486"/>
    </row>
    <row r="126" s="3479" customFormat="1" spans="2:18">
      <c r="B126" s="3484"/>
      <c r="C126" s="3484"/>
      <c r="D126" s="3484"/>
      <c r="E126" s="3484"/>
      <c r="F126" s="3484"/>
      <c r="G126" s="3485"/>
      <c r="H126" s="3484"/>
      <c r="I126" s="3485"/>
      <c r="J126" s="3484"/>
      <c r="K126" s="3484"/>
      <c r="L126" s="3485"/>
      <c r="M126" s="3484"/>
      <c r="N126" s="3484"/>
      <c r="O126" s="3485"/>
      <c r="P126" s="3484"/>
      <c r="Q126" s="3484"/>
      <c r="R126" s="3486"/>
    </row>
    <row r="127" s="3479" customFormat="1" spans="2:18">
      <c r="B127" s="3484"/>
      <c r="C127" s="3484"/>
      <c r="D127" s="3484"/>
      <c r="E127" s="3484"/>
      <c r="F127" s="3484"/>
      <c r="G127" s="3485"/>
      <c r="H127" s="3484"/>
      <c r="I127" s="3485"/>
      <c r="J127" s="3484"/>
      <c r="K127" s="3484"/>
      <c r="L127" s="3485"/>
      <c r="M127" s="3484"/>
      <c r="N127" s="3484"/>
      <c r="O127" s="3485"/>
      <c r="P127" s="3484"/>
      <c r="Q127" s="3484"/>
      <c r="R127" s="3486"/>
    </row>
    <row r="128" s="3479" customFormat="1" spans="2:18">
      <c r="B128" s="3484"/>
      <c r="C128" s="3484"/>
      <c r="D128" s="3484"/>
      <c r="E128" s="3484"/>
      <c r="F128" s="3484"/>
      <c r="G128" s="3485"/>
      <c r="H128" s="3484"/>
      <c r="I128" s="3485"/>
      <c r="J128" s="3484"/>
      <c r="K128" s="3484"/>
      <c r="L128" s="3485"/>
      <c r="M128" s="3484"/>
      <c r="N128" s="3484"/>
      <c r="O128" s="3485"/>
      <c r="P128" s="3484"/>
      <c r="Q128" s="3484"/>
      <c r="R128" s="3486"/>
    </row>
    <row r="129" s="3479" customFormat="1" spans="2:18">
      <c r="B129" s="3484"/>
      <c r="C129" s="3484"/>
      <c r="D129" s="3484"/>
      <c r="E129" s="3484"/>
      <c r="F129" s="3484"/>
      <c r="G129" s="3485"/>
      <c r="H129" s="3484"/>
      <c r="I129" s="3485"/>
      <c r="J129" s="3484"/>
      <c r="K129" s="3484"/>
      <c r="L129" s="3485"/>
      <c r="M129" s="3484"/>
      <c r="N129" s="3484"/>
      <c r="O129" s="3485"/>
      <c r="P129" s="3484"/>
      <c r="Q129" s="3484"/>
      <c r="R129" s="3486"/>
    </row>
    <row r="130" s="3479" customFormat="1" spans="2:18">
      <c r="B130" s="3484"/>
      <c r="C130" s="3484"/>
      <c r="D130" s="3484"/>
      <c r="E130" s="3484"/>
      <c r="F130" s="3484"/>
      <c r="G130" s="3485"/>
      <c r="H130" s="3484"/>
      <c r="I130" s="3485"/>
      <c r="J130" s="3484"/>
      <c r="K130" s="3484"/>
      <c r="L130" s="3485"/>
      <c r="M130" s="3484"/>
      <c r="N130" s="3484"/>
      <c r="O130" s="3485"/>
      <c r="P130" s="3484"/>
      <c r="Q130" s="3484"/>
      <c r="R130" s="3486"/>
    </row>
    <row r="131" s="3479" customFormat="1" spans="2:18">
      <c r="B131" s="3484"/>
      <c r="C131" s="3484"/>
      <c r="D131" s="3484"/>
      <c r="E131" s="3484"/>
      <c r="F131" s="3484"/>
      <c r="G131" s="3485"/>
      <c r="H131" s="3484"/>
      <c r="I131" s="3485"/>
      <c r="J131" s="3484"/>
      <c r="K131" s="3484"/>
      <c r="L131" s="3485"/>
      <c r="M131" s="3484"/>
      <c r="N131" s="3484"/>
      <c r="O131" s="3485"/>
      <c r="P131" s="3484"/>
      <c r="Q131" s="3484"/>
      <c r="R131" s="3486"/>
    </row>
    <row r="132" s="3479" customFormat="1" spans="2:18">
      <c r="B132" s="3484"/>
      <c r="C132" s="3484"/>
      <c r="D132" s="3484"/>
      <c r="E132" s="3484"/>
      <c r="F132" s="3484"/>
      <c r="G132" s="3485"/>
      <c r="H132" s="3484"/>
      <c r="I132" s="3485"/>
      <c r="J132" s="3484"/>
      <c r="K132" s="3484"/>
      <c r="L132" s="3485"/>
      <c r="M132" s="3484"/>
      <c r="N132" s="3484"/>
      <c r="O132" s="3485"/>
      <c r="P132" s="3484"/>
      <c r="Q132" s="3484"/>
      <c r="R132" s="3486"/>
    </row>
    <row r="133" s="3479" customFormat="1" spans="2:18">
      <c r="B133" s="3484"/>
      <c r="C133" s="3484"/>
      <c r="D133" s="3484"/>
      <c r="E133" s="3484"/>
      <c r="F133" s="3484"/>
      <c r="G133" s="3485"/>
      <c r="H133" s="3484"/>
      <c r="I133" s="3485"/>
      <c r="J133" s="3484"/>
      <c r="K133" s="3484"/>
      <c r="L133" s="3485"/>
      <c r="M133" s="3484"/>
      <c r="N133" s="3484"/>
      <c r="O133" s="3485"/>
      <c r="P133" s="3484"/>
      <c r="Q133" s="3484"/>
      <c r="R133" s="3486"/>
    </row>
    <row r="134" s="3479" customFormat="1" spans="2:18">
      <c r="B134" s="3484"/>
      <c r="C134" s="3484"/>
      <c r="D134" s="3484"/>
      <c r="E134" s="3484"/>
      <c r="F134" s="3484"/>
      <c r="G134" s="3485"/>
      <c r="H134" s="3484"/>
      <c r="I134" s="3485"/>
      <c r="J134" s="3484"/>
      <c r="K134" s="3484"/>
      <c r="L134" s="3485"/>
      <c r="M134" s="3484"/>
      <c r="N134" s="3484"/>
      <c r="O134" s="3485"/>
      <c r="P134" s="3484"/>
      <c r="Q134" s="3484"/>
      <c r="R134" s="3486"/>
    </row>
    <row r="135" s="3479" customFormat="1" spans="2:18">
      <c r="B135" s="3484"/>
      <c r="C135" s="3484"/>
      <c r="D135" s="3484"/>
      <c r="E135" s="3484"/>
      <c r="F135" s="3484"/>
      <c r="G135" s="3485"/>
      <c r="H135" s="3484"/>
      <c r="I135" s="3485"/>
      <c r="J135" s="3484"/>
      <c r="K135" s="3484"/>
      <c r="L135" s="3485"/>
      <c r="M135" s="3484"/>
      <c r="N135" s="3484"/>
      <c r="O135" s="3485"/>
      <c r="P135" s="3484"/>
      <c r="Q135" s="3484"/>
      <c r="R135" s="3486"/>
    </row>
    <row r="136" s="3479" customFormat="1" spans="2:18">
      <c r="B136" s="3484"/>
      <c r="C136" s="3484"/>
      <c r="D136" s="3484"/>
      <c r="E136" s="3484"/>
      <c r="F136" s="3484"/>
      <c r="G136" s="3485"/>
      <c r="H136" s="3484"/>
      <c r="I136" s="3485"/>
      <c r="J136" s="3484"/>
      <c r="K136" s="3484"/>
      <c r="L136" s="3485"/>
      <c r="M136" s="3484"/>
      <c r="N136" s="3484"/>
      <c r="O136" s="3485"/>
      <c r="P136" s="3484"/>
      <c r="Q136" s="3484"/>
      <c r="R136" s="3486"/>
    </row>
    <row r="137" s="3479" customFormat="1" spans="2:18">
      <c r="B137" s="3484"/>
      <c r="C137" s="3484"/>
      <c r="D137" s="3484"/>
      <c r="E137" s="3484"/>
      <c r="F137" s="3484"/>
      <c r="G137" s="3485"/>
      <c r="H137" s="3484"/>
      <c r="I137" s="3485"/>
      <c r="J137" s="3484"/>
      <c r="K137" s="3484"/>
      <c r="L137" s="3485"/>
      <c r="M137" s="3484"/>
      <c r="N137" s="3484"/>
      <c r="O137" s="3485"/>
      <c r="P137" s="3484"/>
      <c r="Q137" s="3484"/>
      <c r="R137" s="3486"/>
    </row>
    <row r="138" s="3479" customFormat="1" spans="2:18">
      <c r="B138" s="3484"/>
      <c r="C138" s="3484"/>
      <c r="D138" s="3484"/>
      <c r="E138" s="3484"/>
      <c r="F138" s="3484"/>
      <c r="G138" s="3485"/>
      <c r="H138" s="3484"/>
      <c r="I138" s="3485"/>
      <c r="J138" s="3484"/>
      <c r="K138" s="3484"/>
      <c r="L138" s="3485"/>
      <c r="M138" s="3484"/>
      <c r="N138" s="3484"/>
      <c r="O138" s="3485"/>
      <c r="P138" s="3484"/>
      <c r="Q138" s="3484"/>
      <c r="R138" s="3486"/>
    </row>
    <row r="139" s="3479" customFormat="1" spans="2:18">
      <c r="B139" s="3484"/>
      <c r="C139" s="3484"/>
      <c r="D139" s="3484"/>
      <c r="E139" s="3484"/>
      <c r="F139" s="3484"/>
      <c r="G139" s="3485"/>
      <c r="H139" s="3484"/>
      <c r="I139" s="3485"/>
      <c r="J139" s="3484"/>
      <c r="K139" s="3484"/>
      <c r="L139" s="3485"/>
      <c r="M139" s="3484"/>
      <c r="N139" s="3484"/>
      <c r="O139" s="3485"/>
      <c r="P139" s="3484"/>
      <c r="Q139" s="3484"/>
      <c r="R139" s="3486"/>
    </row>
    <row r="140" s="3479" customFormat="1" spans="2:18">
      <c r="B140" s="3484"/>
      <c r="C140" s="3484"/>
      <c r="D140" s="3484"/>
      <c r="E140" s="3484"/>
      <c r="F140" s="3484"/>
      <c r="G140" s="3485"/>
      <c r="H140" s="3484"/>
      <c r="I140" s="3485"/>
      <c r="J140" s="3484"/>
      <c r="K140" s="3484"/>
      <c r="L140" s="3485"/>
      <c r="M140" s="3484"/>
      <c r="N140" s="3484"/>
      <c r="O140" s="3485"/>
      <c r="P140" s="3484"/>
      <c r="Q140" s="3484"/>
      <c r="R140" s="3486"/>
    </row>
    <row r="141" s="3479" customFormat="1" spans="2:18">
      <c r="B141" s="3484"/>
      <c r="C141" s="3484"/>
      <c r="D141" s="3484"/>
      <c r="E141" s="3484"/>
      <c r="F141" s="3484"/>
      <c r="G141" s="3485"/>
      <c r="H141" s="3484"/>
      <c r="I141" s="3485"/>
      <c r="J141" s="3484"/>
      <c r="K141" s="3484"/>
      <c r="L141" s="3485"/>
      <c r="M141" s="3484"/>
      <c r="N141" s="3484"/>
      <c r="O141" s="3485"/>
      <c r="P141" s="3484"/>
      <c r="Q141" s="3484"/>
      <c r="R141" s="3486"/>
    </row>
    <row r="142" s="3479" customFormat="1" spans="2:18">
      <c r="B142" s="3484"/>
      <c r="C142" s="3484"/>
      <c r="D142" s="3484"/>
      <c r="E142" s="3484"/>
      <c r="F142" s="3484"/>
      <c r="G142" s="3485"/>
      <c r="H142" s="3484"/>
      <c r="I142" s="3485"/>
      <c r="J142" s="3484"/>
      <c r="K142" s="3484"/>
      <c r="L142" s="3485"/>
      <c r="M142" s="3484"/>
      <c r="N142" s="3484"/>
      <c r="O142" s="3485"/>
      <c r="P142" s="3484"/>
      <c r="Q142" s="3484"/>
      <c r="R142" s="3486"/>
    </row>
    <row r="143" s="3479" customFormat="1" spans="2:18">
      <c r="B143" s="3484"/>
      <c r="C143" s="3484"/>
      <c r="D143" s="3484"/>
      <c r="E143" s="3484"/>
      <c r="F143" s="3484"/>
      <c r="G143" s="3485"/>
      <c r="H143" s="3484"/>
      <c r="I143" s="3485"/>
      <c r="J143" s="3484"/>
      <c r="K143" s="3484"/>
      <c r="L143" s="3485"/>
      <c r="M143" s="3484"/>
      <c r="N143" s="3484"/>
      <c r="O143" s="3485"/>
      <c r="P143" s="3484"/>
      <c r="Q143" s="3484"/>
      <c r="R143" s="3486"/>
    </row>
    <row r="144" s="3479" customFormat="1" spans="2:18">
      <c r="B144" s="3484"/>
      <c r="C144" s="3484"/>
      <c r="D144" s="3484"/>
      <c r="E144" s="3484"/>
      <c r="F144" s="3484"/>
      <c r="G144" s="3485"/>
      <c r="H144" s="3484"/>
      <c r="I144" s="3485"/>
      <c r="J144" s="3484"/>
      <c r="K144" s="3484"/>
      <c r="L144" s="3485"/>
      <c r="M144" s="3484"/>
      <c r="N144" s="3484"/>
      <c r="O144" s="3485"/>
      <c r="P144" s="3484"/>
      <c r="Q144" s="3484"/>
      <c r="R144" s="3486"/>
    </row>
    <row r="145" s="3479" customFormat="1" spans="2:18">
      <c r="B145" s="3484"/>
      <c r="C145" s="3484"/>
      <c r="D145" s="3484"/>
      <c r="E145" s="3484"/>
      <c r="F145" s="3484"/>
      <c r="G145" s="3485"/>
      <c r="H145" s="3484"/>
      <c r="I145" s="3485"/>
      <c r="J145" s="3484"/>
      <c r="K145" s="3484"/>
      <c r="L145" s="3485"/>
      <c r="M145" s="3484"/>
      <c r="N145" s="3484"/>
      <c r="O145" s="3485"/>
      <c r="P145" s="3484"/>
      <c r="Q145" s="3484"/>
      <c r="R145" s="3486"/>
    </row>
    <row r="146" s="3479" customFormat="1" spans="2:18">
      <c r="B146" s="3484"/>
      <c r="C146" s="3484"/>
      <c r="D146" s="3484"/>
      <c r="E146" s="3484"/>
      <c r="F146" s="3484"/>
      <c r="G146" s="3485"/>
      <c r="H146" s="3484"/>
      <c r="I146" s="3485"/>
      <c r="J146" s="3484"/>
      <c r="K146" s="3484"/>
      <c r="L146" s="3485"/>
      <c r="M146" s="3484"/>
      <c r="N146" s="3484"/>
      <c r="O146" s="3485"/>
      <c r="P146" s="3484"/>
      <c r="Q146" s="3484"/>
      <c r="R146" s="3486"/>
    </row>
    <row r="147" s="3479" customFormat="1" spans="2:18">
      <c r="B147" s="3484"/>
      <c r="C147" s="3484"/>
      <c r="D147" s="3484"/>
      <c r="E147" s="3484"/>
      <c r="F147" s="3484"/>
      <c r="G147" s="3485"/>
      <c r="H147" s="3484"/>
      <c r="I147" s="3485"/>
      <c r="J147" s="3484"/>
      <c r="K147" s="3484"/>
      <c r="L147" s="3485"/>
      <c r="M147" s="3484"/>
      <c r="N147" s="3484"/>
      <c r="O147" s="3485"/>
      <c r="P147" s="3484"/>
      <c r="Q147" s="3484"/>
      <c r="R147" s="3486"/>
    </row>
    <row r="148" s="3479" customFormat="1" spans="2:18">
      <c r="B148" s="3484"/>
      <c r="C148" s="3484"/>
      <c r="D148" s="3484"/>
      <c r="E148" s="3484"/>
      <c r="F148" s="3484"/>
      <c r="G148" s="3485"/>
      <c r="H148" s="3484"/>
      <c r="I148" s="3485"/>
      <c r="J148" s="3484"/>
      <c r="K148" s="3484"/>
      <c r="L148" s="3485"/>
      <c r="M148" s="3484"/>
      <c r="N148" s="3484"/>
      <c r="O148" s="3485"/>
      <c r="P148" s="3484"/>
      <c r="Q148" s="3484"/>
      <c r="R148" s="3486"/>
    </row>
    <row r="149" s="3479" customFormat="1" spans="2:18">
      <c r="B149" s="3484"/>
      <c r="C149" s="3484"/>
      <c r="D149" s="3484"/>
      <c r="E149" s="3484"/>
      <c r="F149" s="3484"/>
      <c r="G149" s="3485"/>
      <c r="H149" s="3484"/>
      <c r="I149" s="3485"/>
      <c r="J149" s="3484"/>
      <c r="K149" s="3484"/>
      <c r="L149" s="3485"/>
      <c r="M149" s="3484"/>
      <c r="N149" s="3484"/>
      <c r="O149" s="3485"/>
      <c r="P149" s="3484"/>
      <c r="Q149" s="3484"/>
      <c r="R149" s="3486"/>
    </row>
    <row r="150" s="3479" customFormat="1" spans="2:18">
      <c r="B150" s="3484"/>
      <c r="C150" s="3484"/>
      <c r="D150" s="3484"/>
      <c r="E150" s="3484"/>
      <c r="F150" s="3484"/>
      <c r="G150" s="3485"/>
      <c r="H150" s="3484"/>
      <c r="I150" s="3485"/>
      <c r="J150" s="3484"/>
      <c r="K150" s="3484"/>
      <c r="L150" s="3485"/>
      <c r="M150" s="3484"/>
      <c r="N150" s="3484"/>
      <c r="O150" s="3485"/>
      <c r="P150" s="3484"/>
      <c r="Q150" s="3484"/>
      <c r="R150" s="3486"/>
    </row>
    <row r="151" s="3479" customFormat="1" spans="2:18">
      <c r="B151" s="3484"/>
      <c r="C151" s="3484"/>
      <c r="D151" s="3484"/>
      <c r="E151" s="3484"/>
      <c r="F151" s="3484"/>
      <c r="G151" s="3485"/>
      <c r="H151" s="3484"/>
      <c r="I151" s="3485"/>
      <c r="J151" s="3484"/>
      <c r="K151" s="3484"/>
      <c r="L151" s="3485"/>
      <c r="M151" s="3484"/>
      <c r="N151" s="3484"/>
      <c r="O151" s="3485"/>
      <c r="P151" s="3484"/>
      <c r="Q151" s="3484"/>
      <c r="R151" s="3486"/>
    </row>
    <row r="152" s="3479" customFormat="1" spans="2:18">
      <c r="B152" s="3484"/>
      <c r="C152" s="3484"/>
      <c r="D152" s="3484"/>
      <c r="E152" s="3484"/>
      <c r="F152" s="3484"/>
      <c r="G152" s="3485"/>
      <c r="H152" s="3484"/>
      <c r="I152" s="3485"/>
      <c r="J152" s="3484"/>
      <c r="K152" s="3484"/>
      <c r="L152" s="3485"/>
      <c r="M152" s="3484"/>
      <c r="N152" s="3484"/>
      <c r="O152" s="3485"/>
      <c r="P152" s="3484"/>
      <c r="Q152" s="3484"/>
      <c r="R152" s="3486"/>
    </row>
    <row r="153" s="3479" customFormat="1" spans="2:18">
      <c r="B153" s="3484"/>
      <c r="C153" s="3484"/>
      <c r="D153" s="3484"/>
      <c r="E153" s="3484"/>
      <c r="F153" s="3484"/>
      <c r="G153" s="3485"/>
      <c r="H153" s="3484"/>
      <c r="I153" s="3485"/>
      <c r="J153" s="3484"/>
      <c r="K153" s="3484"/>
      <c r="L153" s="3485"/>
      <c r="M153" s="3484"/>
      <c r="N153" s="3484"/>
      <c r="O153" s="3485"/>
      <c r="P153" s="3484"/>
      <c r="Q153" s="3484"/>
      <c r="R153" s="3486"/>
    </row>
    <row r="154" s="3479" customFormat="1" spans="2:18">
      <c r="B154" s="3484"/>
      <c r="C154" s="3484"/>
      <c r="D154" s="3484"/>
      <c r="E154" s="3484"/>
      <c r="F154" s="3484"/>
      <c r="G154" s="3485"/>
      <c r="H154" s="3484"/>
      <c r="I154" s="3485"/>
      <c r="J154" s="3484"/>
      <c r="K154" s="3484"/>
      <c r="L154" s="3485"/>
      <c r="M154" s="3484"/>
      <c r="N154" s="3484"/>
      <c r="O154" s="3485"/>
      <c r="P154" s="3484"/>
      <c r="Q154" s="3484"/>
      <c r="R154" s="3486"/>
    </row>
    <row r="155" s="3479" customFormat="1" spans="2:18">
      <c r="B155" s="3484"/>
      <c r="C155" s="3484"/>
      <c r="D155" s="3484"/>
      <c r="E155" s="3484"/>
      <c r="F155" s="3484"/>
      <c r="G155" s="3485"/>
      <c r="H155" s="3484"/>
      <c r="I155" s="3485"/>
      <c r="J155" s="3484"/>
      <c r="K155" s="3484"/>
      <c r="L155" s="3485"/>
      <c r="M155" s="3484"/>
      <c r="N155" s="3484"/>
      <c r="O155" s="3485"/>
      <c r="P155" s="3484"/>
      <c r="Q155" s="3484"/>
      <c r="R155" s="3486"/>
    </row>
    <row r="156" s="3479" customFormat="1" spans="2:18">
      <c r="B156" s="3484"/>
      <c r="C156" s="3484"/>
      <c r="D156" s="3484"/>
      <c r="E156" s="3484"/>
      <c r="F156" s="3484"/>
      <c r="G156" s="3485"/>
      <c r="H156" s="3484"/>
      <c r="I156" s="3485"/>
      <c r="J156" s="3484"/>
      <c r="K156" s="3484"/>
      <c r="L156" s="3485"/>
      <c r="M156" s="3484"/>
      <c r="N156" s="3484"/>
      <c r="O156" s="3485"/>
      <c r="P156" s="3484"/>
      <c r="Q156" s="3484"/>
      <c r="R156" s="3486"/>
    </row>
    <row r="157" s="3479" customFormat="1" spans="2:18">
      <c r="B157" s="3484"/>
      <c r="C157" s="3484"/>
      <c r="D157" s="3484"/>
      <c r="E157" s="3484"/>
      <c r="F157" s="3484"/>
      <c r="G157" s="3485"/>
      <c r="H157" s="3484"/>
      <c r="I157" s="3485"/>
      <c r="J157" s="3484"/>
      <c r="K157" s="3484"/>
      <c r="L157" s="3485"/>
      <c r="M157" s="3484"/>
      <c r="N157" s="3484"/>
      <c r="O157" s="3485"/>
      <c r="P157" s="3484"/>
      <c r="Q157" s="3484"/>
      <c r="R157" s="3486"/>
    </row>
    <row r="158" s="3479" customFormat="1" spans="2:18">
      <c r="B158" s="3484"/>
      <c r="C158" s="3484"/>
      <c r="D158" s="3484"/>
      <c r="E158" s="3484"/>
      <c r="F158" s="3484"/>
      <c r="G158" s="3485"/>
      <c r="H158" s="3484"/>
      <c r="I158" s="3485"/>
      <c r="J158" s="3484"/>
      <c r="K158" s="3484"/>
      <c r="L158" s="3485"/>
      <c r="M158" s="3484"/>
      <c r="N158" s="3484"/>
      <c r="O158" s="3485"/>
      <c r="P158" s="3484"/>
      <c r="Q158" s="3484"/>
      <c r="R158" s="3486"/>
    </row>
    <row r="159" s="3479" customFormat="1" spans="2:18">
      <c r="B159" s="3484"/>
      <c r="C159" s="3484"/>
      <c r="D159" s="3484"/>
      <c r="E159" s="3484"/>
      <c r="F159" s="3484"/>
      <c r="G159" s="3485"/>
      <c r="H159" s="3484"/>
      <c r="I159" s="3485"/>
      <c r="J159" s="3484"/>
      <c r="K159" s="3484"/>
      <c r="L159" s="3485"/>
      <c r="M159" s="3484"/>
      <c r="N159" s="3484"/>
      <c r="O159" s="3485"/>
      <c r="P159" s="3484"/>
      <c r="Q159" s="3484"/>
      <c r="R159" s="3486"/>
    </row>
    <row r="160" s="3479" customFormat="1" spans="2:18">
      <c r="B160" s="3484"/>
      <c r="C160" s="3484"/>
      <c r="D160" s="3484"/>
      <c r="E160" s="3484"/>
      <c r="F160" s="3484"/>
      <c r="G160" s="3485"/>
      <c r="H160" s="3484"/>
      <c r="I160" s="3485"/>
      <c r="J160" s="3484"/>
      <c r="K160" s="3484"/>
      <c r="L160" s="3485"/>
      <c r="M160" s="3484"/>
      <c r="N160" s="3484"/>
      <c r="O160" s="3485"/>
      <c r="P160" s="3484"/>
      <c r="Q160" s="3484"/>
      <c r="R160" s="3486"/>
    </row>
    <row r="161" s="3479" customFormat="1" spans="2:18">
      <c r="B161" s="3484"/>
      <c r="C161" s="3484"/>
      <c r="D161" s="3484"/>
      <c r="E161" s="3484"/>
      <c r="F161" s="3484"/>
      <c r="G161" s="3485"/>
      <c r="H161" s="3484"/>
      <c r="I161" s="3485"/>
      <c r="J161" s="3484"/>
      <c r="K161" s="3484"/>
      <c r="L161" s="3485"/>
      <c r="M161" s="3484"/>
      <c r="N161" s="3484"/>
      <c r="O161" s="3485"/>
      <c r="P161" s="3484"/>
      <c r="Q161" s="3484"/>
      <c r="R161" s="3486"/>
    </row>
    <row r="162" s="3479" customFormat="1" spans="2:18">
      <c r="B162" s="3484"/>
      <c r="C162" s="3484"/>
      <c r="D162" s="3484"/>
      <c r="E162" s="3484"/>
      <c r="F162" s="3484"/>
      <c r="G162" s="3485"/>
      <c r="H162" s="3484"/>
      <c r="I162" s="3485"/>
      <c r="J162" s="3484"/>
      <c r="K162" s="3484"/>
      <c r="L162" s="3485"/>
      <c r="M162" s="3484"/>
      <c r="N162" s="3484"/>
      <c r="O162" s="3485"/>
      <c r="P162" s="3484"/>
      <c r="Q162" s="3484"/>
      <c r="R162" s="3486"/>
    </row>
    <row r="163" s="3479" customFormat="1" spans="2:18">
      <c r="B163" s="3484"/>
      <c r="C163" s="3484"/>
      <c r="D163" s="3484"/>
      <c r="E163" s="3484"/>
      <c r="F163" s="3484"/>
      <c r="G163" s="3485"/>
      <c r="H163" s="3484"/>
      <c r="I163" s="3485"/>
      <c r="J163" s="3484"/>
      <c r="K163" s="3484"/>
      <c r="L163" s="3485"/>
      <c r="M163" s="3484"/>
      <c r="N163" s="3484"/>
      <c r="O163" s="3485"/>
      <c r="P163" s="3484"/>
      <c r="Q163" s="3484"/>
      <c r="R163" s="3486"/>
    </row>
    <row r="164" s="3479" customFormat="1" spans="2:18">
      <c r="B164" s="3484"/>
      <c r="C164" s="3484"/>
      <c r="D164" s="3484"/>
      <c r="E164" s="3484"/>
      <c r="F164" s="3484"/>
      <c r="G164" s="3485"/>
      <c r="H164" s="3484"/>
      <c r="I164" s="3485"/>
      <c r="J164" s="3484"/>
      <c r="K164" s="3484"/>
      <c r="L164" s="3485"/>
      <c r="M164" s="3484"/>
      <c r="N164" s="3484"/>
      <c r="O164" s="3485"/>
      <c r="P164" s="3484"/>
      <c r="Q164" s="3484"/>
      <c r="R164" s="3486"/>
    </row>
    <row r="165" s="3479" customFormat="1" spans="2:18">
      <c r="B165" s="3484"/>
      <c r="C165" s="3484"/>
      <c r="D165" s="3484"/>
      <c r="E165" s="3484"/>
      <c r="F165" s="3484"/>
      <c r="G165" s="3485"/>
      <c r="H165" s="3484"/>
      <c r="I165" s="3485"/>
      <c r="J165" s="3484"/>
      <c r="K165" s="3484"/>
      <c r="L165" s="3485"/>
      <c r="M165" s="3484"/>
      <c r="N165" s="3484"/>
      <c r="O165" s="3485"/>
      <c r="P165" s="3484"/>
      <c r="Q165" s="3484"/>
      <c r="R165" s="3486"/>
    </row>
    <row r="166" s="3479" customFormat="1" spans="2:18">
      <c r="B166" s="3484"/>
      <c r="C166" s="3484"/>
      <c r="D166" s="3484"/>
      <c r="E166" s="3484"/>
      <c r="F166" s="3484"/>
      <c r="G166" s="3485"/>
      <c r="H166" s="3484"/>
      <c r="I166" s="3485"/>
      <c r="J166" s="3484"/>
      <c r="K166" s="3484"/>
      <c r="L166" s="3485"/>
      <c r="M166" s="3484"/>
      <c r="N166" s="3484"/>
      <c r="O166" s="3485"/>
      <c r="P166" s="3484"/>
      <c r="Q166" s="3484"/>
      <c r="R166" s="3486"/>
    </row>
    <row r="167" s="3479" customFormat="1" spans="2:18">
      <c r="B167" s="3484"/>
      <c r="C167" s="3484"/>
      <c r="D167" s="3484"/>
      <c r="E167" s="3484"/>
      <c r="F167" s="3484"/>
      <c r="G167" s="3485"/>
      <c r="H167" s="3484"/>
      <c r="I167" s="3485"/>
      <c r="J167" s="3484"/>
      <c r="K167" s="3484"/>
      <c r="L167" s="3485"/>
      <c r="M167" s="3484"/>
      <c r="N167" s="3484"/>
      <c r="O167" s="3485"/>
      <c r="P167" s="3484"/>
      <c r="Q167" s="3484"/>
      <c r="R167" s="3486"/>
    </row>
    <row r="168" s="3479" customFormat="1" spans="2:18">
      <c r="B168" s="3484"/>
      <c r="C168" s="3484"/>
      <c r="D168" s="3484"/>
      <c r="E168" s="3484"/>
      <c r="F168" s="3484"/>
      <c r="G168" s="3485"/>
      <c r="H168" s="3484"/>
      <c r="I168" s="3485"/>
      <c r="J168" s="3484"/>
      <c r="K168" s="3484"/>
      <c r="L168" s="3485"/>
      <c r="M168" s="3484"/>
      <c r="N168" s="3484"/>
      <c r="O168" s="3485"/>
      <c r="P168" s="3484"/>
      <c r="Q168" s="3484"/>
      <c r="R168" s="3486"/>
    </row>
    <row r="169" s="3479" customFormat="1" spans="2:18">
      <c r="B169" s="3484"/>
      <c r="C169" s="3484"/>
      <c r="D169" s="3484"/>
      <c r="E169" s="3484"/>
      <c r="F169" s="3484"/>
      <c r="G169" s="3485"/>
      <c r="H169" s="3484"/>
      <c r="I169" s="3485"/>
      <c r="J169" s="3484"/>
      <c r="K169" s="3484"/>
      <c r="L169" s="3485"/>
      <c r="M169" s="3484"/>
      <c r="N169" s="3484"/>
      <c r="O169" s="3485"/>
      <c r="P169" s="3484"/>
      <c r="Q169" s="3484"/>
      <c r="R169" s="3486"/>
    </row>
    <row r="170" s="3479" customFormat="1" spans="2:18">
      <c r="B170" s="3484"/>
      <c r="C170" s="3484"/>
      <c r="D170" s="3484"/>
      <c r="E170" s="3484"/>
      <c r="F170" s="3484"/>
      <c r="G170" s="3485"/>
      <c r="H170" s="3484"/>
      <c r="I170" s="3485"/>
      <c r="J170" s="3484"/>
      <c r="K170" s="3484"/>
      <c r="L170" s="3485"/>
      <c r="M170" s="3484"/>
      <c r="N170" s="3484"/>
      <c r="O170" s="3485"/>
      <c r="P170" s="3484"/>
      <c r="Q170" s="3484"/>
      <c r="R170" s="3486"/>
    </row>
    <row r="171" s="3479" customFormat="1" spans="2:18">
      <c r="B171" s="3484"/>
      <c r="C171" s="3484"/>
      <c r="D171" s="3484"/>
      <c r="E171" s="3484"/>
      <c r="F171" s="3484"/>
      <c r="G171" s="3485"/>
      <c r="H171" s="3484"/>
      <c r="I171" s="3485"/>
      <c r="J171" s="3484"/>
      <c r="K171" s="3484"/>
      <c r="L171" s="3485"/>
      <c r="M171" s="3484"/>
      <c r="N171" s="3484"/>
      <c r="O171" s="3485"/>
      <c r="P171" s="3484"/>
      <c r="Q171" s="3484"/>
      <c r="R171" s="3486"/>
    </row>
    <row r="172" s="3479" customFormat="1" spans="2:18">
      <c r="B172" s="3484"/>
      <c r="C172" s="3484"/>
      <c r="D172" s="3484"/>
      <c r="E172" s="3484"/>
      <c r="F172" s="3484"/>
      <c r="G172" s="3485"/>
      <c r="H172" s="3484"/>
      <c r="I172" s="3485"/>
      <c r="J172" s="3484"/>
      <c r="K172" s="3484"/>
      <c r="L172" s="3485"/>
      <c r="M172" s="3484"/>
      <c r="N172" s="3484"/>
      <c r="O172" s="3485"/>
      <c r="P172" s="3484"/>
      <c r="Q172" s="3484"/>
      <c r="R172" s="3486"/>
    </row>
    <row r="173" s="3479" customFormat="1" spans="2:18">
      <c r="B173" s="3484"/>
      <c r="C173" s="3484"/>
      <c r="D173" s="3484"/>
      <c r="E173" s="3484"/>
      <c r="F173" s="3484"/>
      <c r="G173" s="3485"/>
      <c r="H173" s="3484"/>
      <c r="I173" s="3485"/>
      <c r="J173" s="3484"/>
      <c r="K173" s="3484"/>
      <c r="L173" s="3485"/>
      <c r="M173" s="3484"/>
      <c r="N173" s="3484"/>
      <c r="O173" s="3485"/>
      <c r="P173" s="3484"/>
      <c r="Q173" s="3484"/>
      <c r="R173" s="3486"/>
    </row>
    <row r="174" s="3479" customFormat="1" spans="2:18">
      <c r="B174" s="3484"/>
      <c r="C174" s="3484"/>
      <c r="D174" s="3484"/>
      <c r="E174" s="3484"/>
      <c r="F174" s="3484"/>
      <c r="G174" s="3485"/>
      <c r="H174" s="3484"/>
      <c r="I174" s="3485"/>
      <c r="J174" s="3484"/>
      <c r="K174" s="3484"/>
      <c r="L174" s="3485"/>
      <c r="M174" s="3484"/>
      <c r="N174" s="3484"/>
      <c r="O174" s="3485"/>
      <c r="P174" s="3484"/>
      <c r="Q174" s="3484"/>
      <c r="R174" s="3486"/>
    </row>
    <row r="175" s="3479" customFormat="1" spans="2:18">
      <c r="B175" s="3484"/>
      <c r="C175" s="3484"/>
      <c r="D175" s="3484"/>
      <c r="E175" s="3484"/>
      <c r="F175" s="3484"/>
      <c r="G175" s="3485"/>
      <c r="H175" s="3484"/>
      <c r="I175" s="3485"/>
      <c r="J175" s="3484"/>
      <c r="K175" s="3484"/>
      <c r="L175" s="3485"/>
      <c r="M175" s="3484"/>
      <c r="N175" s="3484"/>
      <c r="O175" s="3485"/>
      <c r="P175" s="3484"/>
      <c r="Q175" s="3484"/>
      <c r="R175" s="3486"/>
    </row>
    <row r="176" s="3479" customFormat="1" spans="2:18">
      <c r="B176" s="3484"/>
      <c r="C176" s="3484"/>
      <c r="D176" s="3484"/>
      <c r="E176" s="3484"/>
      <c r="F176" s="3484"/>
      <c r="G176" s="3485"/>
      <c r="H176" s="3484"/>
      <c r="I176" s="3485"/>
      <c r="J176" s="3484"/>
      <c r="K176" s="3484"/>
      <c r="L176" s="3485"/>
      <c r="M176" s="3484"/>
      <c r="N176" s="3484"/>
      <c r="O176" s="3485"/>
      <c r="P176" s="3484"/>
      <c r="Q176" s="3484"/>
      <c r="R176" s="3486"/>
    </row>
    <row r="177" s="3479" customFormat="1" spans="2:18">
      <c r="B177" s="3484"/>
      <c r="C177" s="3484"/>
      <c r="D177" s="3484"/>
      <c r="E177" s="3484"/>
      <c r="F177" s="3484"/>
      <c r="G177" s="3485"/>
      <c r="H177" s="3484"/>
      <c r="I177" s="3485"/>
      <c r="J177" s="3484"/>
      <c r="K177" s="3484"/>
      <c r="L177" s="3485"/>
      <c r="M177" s="3484"/>
      <c r="N177" s="3484"/>
      <c r="O177" s="3485"/>
      <c r="P177" s="3484"/>
      <c r="Q177" s="3484"/>
      <c r="R177" s="3486"/>
    </row>
    <row r="178" s="3479" customFormat="1" spans="2:18">
      <c r="B178" s="3484"/>
      <c r="C178" s="3484"/>
      <c r="D178" s="3484"/>
      <c r="E178" s="3484"/>
      <c r="F178" s="3484"/>
      <c r="G178" s="3485"/>
      <c r="H178" s="3484"/>
      <c r="I178" s="3485"/>
      <c r="J178" s="3484"/>
      <c r="K178" s="3484"/>
      <c r="L178" s="3485"/>
      <c r="M178" s="3484"/>
      <c r="N178" s="3484"/>
      <c r="O178" s="3485"/>
      <c r="P178" s="3484"/>
      <c r="Q178" s="3484"/>
      <c r="R178" s="3486"/>
    </row>
    <row r="179" s="3479" customFormat="1" spans="2:18">
      <c r="B179" s="3484"/>
      <c r="C179" s="3484"/>
      <c r="D179" s="3484"/>
      <c r="E179" s="3484"/>
      <c r="F179" s="3484"/>
      <c r="G179" s="3485"/>
      <c r="H179" s="3484"/>
      <c r="I179" s="3485"/>
      <c r="J179" s="3484"/>
      <c r="K179" s="3484"/>
      <c r="L179" s="3485"/>
      <c r="M179" s="3484"/>
      <c r="N179" s="3484"/>
      <c r="O179" s="3485"/>
      <c r="P179" s="3484"/>
      <c r="Q179" s="3484"/>
      <c r="R179" s="3486"/>
    </row>
    <row r="180" s="3479" customFormat="1" spans="2:18">
      <c r="B180" s="3484"/>
      <c r="C180" s="3484"/>
      <c r="D180" s="3484"/>
      <c r="E180" s="3484"/>
      <c r="F180" s="3484"/>
      <c r="G180" s="3485"/>
      <c r="H180" s="3484"/>
      <c r="I180" s="3485"/>
      <c r="J180" s="3484"/>
      <c r="K180" s="3484"/>
      <c r="L180" s="3485"/>
      <c r="M180" s="3484"/>
      <c r="N180" s="3484"/>
      <c r="O180" s="3485"/>
      <c r="P180" s="3484"/>
      <c r="Q180" s="3484"/>
      <c r="R180" s="3486"/>
    </row>
    <row r="181" s="3479" customFormat="1" spans="2:18">
      <c r="B181" s="3484"/>
      <c r="C181" s="3484"/>
      <c r="D181" s="3484"/>
      <c r="E181" s="3484"/>
      <c r="F181" s="3484"/>
      <c r="G181" s="3485"/>
      <c r="H181" s="3484"/>
      <c r="I181" s="3485"/>
      <c r="J181" s="3484"/>
      <c r="K181" s="3484"/>
      <c r="L181" s="3485"/>
      <c r="M181" s="3484"/>
      <c r="N181" s="3484"/>
      <c r="O181" s="3485"/>
      <c r="P181" s="3484"/>
      <c r="Q181" s="3484"/>
      <c r="R181" s="3486"/>
    </row>
    <row r="182" s="3479" customFormat="1" spans="2:18">
      <c r="B182" s="3484"/>
      <c r="C182" s="3484"/>
      <c r="D182" s="3484"/>
      <c r="E182" s="3484"/>
      <c r="F182" s="3484"/>
      <c r="G182" s="3485"/>
      <c r="H182" s="3484"/>
      <c r="I182" s="3485"/>
      <c r="J182" s="3484"/>
      <c r="K182" s="3484"/>
      <c r="L182" s="3485"/>
      <c r="M182" s="3484"/>
      <c r="N182" s="3484"/>
      <c r="O182" s="3485"/>
      <c r="P182" s="3484"/>
      <c r="Q182" s="3484"/>
      <c r="R182" s="3486"/>
    </row>
    <row r="183" s="3479" customFormat="1" spans="2:18">
      <c r="B183" s="3484"/>
      <c r="C183" s="3484"/>
      <c r="D183" s="3484"/>
      <c r="E183" s="3484"/>
      <c r="F183" s="3484"/>
      <c r="G183" s="3485"/>
      <c r="H183" s="3484"/>
      <c r="I183" s="3485"/>
      <c r="J183" s="3484"/>
      <c r="K183" s="3484"/>
      <c r="L183" s="3485"/>
      <c r="M183" s="3484"/>
      <c r="N183" s="3484"/>
      <c r="O183" s="3485"/>
      <c r="P183" s="3484"/>
      <c r="Q183" s="3484"/>
      <c r="R183" s="3486"/>
    </row>
    <row r="184" s="3479" customFormat="1" spans="2:18">
      <c r="B184" s="3484"/>
      <c r="C184" s="3484"/>
      <c r="D184" s="3484"/>
      <c r="E184" s="3484"/>
      <c r="F184" s="3484"/>
      <c r="G184" s="3485"/>
      <c r="H184" s="3484"/>
      <c r="I184" s="3485"/>
      <c r="J184" s="3484"/>
      <c r="K184" s="3484"/>
      <c r="L184" s="3485"/>
      <c r="M184" s="3484"/>
      <c r="N184" s="3484"/>
      <c r="O184" s="3485"/>
      <c r="P184" s="3484"/>
      <c r="Q184" s="3484"/>
      <c r="R184" s="3486"/>
    </row>
    <row r="185" s="3479" customFormat="1" spans="2:18">
      <c r="B185" s="3484"/>
      <c r="C185" s="3484"/>
      <c r="D185" s="3484"/>
      <c r="E185" s="3484"/>
      <c r="F185" s="3484"/>
      <c r="G185" s="3485"/>
      <c r="H185" s="3484"/>
      <c r="I185" s="3485"/>
      <c r="J185" s="3484"/>
      <c r="K185" s="3484"/>
      <c r="L185" s="3485"/>
      <c r="M185" s="3484"/>
      <c r="N185" s="3484"/>
      <c r="O185" s="3485"/>
      <c r="P185" s="3484"/>
      <c r="Q185" s="3484"/>
      <c r="R185" s="3486"/>
    </row>
    <row r="186" spans="1:7">
      <c r="A186" s="3479"/>
      <c r="B186" s="3484"/>
      <c r="C186" s="3484"/>
      <c r="E186" s="3484"/>
      <c r="F186" s="3484"/>
      <c r="G186" s="3485"/>
    </row>
    <row r="187" spans="1:7">
      <c r="A187" s="3479"/>
      <c r="B187" s="3484"/>
      <c r="C187" s="3484"/>
      <c r="E187" s="3484"/>
      <c r="F187" s="3484"/>
      <c r="G187" s="348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E14" sqref="E14"/>
    </sheetView>
  </sheetViews>
  <sheetFormatPr defaultColWidth="14.625" defaultRowHeight="13.5"/>
  <cols>
    <col min="1" max="1" width="24.375" style="3461" customWidth="1"/>
    <col min="2" max="16384" width="14.625" style="3461"/>
  </cols>
  <sheetData>
    <row r="1" ht="16.5" spans="1:7">
      <c r="A1" s="3462" t="s">
        <v>577</v>
      </c>
      <c r="B1" s="3462">
        <f>SUM(B14:B23)</f>
        <v>118.67</v>
      </c>
      <c r="C1" s="3463"/>
      <c r="D1" s="3463"/>
      <c r="E1" s="3463"/>
      <c r="F1" s="3463"/>
      <c r="G1" s="3464"/>
    </row>
    <row r="2" ht="16.5" spans="1:7">
      <c r="A2" s="3462" t="s">
        <v>578</v>
      </c>
      <c r="B2" s="3462">
        <f>SUM(C14:C23)</f>
        <v>0</v>
      </c>
      <c r="C2" s="3463"/>
      <c r="D2" s="3463"/>
      <c r="E2" s="3463"/>
      <c r="F2" s="3463"/>
      <c r="G2" s="3464"/>
    </row>
    <row r="3" ht="16.5" spans="1:7">
      <c r="A3" s="3462" t="s">
        <v>579</v>
      </c>
      <c r="B3" s="3465">
        <f>项目基本情况!D2</f>
        <v>38443</v>
      </c>
      <c r="C3" s="3463"/>
      <c r="D3" s="3463"/>
      <c r="E3" s="3463"/>
      <c r="F3" s="3463"/>
      <c r="G3" s="3464"/>
    </row>
    <row r="4" ht="33" spans="1:7">
      <c r="A4" s="3462" t="s">
        <v>580</v>
      </c>
      <c r="B4" s="3462" t="s">
        <v>581</v>
      </c>
      <c r="C4" s="3462" t="s">
        <v>582</v>
      </c>
      <c r="D4" s="3462" t="s">
        <v>583</v>
      </c>
      <c r="E4" s="3463"/>
      <c r="F4" s="3464"/>
      <c r="G4" s="3464"/>
    </row>
    <row r="5" ht="16.5" spans="1:7">
      <c r="A5" s="3462" t="s">
        <v>584</v>
      </c>
      <c r="B5" s="3462">
        <f ca="1">SUM(D14:D23)</f>
        <v>65.755</v>
      </c>
      <c r="C5" s="3462">
        <f ca="1">ROUND(B5*10000/$B$1,0)</f>
        <v>5541</v>
      </c>
      <c r="D5" s="3462" t="e">
        <f ca="1">ROUND(B5*10000/$B$2,0)</f>
        <v>#DIV/0!</v>
      </c>
      <c r="E5" s="3463"/>
      <c r="F5" s="3464"/>
      <c r="G5" s="3464"/>
    </row>
    <row r="6" ht="16.5" spans="1:7">
      <c r="A6" s="3462" t="s">
        <v>585</v>
      </c>
      <c r="B6" s="3462">
        <f ca="1">SUM(G14:G23)</f>
        <v>65.755</v>
      </c>
      <c r="C6" s="3462">
        <f ca="1" t="shared" ref="C6:C8" si="0">ROUND(B6*10000/$B$1,0)</f>
        <v>5541</v>
      </c>
      <c r="D6" s="3462" t="e">
        <f ca="1" t="shared" ref="D6:D8" si="1">ROUND(B6*10000/$B$2,0)</f>
        <v>#DIV/0!</v>
      </c>
      <c r="E6" s="3463"/>
      <c r="F6" s="3464"/>
      <c r="G6" s="3464"/>
    </row>
    <row r="7" ht="16.5" spans="1:7">
      <c r="A7" s="3462" t="s">
        <v>586</v>
      </c>
      <c r="B7" s="3462" t="e">
        <f ca="1">SUM(H14:H23)</f>
        <v>#VALUE!</v>
      </c>
      <c r="C7" s="3462" t="e">
        <f ca="1">ROUND(B7*10000/$B$1,0)</f>
        <v>#VALUE!</v>
      </c>
      <c r="D7" s="3462" t="e">
        <f ca="1" t="shared" si="1"/>
        <v>#VALUE!</v>
      </c>
      <c r="E7" s="3463"/>
      <c r="F7" s="3464"/>
      <c r="G7" s="3464"/>
    </row>
    <row r="8" ht="16.5" spans="1:7">
      <c r="A8" s="3462" t="s">
        <v>587</v>
      </c>
      <c r="B8" s="3462" t="e">
        <f ca="1">SUM(I14:I23)</f>
        <v>#VALUE!</v>
      </c>
      <c r="C8" s="3462" t="e">
        <f ca="1" t="shared" si="0"/>
        <v>#VALUE!</v>
      </c>
      <c r="D8" s="3462" t="e">
        <f ca="1" t="shared" si="1"/>
        <v>#VALUE!</v>
      </c>
      <c r="E8" s="3463"/>
      <c r="F8" s="3464"/>
      <c r="G8" s="3464"/>
    </row>
    <row r="9" ht="16.5" spans="1:7">
      <c r="A9" s="3462" t="s">
        <v>588</v>
      </c>
      <c r="B9" s="3466"/>
      <c r="C9" s="3463"/>
      <c r="D9" s="3463"/>
      <c r="E9" s="3463"/>
      <c r="F9" s="3464"/>
      <c r="G9" s="3464"/>
    </row>
    <row r="10" ht="16.5" spans="1:7">
      <c r="A10" s="3462" t="s">
        <v>589</v>
      </c>
      <c r="B10" s="3466"/>
      <c r="C10" s="3463"/>
      <c r="D10" s="3463"/>
      <c r="E10" s="3463"/>
      <c r="F10" s="3464"/>
      <c r="G10" s="3464"/>
    </row>
    <row r="11" ht="16.5" spans="1:7">
      <c r="A11" s="3462" t="s">
        <v>590</v>
      </c>
      <c r="B11" s="3466"/>
      <c r="C11" s="3463"/>
      <c r="D11" s="3463"/>
      <c r="E11" s="3463"/>
      <c r="F11" s="3464"/>
      <c r="G11" s="3464"/>
    </row>
    <row r="12" ht="16.5" spans="1:7">
      <c r="A12" s="3463"/>
      <c r="B12" s="3463"/>
      <c r="C12" s="3463"/>
      <c r="D12" s="3463"/>
      <c r="E12" s="3463"/>
      <c r="F12" s="3464"/>
      <c r="G12" s="3464"/>
    </row>
    <row r="13" ht="33" spans="1:9">
      <c r="A13" s="3467" t="s">
        <v>591</v>
      </c>
      <c r="B13" s="3468" t="s">
        <v>577</v>
      </c>
      <c r="C13" s="3468" t="s">
        <v>578</v>
      </c>
      <c r="D13" s="3468" t="s">
        <v>592</v>
      </c>
      <c r="E13" s="3462" t="s">
        <v>582</v>
      </c>
      <c r="F13" s="3462" t="s">
        <v>583</v>
      </c>
      <c r="G13" s="3468" t="s">
        <v>593</v>
      </c>
      <c r="H13" s="3468" t="s">
        <v>594</v>
      </c>
      <c r="I13" s="3468" t="s">
        <v>595</v>
      </c>
    </row>
    <row r="14" ht="16.5" spans="1:9">
      <c r="A14" s="3469" t="s">
        <v>596</v>
      </c>
      <c r="B14" s="3470">
        <f>项目基本情况!C12</f>
        <v>118.67</v>
      </c>
      <c r="C14" s="3470">
        <f>项目基本情况!C13</f>
        <v>0</v>
      </c>
      <c r="D14" s="3470">
        <f ca="1">ROUND(E14*B14/10000,4)</f>
        <v>65.755</v>
      </c>
      <c r="E14" s="3470">
        <f ca="1">结果表!G20</f>
        <v>5541</v>
      </c>
      <c r="F14" s="3470" t="e">
        <f ca="1">ROUND(D14*10000/C14,0)</f>
        <v>#DIV/0!</v>
      </c>
      <c r="G14" s="3470">
        <f ca="1">IF('数据-取费表'!B3="万元",IF(A14="估价对象1（结果表）",结果表!D125,'结果表 (1修多)'!D129),IF(A14="估价对象1（结果表）",结果表!D125,'结果表 (1修多)'!D129)/10000)</f>
        <v>65.755</v>
      </c>
      <c r="H14" s="3470" t="e">
        <f ca="1">IF('数据-取费表'!B3="万元",IF(A14="估价对象1（结果表）",结果表!D127,'结果表 (1修多)'!D131),IF(A14="估价对象1（结果表）",结果表!D127,'结果表 (1修多)'!D131)/10000)</f>
        <v>#VALUE!</v>
      </c>
      <c r="I14" s="3470" t="e">
        <f ca="1">IF('数据-取费表'!B3="万元",IF(A14="估价对象1（结果表）",结果表!D129,'结果表 (1修多)'!D133),IF(A14="估价对象1（结果表）",结果表!D129,'结果表 (1修多)'!D133)/10000)</f>
        <v>#VALUE!</v>
      </c>
    </row>
    <row r="15" ht="16.5" spans="1:9">
      <c r="A15" s="3471" t="s">
        <v>597</v>
      </c>
      <c r="B15" s="3472"/>
      <c r="C15" s="3472"/>
      <c r="D15" s="3472"/>
      <c r="E15" s="3470" t="e">
        <f t="shared" ref="E15:E23" si="2">ROUND(D15*10000/B15,0)</f>
        <v>#DIV/0!</v>
      </c>
      <c r="F15" s="3470" t="e">
        <f t="shared" ref="F15:F23" si="3">ROUND(D15*10000/C15,0)</f>
        <v>#DIV/0!</v>
      </c>
      <c r="G15" s="3473"/>
      <c r="H15" s="3473"/>
      <c r="I15" s="3472"/>
    </row>
    <row r="16" ht="16.5" spans="1:9">
      <c r="A16" s="3471" t="s">
        <v>598</v>
      </c>
      <c r="B16" s="3472"/>
      <c r="C16" s="3472"/>
      <c r="D16" s="3472"/>
      <c r="E16" s="3470" t="e">
        <f t="shared" si="2"/>
        <v>#DIV/0!</v>
      </c>
      <c r="F16" s="3470" t="e">
        <f t="shared" si="3"/>
        <v>#DIV/0!</v>
      </c>
      <c r="G16" s="3473"/>
      <c r="H16" s="3473"/>
      <c r="I16" s="3472"/>
    </row>
    <row r="17" ht="16.5" spans="1:9">
      <c r="A17" s="3471" t="s">
        <v>599</v>
      </c>
      <c r="B17" s="3472"/>
      <c r="C17" s="3472"/>
      <c r="D17" s="3472"/>
      <c r="E17" s="3470" t="e">
        <f t="shared" si="2"/>
        <v>#DIV/0!</v>
      </c>
      <c r="F17" s="3470" t="e">
        <f t="shared" si="3"/>
        <v>#DIV/0!</v>
      </c>
      <c r="G17" s="3473"/>
      <c r="H17" s="3473"/>
      <c r="I17" s="3472"/>
    </row>
    <row r="18" ht="16.5" spans="1:9">
      <c r="A18" s="3471" t="s">
        <v>600</v>
      </c>
      <c r="B18" s="3472"/>
      <c r="C18" s="3472"/>
      <c r="D18" s="3472"/>
      <c r="E18" s="3470" t="e">
        <f t="shared" si="2"/>
        <v>#DIV/0!</v>
      </c>
      <c r="F18" s="3470" t="e">
        <f t="shared" si="3"/>
        <v>#DIV/0!</v>
      </c>
      <c r="G18" s="3472"/>
      <c r="H18" s="3472"/>
      <c r="I18" s="3472"/>
    </row>
    <row r="19" ht="16.5" spans="1:9">
      <c r="A19" s="3471" t="s">
        <v>601</v>
      </c>
      <c r="B19" s="3472"/>
      <c r="C19" s="3472"/>
      <c r="D19" s="3472"/>
      <c r="E19" s="3470" t="e">
        <f t="shared" si="2"/>
        <v>#DIV/0!</v>
      </c>
      <c r="F19" s="3470" t="e">
        <f t="shared" si="3"/>
        <v>#DIV/0!</v>
      </c>
      <c r="G19" s="3472"/>
      <c r="H19" s="3472"/>
      <c r="I19" s="3472"/>
    </row>
    <row r="20" ht="16.5" spans="1:9">
      <c r="A20" s="3471" t="s">
        <v>602</v>
      </c>
      <c r="B20" s="3472"/>
      <c r="C20" s="3472"/>
      <c r="D20" s="3472"/>
      <c r="E20" s="3470" t="e">
        <f t="shared" si="2"/>
        <v>#DIV/0!</v>
      </c>
      <c r="F20" s="3470" t="e">
        <f t="shared" si="3"/>
        <v>#DIV/0!</v>
      </c>
      <c r="G20" s="3472"/>
      <c r="H20" s="3472"/>
      <c r="I20" s="3472"/>
    </row>
    <row r="21" ht="16.5" spans="1:9">
      <c r="A21" s="3471" t="s">
        <v>603</v>
      </c>
      <c r="B21" s="3472"/>
      <c r="C21" s="3472"/>
      <c r="D21" s="3472"/>
      <c r="E21" s="3470" t="e">
        <f t="shared" si="2"/>
        <v>#DIV/0!</v>
      </c>
      <c r="F21" s="3470" t="e">
        <f t="shared" si="3"/>
        <v>#DIV/0!</v>
      </c>
      <c r="G21" s="3472"/>
      <c r="H21" s="3472"/>
      <c r="I21" s="3472"/>
    </row>
    <row r="22" ht="16.5" spans="1:9">
      <c r="A22" s="3471" t="s">
        <v>604</v>
      </c>
      <c r="B22" s="3472"/>
      <c r="C22" s="3472"/>
      <c r="D22" s="3472"/>
      <c r="E22" s="3470" t="e">
        <f t="shared" si="2"/>
        <v>#DIV/0!</v>
      </c>
      <c r="F22" s="3470" t="e">
        <f t="shared" si="3"/>
        <v>#DIV/0!</v>
      </c>
      <c r="G22" s="3472"/>
      <c r="H22" s="3472"/>
      <c r="I22" s="3472"/>
    </row>
    <row r="23" ht="16.5" spans="1:9">
      <c r="A23" s="3471" t="s">
        <v>605</v>
      </c>
      <c r="B23" s="3472"/>
      <c r="C23" s="3472"/>
      <c r="D23" s="3472"/>
      <c r="E23" s="3474" t="e">
        <f t="shared" si="2"/>
        <v>#DIV/0!</v>
      </c>
      <c r="F23" s="3474" t="e">
        <f t="shared" si="3"/>
        <v>#DIV/0!</v>
      </c>
      <c r="G23" s="3472"/>
      <c r="H23" s="3472"/>
      <c r="I23" s="34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B18" sqref="B18"/>
    </sheetView>
  </sheetViews>
  <sheetFormatPr defaultColWidth="12.625" defaultRowHeight="21.75" customHeight="1"/>
  <cols>
    <col min="1" max="2" width="12.625" style="3004"/>
    <col min="3" max="4" width="12.625" style="3004" customWidth="1"/>
    <col min="5" max="9" width="12.625" style="3004"/>
    <col min="10" max="10" width="3.625" style="3005" customWidth="1"/>
    <col min="11" max="12" width="12.625" style="1712" customWidth="1"/>
    <col min="13" max="13" width="12.625" style="1712"/>
    <col min="14" max="14" width="14.125" style="1712" customWidth="1"/>
    <col min="15" max="27" width="12.625" style="1712"/>
    <col min="28" max="36" width="12.625" style="3003"/>
    <col min="37" max="16384" width="12.625" style="3004"/>
  </cols>
  <sheetData>
    <row r="1" customHeight="1" spans="1:9">
      <c r="A1" s="3006" t="s">
        <v>606</v>
      </c>
      <c r="B1" s="3007"/>
      <c r="C1" s="3007"/>
      <c r="D1" s="3007"/>
      <c r="E1" s="3007"/>
      <c r="F1" s="3007"/>
      <c r="G1" s="3007"/>
      <c r="H1" s="3007"/>
      <c r="I1" s="3007"/>
    </row>
    <row r="2" customHeight="1" spans="1:10">
      <c r="A2" s="3372" t="str">
        <f>项目基本情况!B1</f>
        <v>北京市预评估</v>
      </c>
      <c r="B2" s="3372"/>
      <c r="C2" s="3372"/>
      <c r="D2" s="3372"/>
      <c r="E2" s="3372"/>
      <c r="F2" s="3372"/>
      <c r="G2" s="3372"/>
      <c r="H2" s="3372"/>
      <c r="I2" s="3372"/>
      <c r="J2" s="3402"/>
    </row>
    <row r="3" ht="13.5" spans="1:10">
      <c r="A3" s="3009" t="s">
        <v>607</v>
      </c>
      <c r="B3" s="2129"/>
      <c r="C3" s="2129"/>
      <c r="D3" s="2129"/>
      <c r="E3" s="2129"/>
      <c r="F3" s="2129"/>
      <c r="G3" s="2129"/>
      <c r="H3" s="2129"/>
      <c r="I3" s="2129"/>
      <c r="J3" s="3140"/>
    </row>
    <row r="4" ht="14.25" spans="1:15">
      <c r="A4" s="3010" t="s">
        <v>608</v>
      </c>
      <c r="B4" s="3010" t="s">
        <v>609</v>
      </c>
      <c r="C4" s="3011" t="s">
        <v>610</v>
      </c>
      <c r="D4" s="3011" t="s">
        <v>611</v>
      </c>
      <c r="E4" s="2111" t="s">
        <v>612</v>
      </c>
      <c r="F4" s="2112"/>
      <c r="G4" s="2112"/>
      <c r="H4" s="2112"/>
      <c r="I4" s="3124"/>
      <c r="J4" s="3141"/>
      <c r="L4" s="3007" t="str">
        <f>IF(ISNUMBER(FIND("比较法",结果表!C4)),"比较法",IF(ISNUMBER(FIND("成本法",结果表!C4)),"成本法",IF(ISNUMBER(FIND("假设开发法",结果表!C4)),"假设开发法",IF(ISNUMBER(FIND("收益法",结果表!C4)),"收益法","基准地价系数修正法"))))</f>
        <v>比较法</v>
      </c>
      <c r="M4" s="3007" t="str">
        <f>IF(ISNUMBER(FIND("比较法",结果表!D4)),"比较法",IF(ISNUMBER(FIND("成本法",结果表!D4)),"成本法",IF(ISNUMBER(FIND("假设开发法",结果表!D4)),"假设开发法",IF(ISNUMBER(FIND("收益法",结果表!D4)),"收益法","基准地价系数修正法"))))</f>
        <v>成本法</v>
      </c>
      <c r="N4" s="3007"/>
      <c r="O4" s="3007"/>
    </row>
    <row r="5" ht="13.5" spans="1:10">
      <c r="A5" s="1294" t="s">
        <v>613</v>
      </c>
      <c r="B5" s="1294">
        <v>25</v>
      </c>
      <c r="C5" s="3012"/>
      <c r="D5" s="3013"/>
      <c r="E5" s="2192" t="s">
        <v>614</v>
      </c>
      <c r="F5" s="2112"/>
      <c r="G5" s="2112"/>
      <c r="H5" s="2112"/>
      <c r="I5" s="3124"/>
      <c r="J5" s="3141"/>
    </row>
    <row r="6" ht="13.5" spans="1:10">
      <c r="A6" s="1294"/>
      <c r="B6" s="1294"/>
      <c r="C6" s="3014"/>
      <c r="D6" s="3013"/>
      <c r="E6" s="2192" t="s">
        <v>615</v>
      </c>
      <c r="F6" s="2112"/>
      <c r="G6" s="2112"/>
      <c r="H6" s="2112"/>
      <c r="I6" s="3124"/>
      <c r="J6" s="3141"/>
    </row>
    <row r="7" ht="13.5" spans="1:10">
      <c r="A7" s="1294"/>
      <c r="B7" s="1294"/>
      <c r="C7" s="3015"/>
      <c r="D7" s="3013"/>
      <c r="E7" s="2192" t="s">
        <v>616</v>
      </c>
      <c r="F7" s="2112"/>
      <c r="G7" s="2112"/>
      <c r="H7" s="2112"/>
      <c r="I7" s="3124"/>
      <c r="J7" s="3141"/>
    </row>
    <row r="8" ht="13.5" spans="1:10">
      <c r="A8" s="1294" t="s">
        <v>617</v>
      </c>
      <c r="B8" s="1294">
        <v>15</v>
      </c>
      <c r="C8" s="3012"/>
      <c r="D8" s="3013"/>
      <c r="E8" s="2192" t="s">
        <v>618</v>
      </c>
      <c r="F8" s="2112"/>
      <c r="G8" s="2112"/>
      <c r="H8" s="2112"/>
      <c r="I8" s="3124"/>
      <c r="J8" s="3141"/>
    </row>
    <row r="9" ht="13.5" spans="1:10">
      <c r="A9" s="1294"/>
      <c r="B9" s="1294"/>
      <c r="C9" s="3015"/>
      <c r="D9" s="3013"/>
      <c r="E9" s="2192" t="s">
        <v>619</v>
      </c>
      <c r="F9" s="2112"/>
      <c r="G9" s="2112"/>
      <c r="H9" s="2112"/>
      <c r="I9" s="3124"/>
      <c r="J9" s="3141"/>
    </row>
    <row r="10" ht="13.5" spans="1:10">
      <c r="A10" s="1294" t="s">
        <v>620</v>
      </c>
      <c r="B10" s="1294">
        <v>15</v>
      </c>
      <c r="C10" s="3012"/>
      <c r="D10" s="3013"/>
      <c r="E10" s="2192" t="s">
        <v>621</v>
      </c>
      <c r="F10" s="2112"/>
      <c r="G10" s="2112"/>
      <c r="H10" s="2112"/>
      <c r="I10" s="3124"/>
      <c r="J10" s="3141"/>
    </row>
    <row r="11" ht="13.5" spans="1:10">
      <c r="A11" s="1294"/>
      <c r="B11" s="1294"/>
      <c r="C11" s="3015"/>
      <c r="D11" s="3013"/>
      <c r="E11" s="2192" t="s">
        <v>622</v>
      </c>
      <c r="F11" s="2112"/>
      <c r="G11" s="2112"/>
      <c r="H11" s="2112"/>
      <c r="I11" s="3124"/>
      <c r="J11" s="3141"/>
    </row>
    <row r="12" ht="13.5" spans="1:10">
      <c r="A12" s="1294" t="s">
        <v>623</v>
      </c>
      <c r="B12" s="1294">
        <v>15</v>
      </c>
      <c r="C12" s="3012"/>
      <c r="D12" s="3013"/>
      <c r="E12" s="2192" t="s">
        <v>624</v>
      </c>
      <c r="F12" s="2112"/>
      <c r="G12" s="2112"/>
      <c r="H12" s="2112"/>
      <c r="I12" s="3124"/>
      <c r="J12" s="3141"/>
    </row>
    <row r="13" ht="13.5" spans="1:10">
      <c r="A13" s="1294"/>
      <c r="B13" s="1294"/>
      <c r="C13" s="3015"/>
      <c r="D13" s="3013"/>
      <c r="E13" s="2192" t="s">
        <v>625</v>
      </c>
      <c r="F13" s="2112"/>
      <c r="G13" s="2112"/>
      <c r="H13" s="2112"/>
      <c r="I13" s="3124"/>
      <c r="J13" s="3141"/>
    </row>
    <row r="14" ht="13.5" spans="1:10">
      <c r="A14" s="1294" t="s">
        <v>626</v>
      </c>
      <c r="B14" s="1294">
        <v>30</v>
      </c>
      <c r="C14" s="3012">
        <v>8</v>
      </c>
      <c r="D14" s="3013">
        <v>2</v>
      </c>
      <c r="E14" s="2192" t="s">
        <v>627</v>
      </c>
      <c r="F14" s="2112"/>
      <c r="G14" s="2112"/>
      <c r="H14" s="2112"/>
      <c r="I14" s="3124"/>
      <c r="J14" s="3141"/>
    </row>
    <row r="15" ht="13.5" spans="1:10">
      <c r="A15" s="1294"/>
      <c r="B15" s="1294"/>
      <c r="C15" s="3014"/>
      <c r="D15" s="3013"/>
      <c r="E15" s="2192" t="s">
        <v>628</v>
      </c>
      <c r="F15" s="2112"/>
      <c r="G15" s="2112"/>
      <c r="H15" s="2112"/>
      <c r="I15" s="3124"/>
      <c r="J15" s="3141"/>
    </row>
    <row r="16" ht="13.5" spans="1:10">
      <c r="A16" s="1294"/>
      <c r="B16" s="1294"/>
      <c r="C16" s="3015"/>
      <c r="D16" s="3013"/>
      <c r="E16" s="2192" t="s">
        <v>629</v>
      </c>
      <c r="F16" s="2112"/>
      <c r="G16" s="2112"/>
      <c r="H16" s="2112"/>
      <c r="I16" s="3124"/>
      <c r="J16" s="3141"/>
    </row>
    <row r="17" ht="14.25" spans="1:10">
      <c r="A17" s="3016" t="s">
        <v>630</v>
      </c>
      <c r="B17" s="1293"/>
      <c r="C17" s="3017">
        <f>SUM(C5:C16)</f>
        <v>8</v>
      </c>
      <c r="D17" s="3017">
        <f>SUM(D5:D16)</f>
        <v>2</v>
      </c>
      <c r="E17" s="3018"/>
      <c r="F17" s="3018"/>
      <c r="G17" s="3018"/>
      <c r="H17" s="3018"/>
      <c r="I17" s="3018"/>
      <c r="J17" s="3142"/>
    </row>
    <row r="18" ht="30" customHeight="1" spans="1:10">
      <c r="A18" s="3019" t="s">
        <v>631</v>
      </c>
      <c r="B18" s="3020"/>
      <c r="C18" s="3021">
        <f>ROUND(C17/SUM(C17:D17),2)</f>
        <v>0.8</v>
      </c>
      <c r="D18" s="3021">
        <f>1-C18</f>
        <v>0.2</v>
      </c>
      <c r="E18" s="3022" t="s">
        <v>632</v>
      </c>
      <c r="F18" s="3023"/>
      <c r="G18" s="3023"/>
      <c r="H18" s="3023"/>
      <c r="I18" s="3023"/>
      <c r="J18" s="3142"/>
    </row>
    <row r="19" ht="14.25" spans="1:10">
      <c r="A19" s="3024" t="s">
        <v>633</v>
      </c>
      <c r="B19" s="3025" t="s">
        <v>634</v>
      </c>
      <c r="C19" s="3026">
        <f ca="1">SUMIF(INDIRECT("'"&amp;C4&amp;"'"&amp;"!A:A"),结果表!B19,INDIRECT("'"&amp;C4&amp;"'"&amp;"!B:B"))</f>
        <v>628120</v>
      </c>
      <c r="D19" s="3027">
        <f ca="1">SUMIF(INDIRECT("'"&amp;D4&amp;"'"&amp;"!A:A"),结果表!B19,INDIRECT("'"&amp;D4&amp;"'"&amp;"!B:B"))</f>
        <v>775139</v>
      </c>
      <c r="E19" s="3024" t="s">
        <v>635</v>
      </c>
      <c r="F19" s="3025" t="s">
        <v>634</v>
      </c>
      <c r="G19" s="3028">
        <f ca="1">ROUND(C19*$C$18+D19*$D$18,0)</f>
        <v>657524</v>
      </c>
      <c r="H19" s="3029" t="str">
        <f>'数据-取费表'!B3</f>
        <v>元</v>
      </c>
      <c r="I19" s="3403"/>
      <c r="J19" s="3404"/>
    </row>
    <row r="20" ht="15" spans="1:10">
      <c r="A20" s="3030"/>
      <c r="B20" s="1311" t="s">
        <v>636</v>
      </c>
      <c r="C20" s="1218">
        <f ca="1">SUMIF(INDIRECT("'"&amp;C4&amp;"'"&amp;"!A:A"),结果表!B20,INDIRECT("'"&amp;C4&amp;"'"&amp;"!B:B"))</f>
        <v>5293</v>
      </c>
      <c r="D20" s="2967">
        <f ca="1">SUMIF(INDIRECT("'"&amp;D4&amp;"'"&amp;"!A:A"),结果表!B20,INDIRECT("'"&amp;D4&amp;"'"&amp;"!B:B"))</f>
        <v>6532</v>
      </c>
      <c r="E20" s="3030"/>
      <c r="F20" s="1311" t="s">
        <v>636</v>
      </c>
      <c r="G20" s="1242">
        <f ca="1">ROUND(C20*$C$18+D20*$D$18,0)</f>
        <v>5541</v>
      </c>
      <c r="H20" s="3031" t="s">
        <v>637</v>
      </c>
      <c r="I20" s="3018"/>
      <c r="J20" s="3142"/>
    </row>
    <row r="21" ht="15" customHeight="1" spans="1:10">
      <c r="A21" s="3032"/>
      <c r="B21" s="3033"/>
      <c r="C21" s="3033"/>
      <c r="D21" s="3034"/>
      <c r="E21" s="3032"/>
      <c r="F21" s="3033"/>
      <c r="G21" s="3035"/>
      <c r="H21" s="3036"/>
      <c r="I21" s="3018"/>
      <c r="J21" s="3142"/>
    </row>
    <row r="22" ht="15" spans="1:10">
      <c r="A22" s="3037" t="s">
        <v>638</v>
      </c>
      <c r="B22" s="3038"/>
      <c r="C22" s="3039"/>
      <c r="D22" s="3040">
        <f ca="1">IF(C19&lt;D19,D19/C19-1,C19/D19-1)</f>
        <v>0.23406196268229</v>
      </c>
      <c r="E22" s="2230"/>
      <c r="F22" s="2230"/>
      <c r="G22" s="2230"/>
      <c r="H22" s="2230"/>
      <c r="I22" s="2230"/>
      <c r="J22" s="3142"/>
    </row>
    <row r="23" ht="14.25" spans="1:10">
      <c r="A23" s="3018"/>
      <c r="B23" s="3018"/>
      <c r="C23" s="3018"/>
      <c r="D23" s="3018"/>
      <c r="E23" s="2230"/>
      <c r="F23" s="2230"/>
      <c r="G23" s="2230"/>
      <c r="H23" s="2230"/>
      <c r="I23" s="2230"/>
      <c r="J23" s="3142"/>
    </row>
    <row r="24" customHeight="1" spans="1:10">
      <c r="A24" s="1122" t="s">
        <v>639</v>
      </c>
      <c r="B24" s="3025" t="s">
        <v>634</v>
      </c>
      <c r="C24" s="3028">
        <f>D30</f>
        <v>0</v>
      </c>
      <c r="D24" s="3041"/>
      <c r="E24" s="2230"/>
      <c r="F24" s="2230"/>
      <c r="G24" s="2230"/>
      <c r="H24" s="2230"/>
      <c r="I24" s="2230"/>
      <c r="J24" s="3142"/>
    </row>
    <row r="25" customHeight="1" spans="1:10">
      <c r="A25" s="3042"/>
      <c r="B25" s="1311" t="s">
        <v>636</v>
      </c>
      <c r="C25" s="3043">
        <f>IF(B30=0,0,C30)</f>
        <v>0</v>
      </c>
      <c r="D25" s="3044"/>
      <c r="E25" s="2230"/>
      <c r="F25" s="2230"/>
      <c r="G25" s="2230"/>
      <c r="H25" s="2230"/>
      <c r="I25" s="2230"/>
      <c r="J25" s="3142"/>
    </row>
    <row r="26" ht="13.5" customHeight="1" spans="1:10">
      <c r="A26" s="3045" t="s">
        <v>640</v>
      </c>
      <c r="B26" s="3046" t="s">
        <v>641</v>
      </c>
      <c r="C26" s="3046" t="s">
        <v>642</v>
      </c>
      <c r="D26" s="3047" t="s">
        <v>643</v>
      </c>
      <c r="E26" s="2230"/>
      <c r="F26" s="2230"/>
      <c r="G26" s="2230"/>
      <c r="H26" s="2230"/>
      <c r="I26" s="2230"/>
      <c r="J26" s="3142"/>
    </row>
    <row r="27" ht="14.25" spans="1:10">
      <c r="A27" s="3048"/>
      <c r="B27" s="3046">
        <v>0</v>
      </c>
      <c r="C27" s="3046">
        <v>0</v>
      </c>
      <c r="D27" s="3047">
        <f>ROUND(C27*B27/10000,0)</f>
        <v>0</v>
      </c>
      <c r="E27" s="2230"/>
      <c r="F27" s="2230"/>
      <c r="G27" s="2230"/>
      <c r="H27" s="2230"/>
      <c r="I27" s="2230"/>
      <c r="J27" s="3142"/>
    </row>
    <row r="28" ht="14.25" spans="1:10">
      <c r="A28" s="3045"/>
      <c r="B28" s="3046"/>
      <c r="C28" s="3046"/>
      <c r="D28" s="3047">
        <f t="shared" ref="D28:D29" si="0">ROUND(C28*B28/10000,0)</f>
        <v>0</v>
      </c>
      <c r="E28" s="2230"/>
      <c r="F28" s="2230"/>
      <c r="G28" s="2230"/>
      <c r="H28" s="2230"/>
      <c r="I28" s="2230"/>
      <c r="J28" s="3142"/>
    </row>
    <row r="29" ht="14.25" spans="1:10">
      <c r="A29" s="3045"/>
      <c r="B29" s="3046"/>
      <c r="C29" s="3046"/>
      <c r="D29" s="3047">
        <f t="shared" si="0"/>
        <v>0</v>
      </c>
      <c r="E29" s="2230"/>
      <c r="F29" s="2230"/>
      <c r="G29" s="2230"/>
      <c r="H29" s="2230"/>
      <c r="I29" s="2230"/>
      <c r="J29" s="3142"/>
    </row>
    <row r="30" ht="15" spans="1:10">
      <c r="A30" s="3050" t="s">
        <v>644</v>
      </c>
      <c r="B30" s="3050"/>
      <c r="C30" s="3050"/>
      <c r="D30" s="3050"/>
      <c r="E30" s="3051" t="s">
        <v>645</v>
      </c>
      <c r="F30" s="3018"/>
      <c r="G30" s="3018"/>
      <c r="H30" s="3018"/>
      <c r="I30" s="3018"/>
      <c r="J30" s="3142"/>
    </row>
    <row r="31" s="3000" customFormat="1" ht="26.45" customHeight="1" spans="1:36">
      <c r="A31" s="3052"/>
      <c r="B31" s="3053"/>
      <c r="C31" s="3053"/>
      <c r="D31" s="3053"/>
      <c r="E31" s="3053"/>
      <c r="F31" s="3053"/>
      <c r="G31" s="3053"/>
      <c r="H31" s="3053"/>
      <c r="I31" s="3143" t="s">
        <v>646</v>
      </c>
      <c r="J31" s="3144"/>
      <c r="K31" s="3145"/>
      <c r="L31" s="3145"/>
      <c r="M31" s="3145"/>
      <c r="N31" s="3145"/>
      <c r="O31" s="3145"/>
      <c r="P31" s="3145"/>
      <c r="Q31" s="3145"/>
      <c r="R31" s="3145"/>
      <c r="S31" s="3145"/>
      <c r="T31" s="3145"/>
      <c r="U31" s="3145"/>
      <c r="V31" s="3145"/>
      <c r="W31" s="3145"/>
      <c r="X31" s="3145"/>
      <c r="Y31" s="3145"/>
      <c r="Z31" s="3145"/>
      <c r="AA31" s="3145"/>
      <c r="AB31" s="3190"/>
      <c r="AC31" s="3190"/>
      <c r="AD31" s="3190"/>
      <c r="AE31" s="3190"/>
      <c r="AF31" s="3190"/>
      <c r="AG31" s="3190"/>
      <c r="AH31" s="3190"/>
      <c r="AI31" s="3190"/>
      <c r="AJ31" s="3190"/>
    </row>
    <row r="32" s="3371" customFormat="1" ht="16.5" spans="1:36">
      <c r="A32" s="3373" t="s">
        <v>647</v>
      </c>
      <c r="B32" s="3374" t="str">
        <f>'数据-取费表'!B4</f>
        <v>楼面单价</v>
      </c>
      <c r="C32" s="3375">
        <f ca="1">IF(B32="总价",G19-C24,G20-C25)</f>
        <v>5541</v>
      </c>
      <c r="D32" s="3376" t="str">
        <f>IF(B32="楼面单价","元/平方米",H19)</f>
        <v>元/平方米</v>
      </c>
      <c r="E32" s="3377"/>
      <c r="F32" s="3377"/>
      <c r="G32" s="3377"/>
      <c r="H32" s="3377"/>
      <c r="I32" s="3377"/>
      <c r="J32" s="3405"/>
      <c r="K32" s="3406"/>
      <c r="L32" s="3406"/>
      <c r="M32" s="3406"/>
      <c r="N32" s="3406"/>
      <c r="O32" s="3406"/>
      <c r="P32" s="3406"/>
      <c r="Q32" s="3406"/>
      <c r="R32" s="3406"/>
      <c r="S32" s="3406"/>
      <c r="T32" s="3406"/>
      <c r="U32" s="3406"/>
      <c r="V32" s="3406"/>
      <c r="W32" s="3406"/>
      <c r="X32" s="3406"/>
      <c r="Y32" s="3406"/>
      <c r="Z32" s="3406"/>
      <c r="AA32" s="3406"/>
      <c r="AB32" s="3441"/>
      <c r="AC32" s="3441"/>
      <c r="AD32" s="3441"/>
      <c r="AE32" s="3441"/>
      <c r="AF32" s="3441"/>
      <c r="AG32" s="3441"/>
      <c r="AH32" s="3441"/>
      <c r="AI32" s="3441"/>
      <c r="AJ32" s="3441"/>
    </row>
    <row r="33" ht="15" spans="1:10">
      <c r="A33" s="3378" t="s">
        <v>648</v>
      </c>
      <c r="B33" s="2114"/>
      <c r="C33" s="3379"/>
      <c r="D33" s="3380"/>
      <c r="E33" s="3381" t="s">
        <v>649</v>
      </c>
      <c r="F33" s="3382" t="str">
        <f>IF(B32="楼面单价","取值（单价）","取值（总价）")</f>
        <v>取值（单价）</v>
      </c>
      <c r="G33" s="2230"/>
      <c r="H33" s="2230"/>
      <c r="I33" s="2230"/>
      <c r="J33" s="3142"/>
    </row>
    <row r="34" ht="15" spans="1:10">
      <c r="A34" s="3383"/>
      <c r="B34" s="3384" t="s">
        <v>650</v>
      </c>
      <c r="C34" s="3385" t="e">
        <f ca="1">IF(D33="自定义",F34,C32-C35)</f>
        <v>#DIV/0!</v>
      </c>
      <c r="D34" s="3386" t="e">
        <f ca="1">IF(D33="自定义",ROUND(C34/C32,3),1-D35)</f>
        <v>#DIV/0!</v>
      </c>
      <c r="E34" s="3387" t="s">
        <v>651</v>
      </c>
      <c r="F34" s="3388">
        <v>2000</v>
      </c>
      <c r="G34" s="2230"/>
      <c r="H34" s="2230"/>
      <c r="I34" s="2230"/>
      <c r="J34" s="3142"/>
    </row>
    <row r="35" ht="15.75" spans="1:10">
      <c r="A35" s="3067"/>
      <c r="B35" s="3389" t="s">
        <v>652</v>
      </c>
      <c r="C35" s="3390" t="e">
        <f ca="1">IF(D33="自定义",F35,ROUND(C32*D35,0))</f>
        <v>#DIV/0!</v>
      </c>
      <c r="D35" s="3391" t="e">
        <f ca="1">IF(D33="自定义",ROUND(C35/C32,3),IF(D33="成本法成本比率",成本法!C56,IF(D33="收益法收益比率",收益法!J38,收益法!J41)))</f>
        <v>#DIV/0!</v>
      </c>
      <c r="E35" s="3392" t="s">
        <v>653</v>
      </c>
      <c r="F35" s="3088">
        <v>4460</v>
      </c>
      <c r="G35" s="2230"/>
      <c r="H35" s="2230"/>
      <c r="I35" s="2230"/>
      <c r="J35" s="3142"/>
    </row>
    <row r="36" ht="15.75" spans="1:10">
      <c r="A36" s="1122" t="s">
        <v>654</v>
      </c>
      <c r="B36" s="3065" t="s">
        <v>655</v>
      </c>
      <c r="C36" s="3070">
        <v>0</v>
      </c>
      <c r="D36" s="3071"/>
      <c r="E36" s="3072"/>
      <c r="F36" s="3072"/>
      <c r="G36" s="2230"/>
      <c r="H36" s="2230"/>
      <c r="I36" s="2230"/>
      <c r="J36" s="3142"/>
    </row>
    <row r="37" ht="15.75" spans="1:10">
      <c r="A37" s="1134"/>
      <c r="B37" s="1293" t="s">
        <v>656</v>
      </c>
      <c r="C37" s="3073">
        <v>0</v>
      </c>
      <c r="D37" s="3074"/>
      <c r="E37" s="3074"/>
      <c r="F37" s="3072"/>
      <c r="G37" s="3074"/>
      <c r="H37" s="3074"/>
      <c r="I37" s="3074"/>
      <c r="J37" s="3147"/>
    </row>
    <row r="38" ht="15.75" spans="1:10">
      <c r="A38" s="3075"/>
      <c r="B38" s="3068" t="s">
        <v>657</v>
      </c>
      <c r="C38" s="3076">
        <v>0</v>
      </c>
      <c r="D38" s="3077" t="s">
        <v>658</v>
      </c>
      <c r="E38" s="3074"/>
      <c r="F38" s="3072"/>
      <c r="G38" s="3074"/>
      <c r="H38" s="3074"/>
      <c r="I38" s="3074"/>
      <c r="J38" s="3147"/>
    </row>
    <row r="39" ht="14.25" spans="1:10">
      <c r="A39" s="3030" t="s">
        <v>659</v>
      </c>
      <c r="B39" s="3078" t="s">
        <v>641</v>
      </c>
      <c r="C39" s="3079" t="s">
        <v>642</v>
      </c>
      <c r="D39" s="3079" t="s">
        <v>660</v>
      </c>
      <c r="E39" s="3080" t="s">
        <v>643</v>
      </c>
      <c r="F39" s="3072"/>
      <c r="G39" s="3074"/>
      <c r="H39" s="3074"/>
      <c r="I39" s="3074"/>
      <c r="J39" s="3147"/>
    </row>
    <row r="40" ht="14.25" spans="1:10">
      <c r="A40" s="3081" t="s">
        <v>661</v>
      </c>
      <c r="B40" s="3082"/>
      <c r="C40" s="3083"/>
      <c r="D40" s="3083"/>
      <c r="E40" s="3084"/>
      <c r="F40" s="3072"/>
      <c r="G40" s="3074"/>
      <c r="H40" s="3074"/>
      <c r="I40" s="3074"/>
      <c r="J40" s="3147"/>
    </row>
    <row r="41" ht="14.25" spans="1:10">
      <c r="A41" s="3081" t="s">
        <v>662</v>
      </c>
      <c r="B41" s="3082"/>
      <c r="C41" s="3083"/>
      <c r="D41" s="3083"/>
      <c r="E41" s="3084"/>
      <c r="F41" s="3072"/>
      <c r="G41" s="3074"/>
      <c r="H41" s="3074"/>
      <c r="I41" s="3074"/>
      <c r="J41" s="3147"/>
    </row>
    <row r="42" ht="15" spans="1:10">
      <c r="A42" s="3085"/>
      <c r="B42" s="3086"/>
      <c r="C42" s="3087"/>
      <c r="D42" s="3087"/>
      <c r="E42" s="3088"/>
      <c r="F42" s="3072"/>
      <c r="G42" s="3074"/>
      <c r="H42" s="3074"/>
      <c r="I42" s="3074"/>
      <c r="J42" s="3147"/>
    </row>
    <row r="43" ht="13.5" spans="1:10">
      <c r="A43" s="3136"/>
      <c r="B43" s="3136"/>
      <c r="C43" s="3136"/>
      <c r="D43" s="3136"/>
      <c r="E43" s="3136"/>
      <c r="F43" s="3393"/>
      <c r="G43" s="3393"/>
      <c r="H43" s="3393"/>
      <c r="I43" s="3407"/>
      <c r="J43" s="3149"/>
    </row>
    <row r="44" ht="18.75" spans="1:17">
      <c r="A44" s="3091" t="s">
        <v>663</v>
      </c>
      <c r="B44" s="3092"/>
      <c r="C44" s="3092"/>
      <c r="D44" s="3394"/>
      <c r="E44" s="3394"/>
      <c r="F44" s="3395"/>
      <c r="G44" s="3395"/>
      <c r="H44" s="3395"/>
      <c r="I44" s="3150" t="s">
        <v>664</v>
      </c>
      <c r="J44" s="3408"/>
      <c r="K44" s="3152" t="s">
        <v>665</v>
      </c>
      <c r="L44" s="3153"/>
      <c r="M44" s="3153"/>
      <c r="N44" s="3153"/>
      <c r="O44" s="3153"/>
      <c r="P44" s="3153"/>
      <c r="Q44" s="3003"/>
    </row>
    <row r="45" ht="14.25" customHeight="1" spans="1:17">
      <c r="A45" s="3094" t="s">
        <v>666</v>
      </c>
      <c r="B45" s="3095"/>
      <c r="C45" s="3096"/>
      <c r="D45" s="2090">
        <f ca="1">ROUND(I102*F45,0)</f>
        <v>657550</v>
      </c>
      <c r="E45" s="2179" t="s">
        <v>667</v>
      </c>
      <c r="F45" s="3097">
        <v>1</v>
      </c>
      <c r="G45" s="3098" t="s">
        <v>668</v>
      </c>
      <c r="H45" s="2230"/>
      <c r="I45" s="2230"/>
      <c r="J45" s="3142"/>
      <c r="K45" s="3409" t="s">
        <v>669</v>
      </c>
      <c r="L45" s="3409"/>
      <c r="M45" s="3409"/>
      <c r="N45" s="3409"/>
      <c r="O45" s="3409"/>
      <c r="P45" s="3409"/>
      <c r="Q45" s="3003"/>
    </row>
    <row r="46" ht="14.25" customHeight="1" spans="1:17">
      <c r="A46" s="3099" t="s">
        <v>670</v>
      </c>
      <c r="B46" s="3100"/>
      <c r="C46" s="3100"/>
      <c r="D46" s="3100"/>
      <c r="E46" s="3100"/>
      <c r="F46" s="3100"/>
      <c r="G46" s="3101"/>
      <c r="H46" s="3102"/>
      <c r="I46" s="2230"/>
      <c r="J46" s="3142"/>
      <c r="K46" s="3410">
        <v>1</v>
      </c>
      <c r="L46" s="3411" t="s">
        <v>97</v>
      </c>
      <c r="M46" s="3411"/>
      <c r="N46" s="3412" t="str">
        <f>项目基本情况!B1</f>
        <v>北京市预评估</v>
      </c>
      <c r="O46" s="3412"/>
      <c r="P46" s="3412"/>
      <c r="Q46" s="3003"/>
    </row>
    <row r="47" ht="12" customHeight="1" spans="1:17">
      <c r="A47" s="3103" t="s">
        <v>671</v>
      </c>
      <c r="B47" s="3104"/>
      <c r="C47" s="3105"/>
      <c r="D47" s="2128" t="s">
        <v>672</v>
      </c>
      <c r="E47" s="2078" t="s">
        <v>673</v>
      </c>
      <c r="F47" s="2296" t="s">
        <v>674</v>
      </c>
      <c r="G47" s="3106" t="s">
        <v>675</v>
      </c>
      <c r="H47" s="3102"/>
      <c r="I47" s="2230"/>
      <c r="J47" s="3142"/>
      <c r="K47" s="3410">
        <v>2</v>
      </c>
      <c r="L47" s="3411" t="s">
        <v>676</v>
      </c>
      <c r="M47" s="3411"/>
      <c r="N47" s="3413">
        <f>'数据-取费表'!B2</f>
        <v>38443</v>
      </c>
      <c r="O47" s="3413"/>
      <c r="P47" s="3413"/>
      <c r="Q47" s="3003"/>
    </row>
    <row r="48" ht="24.75" spans="1:17">
      <c r="A48" s="3107" t="s">
        <v>677</v>
      </c>
      <c r="B48" s="2133"/>
      <c r="C48" s="2133"/>
      <c r="D48" s="2192">
        <f ca="1">IF(H48="情况1",0,IF(H48="情况2",D52,IF(H48="情况3",D53,IF(H48="情况4",D54))))</f>
        <v>36823</v>
      </c>
      <c r="E48" s="2133" t="str">
        <f>IF(H48="情况4","(销售额-原购置价)×税（费）率","销售额×税（费）率")</f>
        <v>销售额×税（费）率</v>
      </c>
      <c r="F48" s="3108">
        <f>IF(H48="情况1","免征",'数据-取费表'!E29)</f>
        <v>0.056</v>
      </c>
      <c r="G48" s="3109" t="s">
        <v>678</v>
      </c>
      <c r="H48" s="3110" t="s">
        <v>679</v>
      </c>
      <c r="I48" s="3102"/>
      <c r="J48" s="3159"/>
      <c r="K48" s="3410">
        <v>3</v>
      </c>
      <c r="L48" s="3411" t="s">
        <v>680</v>
      </c>
      <c r="M48" s="3411"/>
      <c r="N48" s="3412">
        <f ca="1">I102</f>
        <v>657550</v>
      </c>
      <c r="O48" s="3412"/>
      <c r="P48" s="3412"/>
      <c r="Q48" s="3003"/>
    </row>
    <row r="49" ht="25.5" customHeight="1" spans="1:17">
      <c r="A49" s="3107" t="s">
        <v>681</v>
      </c>
      <c r="B49" s="2112" t="s">
        <v>682</v>
      </c>
      <c r="C49" s="2112"/>
      <c r="D49" s="3111">
        <v>0</v>
      </c>
      <c r="E49" s="2139" t="s">
        <v>683</v>
      </c>
      <c r="F49" s="3112" t="s">
        <v>121</v>
      </c>
      <c r="G49" s="3113"/>
      <c r="H49" s="3114" t="s">
        <v>684</v>
      </c>
      <c r="I49" s="3161"/>
      <c r="J49" s="3162"/>
      <c r="K49" s="3410">
        <v>4</v>
      </c>
      <c r="L49" s="3411" t="str">
        <f>IF(项目基本情况!F5="房地产抵押价值","房地产抵押价值","抵押担保权已注销时的房地产抵押价值")</f>
        <v>抵押担保权已注销时的房地产抵押价值</v>
      </c>
      <c r="M49" s="3411"/>
      <c r="N49" s="3412" t="str">
        <f ca="1">IF(项目基本情况!F5="房地产抵押价值",I110,I112)</f>
        <v>——</v>
      </c>
      <c r="O49" s="3412"/>
      <c r="P49" s="3412"/>
      <c r="Q49" s="3003"/>
    </row>
    <row r="50" ht="25.5" customHeight="1" spans="1:17">
      <c r="A50" s="3115"/>
      <c r="B50" s="2112" t="s">
        <v>685</v>
      </c>
      <c r="C50" s="2112"/>
      <c r="D50" s="3116"/>
      <c r="E50" s="2149"/>
      <c r="F50" s="3112"/>
      <c r="G50" s="3117"/>
      <c r="H50" s="3118" t="s">
        <v>686</v>
      </c>
      <c r="I50" s="3161"/>
      <c r="J50" s="3162"/>
      <c r="K50" s="3411" t="s">
        <v>687</v>
      </c>
      <c r="L50" s="3411"/>
      <c r="M50" s="3411"/>
      <c r="N50" s="3411"/>
      <c r="O50" s="3411"/>
      <c r="P50" s="3411"/>
      <c r="Q50" s="3003"/>
    </row>
    <row r="51" ht="20.45" customHeight="1" spans="1:17">
      <c r="A51" s="3119"/>
      <c r="B51" s="2112" t="s">
        <v>688</v>
      </c>
      <c r="C51" s="2112"/>
      <c r="D51" s="2128"/>
      <c r="E51" s="447"/>
      <c r="F51" s="3112"/>
      <c r="G51" s="3120"/>
      <c r="H51" s="3118" t="s">
        <v>689</v>
      </c>
      <c r="I51" s="3161"/>
      <c r="J51" s="3162"/>
      <c r="K51" s="3411" t="s">
        <v>690</v>
      </c>
      <c r="L51" s="3411" t="s">
        <v>691</v>
      </c>
      <c r="M51" s="3411"/>
      <c r="N51" s="3411" t="s">
        <v>692</v>
      </c>
      <c r="O51" s="3411" t="s">
        <v>693</v>
      </c>
      <c r="P51" s="3411" t="s">
        <v>694</v>
      </c>
      <c r="Q51" s="3003"/>
    </row>
    <row r="52" ht="24" customHeight="1" spans="1:17">
      <c r="A52" s="3121" t="s">
        <v>695</v>
      </c>
      <c r="B52" s="2112" t="s">
        <v>696</v>
      </c>
      <c r="C52" s="2112"/>
      <c r="D52" s="2128">
        <f ca="1">ROUND(D45*'数据-取费表'!E29/(1+'数据-取费表'!F30),0)</f>
        <v>36823</v>
      </c>
      <c r="E52" s="2133" t="s">
        <v>697</v>
      </c>
      <c r="F52" s="3122">
        <f>'数据-取费表'!E29</f>
        <v>0.056</v>
      </c>
      <c r="G52" s="3123"/>
      <c r="H52" s="2230"/>
      <c r="I52" s="3163"/>
      <c r="J52" s="3162"/>
      <c r="K52" s="3410">
        <v>1</v>
      </c>
      <c r="L52" s="3410" t="s">
        <v>698</v>
      </c>
      <c r="M52" s="3410"/>
      <c r="N52" s="3414">
        <f ca="1">D48</f>
        <v>36823</v>
      </c>
      <c r="O52" s="3410" t="str">
        <f>E48</f>
        <v>销售额×税（费）率</v>
      </c>
      <c r="P52" s="3415">
        <f>F48</f>
        <v>0.056</v>
      </c>
      <c r="Q52" s="3003"/>
    </row>
    <row r="53" ht="12" customHeight="1" spans="1:17">
      <c r="A53" s="3121" t="s">
        <v>699</v>
      </c>
      <c r="B53" s="2111" t="s">
        <v>700</v>
      </c>
      <c r="C53" s="3124"/>
      <c r="D53" s="2128">
        <f ca="1">ROUND(D45*'数据-取费表'!E29/(1+'数据-取费表'!F30),0)</f>
        <v>36823</v>
      </c>
      <c r="E53" s="2133" t="s">
        <v>697</v>
      </c>
      <c r="F53" s="3122">
        <f>'数据-取费表'!E29</f>
        <v>0.056</v>
      </c>
      <c r="G53" s="3123"/>
      <c r="H53" s="2230"/>
      <c r="I53" s="3163"/>
      <c r="J53" s="3162"/>
      <c r="K53" s="3410">
        <v>2</v>
      </c>
      <c r="L53" s="3410" t="s">
        <v>701</v>
      </c>
      <c r="M53" s="3410"/>
      <c r="N53" s="3414">
        <f ca="1" t="shared" ref="N53:P54" si="1">D55</f>
        <v>0</v>
      </c>
      <c r="O53" s="3410" t="str">
        <f t="shared" si="1"/>
        <v>销售额×税（费）率</v>
      </c>
      <c r="P53" s="3415" t="str">
        <f t="shared" si="1"/>
        <v>免征</v>
      </c>
      <c r="Q53" s="3003"/>
    </row>
    <row r="54" ht="12" customHeight="1" spans="1:17">
      <c r="A54" s="3121" t="s">
        <v>702</v>
      </c>
      <c r="B54" s="2111" t="s">
        <v>703</v>
      </c>
      <c r="C54" s="3124"/>
      <c r="D54" s="2128">
        <f ca="1">C68</f>
        <v>36823</v>
      </c>
      <c r="E54" s="447" t="s">
        <v>704</v>
      </c>
      <c r="F54" s="3122">
        <f>'数据-取费表'!E29</f>
        <v>0.056</v>
      </c>
      <c r="G54" s="3123"/>
      <c r="H54" s="3125"/>
      <c r="I54" s="3163"/>
      <c r="J54" s="3162"/>
      <c r="K54" s="3410">
        <v>3</v>
      </c>
      <c r="L54" s="3410" t="s">
        <v>705</v>
      </c>
      <c r="M54" s="3410"/>
      <c r="N54" s="3414">
        <f ca="1" t="shared" si="1"/>
        <v>0</v>
      </c>
      <c r="O54" s="3410" t="str">
        <f t="shared" si="1"/>
        <v>增值额×税（费）率</v>
      </c>
      <c r="P54" s="3416" t="str">
        <f t="shared" si="1"/>
        <v>免征</v>
      </c>
      <c r="Q54" s="3003"/>
    </row>
    <row r="55" ht="24" customHeight="1" spans="1:17">
      <c r="A55" s="3121" t="s">
        <v>706</v>
      </c>
      <c r="B55" s="2133"/>
      <c r="C55" s="2133"/>
      <c r="D55" s="2192">
        <f ca="1">IF(H55="个人住宅",0,ROUND(D45*I55,0))</f>
        <v>0</v>
      </c>
      <c r="E55" s="2133" t="s">
        <v>707</v>
      </c>
      <c r="F55" s="3122" t="str">
        <f>IF(H55="正常",I55,"免征")</f>
        <v>免征</v>
      </c>
      <c r="G55" s="3123"/>
      <c r="H55" s="3110" t="s">
        <v>708</v>
      </c>
      <c r="I55" s="3167">
        <f>'数据-取费表'!E37</f>
        <v>0.0005</v>
      </c>
      <c r="J55" s="3162"/>
      <c r="K55" s="3410" t="str">
        <f>IF(H59="非个人房产","",4)</f>
        <v/>
      </c>
      <c r="L55" s="3410" t="str">
        <f>IF(H59="非个人房产","——","个人所得税")</f>
        <v>——</v>
      </c>
      <c r="M55" s="3410"/>
      <c r="N55" s="3417" t="str">
        <f ca="1">D59</f>
        <v>——</v>
      </c>
      <c r="O55" s="3418" t="str">
        <f>E59</f>
        <v>——</v>
      </c>
      <c r="P55" s="3419" t="str">
        <f>F59</f>
        <v>——</v>
      </c>
      <c r="Q55" s="3003"/>
    </row>
    <row r="56" ht="24.75" spans="1:17">
      <c r="A56" s="3121" t="s">
        <v>709</v>
      </c>
      <c r="B56" s="2133"/>
      <c r="C56" s="2133"/>
      <c r="D56" s="2192">
        <f ca="1">IF(H56="个人住宅",D57,D58)</f>
        <v>0</v>
      </c>
      <c r="E56" s="2133" t="s">
        <v>710</v>
      </c>
      <c r="F56" s="3122" t="str">
        <f>IF(H56="正常",F58,"免征")</f>
        <v>免征</v>
      </c>
      <c r="G56" s="3126" t="s">
        <v>711</v>
      </c>
      <c r="H56" s="3127" t="s">
        <v>708</v>
      </c>
      <c r="I56" s="3128"/>
      <c r="J56" s="3162"/>
      <c r="K56" s="3410" t="str">
        <f>IF(项目基本情况!I6="上海银行",IF(K55="",4,K55+1),"")</f>
        <v/>
      </c>
      <c r="L56" s="3420" t="str">
        <f>IF(项目基本情况!I6="上海银行","其他处置费用","")</f>
        <v/>
      </c>
      <c r="M56" s="3421"/>
      <c r="N56" s="3414" t="str">
        <f ca="1">IF(项目基本情况!I6="上海银行",N69,"")</f>
        <v/>
      </c>
      <c r="O56" s="3420" t="str">
        <f>IF(项目基本情况!I6="上海银行","包含处置中涉及的律师、诉讼、拍卖、评估等费用","")</f>
        <v/>
      </c>
      <c r="P56" s="3422"/>
      <c r="Q56" s="3003"/>
    </row>
    <row r="57" ht="13.5" spans="1:17">
      <c r="A57" s="3121" t="s">
        <v>681</v>
      </c>
      <c r="B57" s="2111" t="s">
        <v>712</v>
      </c>
      <c r="C57" s="3124"/>
      <c r="D57" s="3111">
        <v>0</v>
      </c>
      <c r="E57" s="2139" t="s">
        <v>683</v>
      </c>
      <c r="F57" s="2078"/>
      <c r="G57" s="3123"/>
      <c r="H57" s="3128"/>
      <c r="I57" s="3128"/>
      <c r="J57" s="3162"/>
      <c r="K57" s="3410">
        <f>IF(AND(K55="",K56=""),4,IF(项目基本情况!I6="上海银行",K56+1,K55+1))</f>
        <v>4</v>
      </c>
      <c r="L57" s="3410" t="s">
        <v>431</v>
      </c>
      <c r="M57" s="3423" t="s">
        <v>713</v>
      </c>
      <c r="N57" s="3424"/>
      <c r="O57" s="3425">
        <f ca="1">SUMIF(N52:N56,"&lt;9e307")</f>
        <v>36823</v>
      </c>
      <c r="P57" s="3426"/>
      <c r="Q57" s="3189" t="e">
        <f ca="1">O57/N49</f>
        <v>#VALUE!</v>
      </c>
    </row>
    <row r="58" ht="24.75" spans="1:17">
      <c r="A58" s="3121" t="s">
        <v>695</v>
      </c>
      <c r="B58" s="2111" t="s">
        <v>714</v>
      </c>
      <c r="C58" s="2112"/>
      <c r="D58" s="2192">
        <f ca="1">IF(H58="转让取得",C81,C97)</f>
        <v>390782</v>
      </c>
      <c r="E58" s="2133" t="s">
        <v>710</v>
      </c>
      <c r="F58" s="2078" t="s">
        <v>121</v>
      </c>
      <c r="G58" s="3123"/>
      <c r="H58" s="3127" t="s">
        <v>715</v>
      </c>
      <c r="I58" s="3128"/>
      <c r="J58" s="3162"/>
      <c r="K58" s="3410"/>
      <c r="L58" s="3410"/>
      <c r="M58" s="3423" t="s">
        <v>716</v>
      </c>
      <c r="N58" s="3427"/>
      <c r="O58" s="3428" t="str">
        <f ca="1">IF(H19="元",NUMBERSTRING(INT(O57),2)&amp;"元整",NUMBERSTRING(INT(O57*10000),2)&amp;"元整")</f>
        <v>叁万陆仟捌佰贰拾叁元整</v>
      </c>
      <c r="P58" s="3429"/>
      <c r="Q58" s="3003"/>
    </row>
    <row r="59" ht="24.75" spans="1:17">
      <c r="A59" s="3129" t="s">
        <v>717</v>
      </c>
      <c r="B59" s="3130"/>
      <c r="C59" s="3130"/>
      <c r="D59" s="3396" t="str">
        <f ca="1">IF(H59="非个人房产","——",IF(H59="个人住宅（满五唯一有凭证）",0,IF(H59="个人其他（无凭证）",ROUND(D45*F59,0),ROUND(C67*F59,0))))</f>
        <v>——</v>
      </c>
      <c r="E59" s="3130" t="str">
        <f>IF(H59="非个人房产","——",IF(H59="个人其他（无凭证）","销售额×税（费）率",IF(H59="个人住宅（满五唯一有凭证）","免征","差额计税")))</f>
        <v>——</v>
      </c>
      <c r="F59" s="3397" t="str">
        <f>IF(OR(H59="非个人房产",H59="个人住宅（满五唯一有凭证）"),"——",IF(H59="个人其他（有凭证）",20%,1%))</f>
        <v>——</v>
      </c>
      <c r="G59" s="3133" t="s">
        <v>718</v>
      </c>
      <c r="H59" s="3134" t="s">
        <v>719</v>
      </c>
      <c r="I59" s="3430" t="s">
        <v>720</v>
      </c>
      <c r="J59" s="3162"/>
      <c r="K59" s="3418">
        <f>K57+1</f>
        <v>5</v>
      </c>
      <c r="L59" s="3410" t="s">
        <v>587</v>
      </c>
      <c r="M59" s="3410" t="s">
        <v>713</v>
      </c>
      <c r="N59" s="3431"/>
      <c r="O59" s="3432" t="e">
        <f ca="1">N49-O57</f>
        <v>#VALUE!</v>
      </c>
      <c r="P59" s="3433"/>
      <c r="Q59" s="3003"/>
    </row>
    <row r="60" ht="12" customHeight="1" spans="1:17">
      <c r="A60" s="3135"/>
      <c r="B60" s="3007"/>
      <c r="C60" s="3007"/>
      <c r="D60" s="3007"/>
      <c r="E60" s="3245"/>
      <c r="F60" s="3398"/>
      <c r="G60" s="3398"/>
      <c r="H60" s="3399"/>
      <c r="I60" s="1756"/>
      <c r="K60" s="3434"/>
      <c r="L60" s="3410"/>
      <c r="M60" s="3423" t="s">
        <v>716</v>
      </c>
      <c r="N60" s="3427"/>
      <c r="O60" s="3428" t="e">
        <f ca="1">IF(H19="元",NUMBERSTRING(INT(O59),2)&amp;"元整",NUMBERSTRING(INT(O59*10000),2)&amp;"元整")</f>
        <v>#VALUE!</v>
      </c>
      <c r="P60" s="3429"/>
      <c r="Q60" s="3003"/>
    </row>
    <row r="61" ht="14.25" spans="1:17">
      <c r="A61" s="3400" t="s">
        <v>721</v>
      </c>
      <c r="B61" s="3400"/>
      <c r="C61" s="3400"/>
      <c r="D61" s="3400"/>
      <c r="E61" s="3400"/>
      <c r="F61" s="3398"/>
      <c r="G61" s="3398"/>
      <c r="H61" s="3401"/>
      <c r="I61" s="1756"/>
      <c r="K61" s="3410">
        <f>K59+1</f>
        <v>6</v>
      </c>
      <c r="L61" s="3410" t="s">
        <v>722</v>
      </c>
      <c r="M61" s="3410"/>
      <c r="N61" s="3435"/>
      <c r="O61" s="3436" t="e">
        <f ca="1">IF(H19="元",ROUND(O59/项目基本情况!C12,0),ROUND(O59*10000/项目基本情况!C12,0))</f>
        <v>#VALUE!</v>
      </c>
      <c r="P61" s="3437"/>
      <c r="Q61" s="3003"/>
    </row>
    <row r="62" ht="13.5" spans="1:17">
      <c r="A62" s="459" t="s">
        <v>723</v>
      </c>
      <c r="B62" s="425"/>
      <c r="C62" s="425"/>
      <c r="D62" s="425" t="s">
        <v>724</v>
      </c>
      <c r="E62" s="3138" t="s">
        <v>675</v>
      </c>
      <c r="F62" s="3398"/>
      <c r="G62" s="3398"/>
      <c r="H62" s="3401"/>
      <c r="I62" s="1756"/>
      <c r="K62" s="3438"/>
      <c r="L62" s="3438"/>
      <c r="M62" s="3438"/>
      <c r="N62" s="3438"/>
      <c r="O62" s="3438"/>
      <c r="P62" s="3438"/>
      <c r="Q62" s="3003"/>
    </row>
    <row r="63" ht="13.5" spans="1:17">
      <c r="A63" s="3191">
        <v>1</v>
      </c>
      <c r="B63" s="3192" t="s">
        <v>725</v>
      </c>
      <c r="C63" s="3193">
        <f ca="1">ROUND((C64+C65)/(1+'数据-取费表'!F30),0)</f>
        <v>657550</v>
      </c>
      <c r="D63" s="3192"/>
      <c r="E63" s="3194"/>
      <c r="F63" s="3398"/>
      <c r="G63" s="3398"/>
      <c r="H63" s="3401"/>
      <c r="I63" s="1756"/>
      <c r="K63" s="3439" t="s">
        <v>726</v>
      </c>
      <c r="L63" s="3439" t="s">
        <v>727</v>
      </c>
      <c r="M63" s="3439" t="e">
        <f ca="1">IF(N49&gt;10000,N49*0.5%,IF(AND(N49&gt;1000,N49&lt;=10000),N49*1%,IF(AND(N49&gt;100,N49&lt;=1000),N49*3%,IF(AND(N49&gt;10,N49&lt;=100),N49*5%,N49*8%))))</f>
        <v>#VALUE!</v>
      </c>
      <c r="N63" s="3440" t="e">
        <f ca="1">ROUND(M63,1)</f>
        <v>#VALUE!</v>
      </c>
      <c r="O63" s="3438"/>
      <c r="P63" s="3438"/>
      <c r="Q63" s="3003"/>
    </row>
    <row r="64" ht="13.5" spans="1:17">
      <c r="A64" s="3195" t="s">
        <v>728</v>
      </c>
      <c r="B64" s="410" t="s">
        <v>729</v>
      </c>
      <c r="C64" s="3196">
        <f ca="1">D45</f>
        <v>657550</v>
      </c>
      <c r="D64" s="410" t="s">
        <v>121</v>
      </c>
      <c r="E64" s="3197"/>
      <c r="F64" s="3398"/>
      <c r="G64" s="3398"/>
      <c r="H64" s="3401"/>
      <c r="I64" s="1756"/>
      <c r="K64" s="3439"/>
      <c r="L64" s="3439" t="s">
        <v>730</v>
      </c>
      <c r="M64" s="3439" t="e">
        <f ca="1">IF(N49&gt;2000,N49*0.5%,IF(AND(N49&gt;1000,N49&lt;=2000),N49*0.6%,IF(AND(N49&gt;500,N49&lt;=1000),N49*0.7%,IF(AND(N49&gt;200,N49&lt;=500),N49*0.8%,IF(AND(N49&gt;100,N49&lt;=200),N49*0.9%,IF(AND(N49&gt;50,N49&lt;=100),N49*1%,IF(AND(N49&gt;20,N49&lt;=50),N49*1.5%,IF(AND(N49&gt;10,N49&lt;=20),N49*2%,IF(AND(N49&gt;1,N49&lt;=10),N49*2.5%)))))))))</f>
        <v>#VALUE!</v>
      </c>
      <c r="N64" s="3440" t="e">
        <f ca="1" t="shared" ref="N64:N65" si="2">ROUND(M64,1)</f>
        <v>#VALUE!</v>
      </c>
      <c r="O64" s="3438" t="s">
        <v>731</v>
      </c>
      <c r="P64" s="3438"/>
      <c r="Q64" s="3003"/>
    </row>
    <row r="65" ht="13.5" spans="1:17">
      <c r="A65" s="3195" t="s">
        <v>732</v>
      </c>
      <c r="B65" s="410" t="s">
        <v>733</v>
      </c>
      <c r="C65" s="3198"/>
      <c r="D65" s="410"/>
      <c r="E65" s="3197"/>
      <c r="F65" s="3398"/>
      <c r="G65" s="3398"/>
      <c r="H65" s="3401"/>
      <c r="I65" s="1756"/>
      <c r="K65" s="3439"/>
      <c r="L65" s="3439" t="s">
        <v>734</v>
      </c>
      <c r="M65" s="3439" t="e">
        <f ca="1">IF(N49&gt;1000,N49*0.1%,IF(AND(N49&gt;500,N49&lt;=1000),N49*0.5%,IF(AND(N49&gt;50,N49&lt;=500),N49*1%,IF(AND(N49&gt;1,N49&lt;=50),N49*1.5%))))</f>
        <v>#VALUE!</v>
      </c>
      <c r="N65" s="3440" t="e">
        <f ca="1" t="shared" si="2"/>
        <v>#VALUE!</v>
      </c>
      <c r="O65" s="3438" t="s">
        <v>731</v>
      </c>
      <c r="P65" s="3438"/>
      <c r="Q65" s="3003"/>
    </row>
    <row r="66" ht="13.5" spans="1:17">
      <c r="A66" s="3199" t="s">
        <v>735</v>
      </c>
      <c r="B66" s="516" t="s">
        <v>736</v>
      </c>
      <c r="C66" s="3200"/>
      <c r="D66" s="516" t="s">
        <v>121</v>
      </c>
      <c r="E66" s="3201" t="s">
        <v>737</v>
      </c>
      <c r="F66" s="3398"/>
      <c r="G66" s="3398"/>
      <c r="H66" s="3401"/>
      <c r="I66" s="1756"/>
      <c r="K66" s="3439"/>
      <c r="L66" s="3439" t="s">
        <v>738</v>
      </c>
      <c r="M66" s="3439" t="e">
        <f ca="1">N49*0.5%</f>
        <v>#VALUE!</v>
      </c>
      <c r="N66" s="3440" t="e">
        <f ca="1">IF(M66&gt;0.5,0.5,ROUND(M66,0))</f>
        <v>#VALUE!</v>
      </c>
      <c r="O66" s="3438" t="s">
        <v>739</v>
      </c>
      <c r="P66" s="3438"/>
      <c r="Q66" s="3003"/>
    </row>
    <row r="67" ht="13.5" spans="1:17">
      <c r="A67" s="3199" t="s">
        <v>740</v>
      </c>
      <c r="B67" s="516" t="s">
        <v>741</v>
      </c>
      <c r="C67" s="3202">
        <f ca="1">C63-C66</f>
        <v>657550</v>
      </c>
      <c r="D67" s="410" t="s">
        <v>121</v>
      </c>
      <c r="E67" s="3197"/>
      <c r="F67" s="3398"/>
      <c r="G67" s="3398"/>
      <c r="H67" s="3401"/>
      <c r="I67" s="1756"/>
      <c r="K67" s="3439"/>
      <c r="L67" s="3439" t="s">
        <v>742</v>
      </c>
      <c r="M67" s="3439" t="e">
        <f ca="1">IF(N49&gt;=10000,(8.25+(N49-10000)*0.01%),IF(AND(N49&gt;=8000,N49&lt;10000),(7.85+(N49-8000)*0.02%),IF(AND(N49&gt;=5000,N49&lt;8000),(6.65+(N49-5000)*0.04%),IF(AND(N49&gt;=2000,N49&lt;5000),(4.25+(PN49-2000)*0.08%),IF(AND(N49&gt;=1000,N49&lt;2000),(2.75+(N49-1000)*0.15%),IF(AND(N49&gt;=100,N49&lt;1000),(0.5+(N49-100)*0.25%),IF(AND(N49&gt;0,N49&lt;100),N49*0.5%)))))))</f>
        <v>#VALUE!</v>
      </c>
      <c r="N67" s="3440" t="e">
        <f ca="1">ROUND(M67*0.9,1)</f>
        <v>#VALUE!</v>
      </c>
      <c r="O67" s="3438"/>
      <c r="P67" s="3438"/>
      <c r="Q67" s="3003"/>
    </row>
    <row r="68" ht="14.25" spans="1:17">
      <c r="A68" s="3203" t="s">
        <v>743</v>
      </c>
      <c r="B68" s="537" t="s">
        <v>744</v>
      </c>
      <c r="C68" s="3204">
        <f ca="1">IF(C67&lt;=0,0,ROUND(C67*D68,0))</f>
        <v>36823</v>
      </c>
      <c r="D68" s="631">
        <f>'数据-取费表'!E29</f>
        <v>0.056</v>
      </c>
      <c r="E68" s="3205"/>
      <c r="F68" s="3398"/>
      <c r="G68" s="3398"/>
      <c r="H68" s="3401"/>
      <c r="I68" s="1756"/>
      <c r="K68" s="3439"/>
      <c r="L68" s="3439" t="s">
        <v>745</v>
      </c>
      <c r="M68" s="3439" t="e">
        <f ca="1">IF(N49&gt;10000,N49*0.5%,IF(AND(N49&gt;5000,N49&lt;=10000),N49*1%,IF(AND(N49&gt;1000,N49&lt;=5000),N49*2%,IF(AND(N49&gt;200,N49&lt;=1000),N49*3%,N49*5%))))</f>
        <v>#VALUE!</v>
      </c>
      <c r="N68" s="3440" t="e">
        <f ca="1">ROUND(M68,1)</f>
        <v>#VALUE!</v>
      </c>
      <c r="O68" s="3438"/>
      <c r="P68" s="3438"/>
      <c r="Q68" s="3003"/>
    </row>
    <row r="69" s="3001" customFormat="1" ht="7.5" customHeight="1" spans="1:36">
      <c r="A69" s="3206"/>
      <c r="B69" s="507"/>
      <c r="C69" s="3442"/>
      <c r="D69" s="3443"/>
      <c r="E69" s="3089"/>
      <c r="F69" s="3245"/>
      <c r="G69" s="3245"/>
      <c r="H69" s="3246"/>
      <c r="I69" s="3007"/>
      <c r="J69" s="3005"/>
      <c r="K69" s="3439"/>
      <c r="L69" s="3439" t="s">
        <v>434</v>
      </c>
      <c r="M69" s="3439"/>
      <c r="N69" s="3440" t="e">
        <f ca="1">ROUND(SUM(N63:N68),0)</f>
        <v>#VALUE!</v>
      </c>
      <c r="O69" s="3452" t="e">
        <f ca="1">N69/N49</f>
        <v>#VALUE!</v>
      </c>
      <c r="P69" s="3438"/>
      <c r="Q69" s="3003"/>
      <c r="R69" s="1712"/>
      <c r="S69" s="1712"/>
      <c r="T69" s="1712"/>
      <c r="U69" s="1712"/>
      <c r="V69" s="1712"/>
      <c r="W69" s="1712"/>
      <c r="X69" s="1712"/>
      <c r="Y69" s="1712"/>
      <c r="Z69" s="1712"/>
      <c r="AA69" s="1712"/>
      <c r="AB69" s="3003"/>
      <c r="AC69" s="3003"/>
      <c r="AD69" s="3003"/>
      <c r="AE69" s="3003"/>
      <c r="AF69" s="3003"/>
      <c r="AG69" s="3003"/>
      <c r="AH69" s="3003"/>
      <c r="AI69" s="3003"/>
      <c r="AJ69" s="3003"/>
    </row>
    <row r="70" s="3002" customFormat="1" ht="15" spans="1:36">
      <c r="A70" s="3444" t="s">
        <v>746</v>
      </c>
      <c r="B70" s="3445"/>
      <c r="C70" s="3445"/>
      <c r="D70" s="3445"/>
      <c r="E70" s="3445"/>
      <c r="F70" s="3445"/>
      <c r="G70" s="3445"/>
      <c r="H70" s="3445"/>
      <c r="I70" s="3308"/>
      <c r="J70" s="3309"/>
      <c r="P70" s="367"/>
      <c r="Q70" s="367"/>
      <c r="R70" s="367"/>
      <c r="S70" s="367"/>
      <c r="T70" s="367"/>
      <c r="U70" s="367"/>
      <c r="V70" s="367"/>
      <c r="W70" s="367"/>
      <c r="X70" s="367"/>
      <c r="Y70" s="367"/>
      <c r="Z70" s="367"/>
      <c r="AA70" s="367"/>
      <c r="AB70" s="3315"/>
      <c r="AC70" s="3315"/>
      <c r="AD70" s="3315"/>
      <c r="AE70" s="3315"/>
      <c r="AF70" s="3315"/>
      <c r="AG70" s="3315"/>
      <c r="AH70" s="3315"/>
      <c r="AI70" s="3315"/>
      <c r="AJ70" s="3315"/>
    </row>
    <row r="71" s="3002" customFormat="1" ht="14.25" spans="1:36">
      <c r="A71" s="459" t="s">
        <v>723</v>
      </c>
      <c r="B71" s="425"/>
      <c r="C71" s="425"/>
      <c r="D71" s="425" t="s">
        <v>724</v>
      </c>
      <c r="E71" s="3209" t="s">
        <v>675</v>
      </c>
      <c r="F71" s="3210"/>
      <c r="G71" s="3210"/>
      <c r="H71" s="3211"/>
      <c r="I71" s="3453"/>
      <c r="J71" s="3454"/>
      <c r="P71" s="367"/>
      <c r="Q71" s="367"/>
      <c r="R71" s="367"/>
      <c r="S71" s="367"/>
      <c r="T71" s="367"/>
      <c r="U71" s="367"/>
      <c r="V71" s="367"/>
      <c r="W71" s="367"/>
      <c r="X71" s="367"/>
      <c r="Y71" s="367"/>
      <c r="Z71" s="367"/>
      <c r="AA71" s="367"/>
      <c r="AB71" s="3315"/>
      <c r="AC71" s="3315"/>
      <c r="AD71" s="3315"/>
      <c r="AE71" s="3315"/>
      <c r="AF71" s="3315"/>
      <c r="AG71" s="3315"/>
      <c r="AH71" s="3315"/>
      <c r="AI71" s="3315"/>
      <c r="AJ71" s="3315"/>
    </row>
    <row r="72" s="3002" customFormat="1" ht="14.25" spans="1:36">
      <c r="A72" s="3212">
        <v>1</v>
      </c>
      <c r="B72" s="516" t="s">
        <v>747</v>
      </c>
      <c r="C72" s="3202">
        <f ca="1">ROUND(D45/(1+'数据-取费表'!F30),0)</f>
        <v>657550</v>
      </c>
      <c r="D72" s="410" t="s">
        <v>121</v>
      </c>
      <c r="E72" s="2192" t="s">
        <v>748</v>
      </c>
      <c r="F72" s="2112"/>
      <c r="G72" s="2112"/>
      <c r="H72" s="3213"/>
      <c r="I72" s="3453"/>
      <c r="J72" s="3454"/>
      <c r="P72" s="367"/>
      <c r="Q72" s="367"/>
      <c r="R72" s="367"/>
      <c r="S72" s="367"/>
      <c r="T72" s="367"/>
      <c r="U72" s="367"/>
      <c r="V72" s="367"/>
      <c r="W72" s="367"/>
      <c r="X72" s="367"/>
      <c r="Y72" s="367"/>
      <c r="Z72" s="367"/>
      <c r="AA72" s="367"/>
      <c r="AB72" s="3315"/>
      <c r="AC72" s="3315"/>
      <c r="AD72" s="3315"/>
      <c r="AE72" s="3315"/>
      <c r="AF72" s="3315"/>
      <c r="AG72" s="3315"/>
      <c r="AH72" s="3315"/>
      <c r="AI72" s="3315"/>
      <c r="AJ72" s="3315"/>
    </row>
    <row r="73" s="3002" customFormat="1" ht="14.25" spans="1:36">
      <c r="A73" s="3214">
        <v>2</v>
      </c>
      <c r="B73" s="2296" t="s">
        <v>749</v>
      </c>
      <c r="C73" s="3202">
        <f ca="1">C74+C78</f>
        <v>3945</v>
      </c>
      <c r="D73" s="410" t="s">
        <v>121</v>
      </c>
      <c r="E73" s="2111"/>
      <c r="F73" s="2112"/>
      <c r="G73" s="2112"/>
      <c r="H73" s="3213"/>
      <c r="I73" s="3453"/>
      <c r="J73" s="3454"/>
      <c r="P73" s="367"/>
      <c r="Q73" s="367"/>
      <c r="R73" s="367"/>
      <c r="S73" s="367"/>
      <c r="T73" s="367"/>
      <c r="U73" s="367"/>
      <c r="V73" s="367"/>
      <c r="W73" s="367"/>
      <c r="X73" s="367"/>
      <c r="Y73" s="367"/>
      <c r="Z73" s="367"/>
      <c r="AA73" s="367"/>
      <c r="AB73" s="3315"/>
      <c r="AC73" s="3315"/>
      <c r="AD73" s="3315"/>
      <c r="AE73" s="3315"/>
      <c r="AF73" s="3315"/>
      <c r="AG73" s="3315"/>
      <c r="AH73" s="3315"/>
      <c r="AI73" s="3315"/>
      <c r="AJ73" s="3315"/>
    </row>
    <row r="74" s="3002" customFormat="1" ht="24" spans="1:36">
      <c r="A74" s="3195" t="s">
        <v>750</v>
      </c>
      <c r="B74" s="410" t="s">
        <v>751</v>
      </c>
      <c r="C74" s="410">
        <f>ROUND(IF(G77="2016年5月1日后购买",C75/(1+'数据-取费表'!F30)+C76+C77,C75+C76+C77),0)</f>
        <v>0</v>
      </c>
      <c r="D74" s="410" t="s">
        <v>121</v>
      </c>
      <c r="E74" s="2111"/>
      <c r="F74" s="2112"/>
      <c r="G74" s="2112"/>
      <c r="H74" s="3213"/>
      <c r="I74" s="3453"/>
      <c r="J74" s="3454"/>
      <c r="P74" s="367"/>
      <c r="Q74" s="367"/>
      <c r="R74" s="367"/>
      <c r="S74" s="367"/>
      <c r="T74" s="367"/>
      <c r="U74" s="367"/>
      <c r="V74" s="367"/>
      <c r="W74" s="367"/>
      <c r="X74" s="367"/>
      <c r="Y74" s="367"/>
      <c r="Z74" s="367"/>
      <c r="AA74" s="367"/>
      <c r="AB74" s="3315"/>
      <c r="AC74" s="3315"/>
      <c r="AD74" s="3315"/>
      <c r="AE74" s="3315"/>
      <c r="AF74" s="3315"/>
      <c r="AG74" s="3315"/>
      <c r="AH74" s="3315"/>
      <c r="AI74" s="3315"/>
      <c r="AJ74" s="3315"/>
    </row>
    <row r="75" s="3002" customFormat="1" ht="14.25" spans="1:36">
      <c r="A75" s="3195" t="s">
        <v>752</v>
      </c>
      <c r="B75" s="410" t="s">
        <v>753</v>
      </c>
      <c r="C75" s="540"/>
      <c r="D75" s="410" t="s">
        <v>121</v>
      </c>
      <c r="E75" s="3215" t="s">
        <v>754</v>
      </c>
      <c r="F75" s="3216" t="s">
        <v>755</v>
      </c>
      <c r="G75" s="3215" t="s">
        <v>756</v>
      </c>
      <c r="H75" s="3217"/>
      <c r="I75" s="3319"/>
      <c r="J75" s="3320"/>
      <c r="P75" s="367"/>
      <c r="Q75" s="367"/>
      <c r="R75" s="367"/>
      <c r="S75" s="367"/>
      <c r="T75" s="367"/>
      <c r="U75" s="367"/>
      <c r="V75" s="367"/>
      <c r="W75" s="367"/>
      <c r="X75" s="367"/>
      <c r="Y75" s="367"/>
      <c r="Z75" s="367"/>
      <c r="AA75" s="367"/>
      <c r="AB75" s="3315"/>
      <c r="AC75" s="3315"/>
      <c r="AD75" s="3315"/>
      <c r="AE75" s="3315"/>
      <c r="AF75" s="3315"/>
      <c r="AG75" s="3315"/>
      <c r="AH75" s="3315"/>
      <c r="AI75" s="3315"/>
      <c r="AJ75" s="3315"/>
    </row>
    <row r="76" s="3002" customFormat="1" ht="24.75" customHeight="1" spans="1:36">
      <c r="A76" s="3195" t="s">
        <v>757</v>
      </c>
      <c r="B76" s="432" t="s">
        <v>758</v>
      </c>
      <c r="C76" s="410">
        <f>IF(F75="购房发票",ROUND(C75*H75*D76,0),0)</f>
        <v>0</v>
      </c>
      <c r="D76" s="3218">
        <v>0.05</v>
      </c>
      <c r="E76" s="2111" t="s">
        <v>759</v>
      </c>
      <c r="F76" s="2112"/>
      <c r="G76" s="2112"/>
      <c r="H76" s="3219"/>
      <c r="I76" s="3453"/>
      <c r="J76" s="3454"/>
      <c r="P76" s="367"/>
      <c r="Q76" s="367"/>
      <c r="R76" s="367"/>
      <c r="S76" s="367"/>
      <c r="T76" s="367"/>
      <c r="U76" s="367"/>
      <c r="V76" s="367"/>
      <c r="W76" s="367"/>
      <c r="X76" s="367"/>
      <c r="Y76" s="367"/>
      <c r="Z76" s="367"/>
      <c r="AA76" s="367"/>
      <c r="AB76" s="3315"/>
      <c r="AC76" s="3315"/>
      <c r="AD76" s="3315"/>
      <c r="AE76" s="3315"/>
      <c r="AF76" s="3315"/>
      <c r="AG76" s="3315"/>
      <c r="AH76" s="3315"/>
      <c r="AI76" s="3315"/>
      <c r="AJ76" s="3315"/>
    </row>
    <row r="77" s="3002" customFormat="1" ht="24.75" customHeight="1" spans="1:36">
      <c r="A77" s="3195" t="s">
        <v>760</v>
      </c>
      <c r="B77" s="410" t="s">
        <v>761</v>
      </c>
      <c r="C77" s="410">
        <f>ROUND(IF(G77="个人住宅",0,IF(G77="2016年5月1日前购买",C75*D77,C75*D77/(1+'数据-取费表'!F30))),0)</f>
        <v>0</v>
      </c>
      <c r="D77" s="3220">
        <f>'数据-取费表'!E36+'数据-取费表'!E37</f>
        <v>0.0305</v>
      </c>
      <c r="E77" s="2192" t="s">
        <v>762</v>
      </c>
      <c r="F77" s="1289"/>
      <c r="G77" s="3221" t="s">
        <v>763</v>
      </c>
      <c r="H77" s="3219" t="str">
        <f>IF(G77="个人买卖住房","免征印花税"," ")</f>
        <v> </v>
      </c>
      <c r="I77" s="3453"/>
      <c r="J77" s="3454"/>
      <c r="K77" s="367"/>
      <c r="L77" s="367"/>
      <c r="M77" s="367"/>
      <c r="N77" s="367"/>
      <c r="O77" s="367"/>
      <c r="P77" s="367"/>
      <c r="Q77" s="367"/>
      <c r="R77" s="367"/>
      <c r="S77" s="367"/>
      <c r="T77" s="367"/>
      <c r="U77" s="367"/>
      <c r="V77" s="367"/>
      <c r="W77" s="367"/>
      <c r="X77" s="367"/>
      <c r="Y77" s="367"/>
      <c r="Z77" s="367"/>
      <c r="AA77" s="367"/>
      <c r="AB77" s="3315"/>
      <c r="AC77" s="3315"/>
      <c r="AD77" s="3315"/>
      <c r="AE77" s="3315"/>
      <c r="AF77" s="3315"/>
      <c r="AG77" s="3315"/>
      <c r="AH77" s="3315"/>
      <c r="AI77" s="3315"/>
      <c r="AJ77" s="3315"/>
    </row>
    <row r="78" s="3002" customFormat="1" ht="24.75" customHeight="1" spans="1:36">
      <c r="A78" s="3195" t="s">
        <v>764</v>
      </c>
      <c r="B78" s="410" t="s">
        <v>765</v>
      </c>
      <c r="C78" s="3222">
        <f ca="1">ROUND(D45*D78/(1+'数据-取费表'!F30),0)</f>
        <v>3945</v>
      </c>
      <c r="D78" s="3223">
        <f>'数据-取费表'!E31</f>
        <v>0.006</v>
      </c>
      <c r="E78" s="3224" t="s">
        <v>766</v>
      </c>
      <c r="F78" s="3225"/>
      <c r="G78" s="3225"/>
      <c r="H78" s="3226"/>
      <c r="I78" s="3455"/>
      <c r="J78" s="3456"/>
      <c r="K78" s="367"/>
      <c r="L78" s="367"/>
      <c r="M78" s="367"/>
      <c r="N78" s="367"/>
      <c r="O78" s="367"/>
      <c r="P78" s="367"/>
      <c r="Q78" s="367"/>
      <c r="R78" s="367"/>
      <c r="S78" s="367"/>
      <c r="T78" s="367"/>
      <c r="U78" s="367"/>
      <c r="V78" s="367"/>
      <c r="W78" s="367"/>
      <c r="X78" s="367"/>
      <c r="Y78" s="367"/>
      <c r="Z78" s="367"/>
      <c r="AA78" s="367"/>
      <c r="AB78" s="3315"/>
      <c r="AC78" s="3315"/>
      <c r="AD78" s="3315"/>
      <c r="AE78" s="3315"/>
      <c r="AF78" s="3315"/>
      <c r="AG78" s="3315"/>
      <c r="AH78" s="3315"/>
      <c r="AI78" s="3315"/>
      <c r="AJ78" s="3315"/>
    </row>
    <row r="79" s="3002" customFormat="1" ht="14.25" spans="1:36">
      <c r="A79" s="3199" t="s">
        <v>740</v>
      </c>
      <c r="B79" s="516" t="s">
        <v>767</v>
      </c>
      <c r="C79" s="3202">
        <f ca="1">C72-C73</f>
        <v>653605</v>
      </c>
      <c r="D79" s="410" t="s">
        <v>121</v>
      </c>
      <c r="E79" s="2111"/>
      <c r="F79" s="2112"/>
      <c r="G79" s="2112"/>
      <c r="H79" s="3213"/>
      <c r="I79" s="3453"/>
      <c r="J79" s="3454"/>
      <c r="K79" s="367"/>
      <c r="L79" s="367"/>
      <c r="M79" s="367"/>
      <c r="N79" s="367"/>
      <c r="O79" s="367"/>
      <c r="P79" s="367"/>
      <c r="Q79" s="367"/>
      <c r="R79" s="367"/>
      <c r="S79" s="367"/>
      <c r="T79" s="367"/>
      <c r="U79" s="367"/>
      <c r="V79" s="367"/>
      <c r="W79" s="367"/>
      <c r="X79" s="367"/>
      <c r="Y79" s="367"/>
      <c r="Z79" s="367"/>
      <c r="AA79" s="367"/>
      <c r="AB79" s="3315"/>
      <c r="AC79" s="3315"/>
      <c r="AD79" s="3315"/>
      <c r="AE79" s="3315"/>
      <c r="AF79" s="3315"/>
      <c r="AG79" s="3315"/>
      <c r="AH79" s="3315"/>
      <c r="AI79" s="3315"/>
      <c r="AJ79" s="3315"/>
    </row>
    <row r="80" s="3002" customFormat="1" ht="24" spans="1:36">
      <c r="A80" s="3199" t="s">
        <v>743</v>
      </c>
      <c r="B80" s="516" t="s">
        <v>768</v>
      </c>
      <c r="C80" s="3227">
        <f ca="1">IF(C79&lt;=0,0,C79/C73)</f>
        <v>165.679340937896</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3213"/>
      <c r="I80" s="3453"/>
      <c r="J80" s="3454"/>
      <c r="K80" s="367"/>
      <c r="L80" s="367"/>
      <c r="M80" s="367"/>
      <c r="N80" s="367"/>
      <c r="O80" s="367"/>
      <c r="P80" s="367"/>
      <c r="Q80" s="367"/>
      <c r="R80" s="367"/>
      <c r="S80" s="367"/>
      <c r="T80" s="367"/>
      <c r="U80" s="367"/>
      <c r="V80" s="367"/>
      <c r="W80" s="367"/>
      <c r="X80" s="367"/>
      <c r="Y80" s="367"/>
      <c r="Z80" s="367"/>
      <c r="AA80" s="367"/>
      <c r="AB80" s="3315"/>
      <c r="AC80" s="3315"/>
      <c r="AD80" s="3315"/>
      <c r="AE80" s="3315"/>
      <c r="AF80" s="3315"/>
      <c r="AG80" s="3315"/>
      <c r="AH80" s="3315"/>
      <c r="AI80" s="3315"/>
      <c r="AJ80" s="3315"/>
    </row>
    <row r="81" s="3002" customFormat="1" ht="24.75" spans="1:36">
      <c r="A81" s="3203" t="s">
        <v>769</v>
      </c>
      <c r="B81" s="537" t="s">
        <v>770</v>
      </c>
      <c r="C81" s="3228">
        <f ca="1">ROUND(IF(C79&lt;=0,0,IF(C80&gt;=200%,C79*60%-C73*35%,IF(C80&gt;=100%,C79*50%-C73*15%,IF(C80&gt;=50%,C79*40%-C73*5%,IF(C80&lt;50%,C79*30%,0))))),0)</f>
        <v>390782</v>
      </c>
      <c r="D81" s="456" t="s">
        <v>121</v>
      </c>
      <c r="E81" s="31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229"/>
      <c r="G81" s="3229"/>
      <c r="H81" s="3230"/>
      <c r="I81" s="3453"/>
      <c r="J81" s="3454"/>
      <c r="K81" s="367"/>
      <c r="L81" s="367"/>
      <c r="M81" s="367"/>
      <c r="N81" s="367"/>
      <c r="O81" s="367"/>
      <c r="P81" s="367"/>
      <c r="Q81" s="367"/>
      <c r="R81" s="367"/>
      <c r="S81" s="367"/>
      <c r="T81" s="367"/>
      <c r="U81" s="367"/>
      <c r="V81" s="367"/>
      <c r="W81" s="367"/>
      <c r="X81" s="367"/>
      <c r="Y81" s="367"/>
      <c r="Z81" s="367"/>
      <c r="AA81" s="367"/>
      <c r="AB81" s="3315"/>
      <c r="AC81" s="3315"/>
      <c r="AD81" s="3315"/>
      <c r="AE81" s="3315"/>
      <c r="AF81" s="3315"/>
      <c r="AG81" s="3315"/>
      <c r="AH81" s="3315"/>
      <c r="AI81" s="3315"/>
      <c r="AJ81" s="3315"/>
    </row>
    <row r="82" s="3002" customFormat="1" ht="7.5" customHeight="1" spans="1:36">
      <c r="A82" s="3446"/>
      <c r="B82" s="544"/>
      <c r="C82" s="3319"/>
      <c r="D82" s="3319"/>
      <c r="E82" s="544"/>
      <c r="F82" s="544"/>
      <c r="G82" s="544"/>
      <c r="H82" s="3231"/>
      <c r="I82" s="3455"/>
      <c r="J82" s="3456"/>
      <c r="K82" s="367"/>
      <c r="L82" s="367"/>
      <c r="M82" s="367"/>
      <c r="N82" s="367"/>
      <c r="O82" s="367"/>
      <c r="P82" s="367"/>
      <c r="Q82" s="367"/>
      <c r="R82" s="367"/>
      <c r="S82" s="367"/>
      <c r="T82" s="367"/>
      <c r="U82" s="367"/>
      <c r="V82" s="367"/>
      <c r="W82" s="367"/>
      <c r="X82" s="367"/>
      <c r="Y82" s="367"/>
      <c r="Z82" s="367"/>
      <c r="AA82" s="367"/>
      <c r="AB82" s="3315"/>
      <c r="AC82" s="3315"/>
      <c r="AD82" s="3315"/>
      <c r="AE82" s="3315"/>
      <c r="AF82" s="3315"/>
      <c r="AG82" s="3315"/>
      <c r="AH82" s="3315"/>
      <c r="AI82" s="3315"/>
      <c r="AJ82" s="3315"/>
    </row>
    <row r="83" s="3002" customFormat="1" ht="15" spans="1:36">
      <c r="A83" s="3444" t="s">
        <v>771</v>
      </c>
      <c r="B83" s="3445"/>
      <c r="C83" s="3445"/>
      <c r="D83" s="3445"/>
      <c r="E83" s="3445"/>
      <c r="F83" s="3445"/>
      <c r="G83" s="3445"/>
      <c r="H83" s="3445"/>
      <c r="I83" s="3319"/>
      <c r="J83" s="3320"/>
      <c r="K83" s="367"/>
      <c r="L83" s="367"/>
      <c r="M83" s="367"/>
      <c r="N83" s="367"/>
      <c r="O83" s="367"/>
      <c r="P83" s="367"/>
      <c r="Q83" s="367"/>
      <c r="R83" s="367"/>
      <c r="S83" s="367"/>
      <c r="T83" s="367"/>
      <c r="U83" s="367"/>
      <c r="V83" s="367"/>
      <c r="W83" s="367"/>
      <c r="X83" s="367"/>
      <c r="Y83" s="367"/>
      <c r="Z83" s="367"/>
      <c r="AA83" s="367"/>
      <c r="AB83" s="3315"/>
      <c r="AC83" s="3315"/>
      <c r="AD83" s="3315"/>
      <c r="AE83" s="3315"/>
      <c r="AF83" s="3315"/>
      <c r="AG83" s="3315"/>
      <c r="AH83" s="3315"/>
      <c r="AI83" s="3315"/>
      <c r="AJ83" s="3315"/>
    </row>
    <row r="84" s="3002" customFormat="1" ht="14.25" spans="1:36">
      <c r="A84" s="459" t="s">
        <v>723</v>
      </c>
      <c r="B84" s="425"/>
      <c r="C84" s="425"/>
      <c r="D84" s="425" t="s">
        <v>724</v>
      </c>
      <c r="E84" s="3209" t="s">
        <v>675</v>
      </c>
      <c r="F84" s="3210"/>
      <c r="G84" s="3210"/>
      <c r="H84" s="3232"/>
      <c r="I84" s="3319"/>
      <c r="J84" s="3320"/>
      <c r="K84" s="367"/>
      <c r="L84" s="367"/>
      <c r="M84" s="367"/>
      <c r="N84" s="367"/>
      <c r="O84" s="367"/>
      <c r="P84" s="367"/>
      <c r="Q84" s="367"/>
      <c r="R84" s="367"/>
      <c r="S84" s="367"/>
      <c r="T84" s="367"/>
      <c r="U84" s="367"/>
      <c r="V84" s="367"/>
      <c r="W84" s="367"/>
      <c r="X84" s="367"/>
      <c r="Y84" s="367"/>
      <c r="Z84" s="367"/>
      <c r="AA84" s="367"/>
      <c r="AB84" s="3315"/>
      <c r="AC84" s="3315"/>
      <c r="AD84" s="3315"/>
      <c r="AE84" s="3315"/>
      <c r="AF84" s="3315"/>
      <c r="AG84" s="3315"/>
      <c r="AH84" s="3315"/>
      <c r="AI84" s="3315"/>
      <c r="AJ84" s="3315"/>
    </row>
    <row r="85" s="3002" customFormat="1" ht="24" spans="1:36">
      <c r="A85" s="3212">
        <v>1</v>
      </c>
      <c r="B85" s="516" t="s">
        <v>747</v>
      </c>
      <c r="C85" s="3202">
        <f ca="1">ROUND(D45/(1+'数据-取费表'!F30),0)</f>
        <v>657550</v>
      </c>
      <c r="D85" s="410" t="s">
        <v>121</v>
      </c>
      <c r="E85" s="2111" t="s">
        <v>748</v>
      </c>
      <c r="F85" s="2112"/>
      <c r="G85" s="2112"/>
      <c r="H85" s="3233"/>
      <c r="I85" s="3319"/>
      <c r="J85" s="3320"/>
      <c r="K85" s="367"/>
      <c r="L85" s="367"/>
      <c r="M85" s="367"/>
      <c r="N85" s="367"/>
      <c r="O85" s="367"/>
      <c r="P85" s="367"/>
      <c r="Q85" s="367"/>
      <c r="R85" s="367"/>
      <c r="S85" s="367"/>
      <c r="T85" s="367"/>
      <c r="U85" s="367"/>
      <c r="V85" s="367"/>
      <c r="W85" s="367"/>
      <c r="X85" s="367"/>
      <c r="Y85" s="367"/>
      <c r="Z85" s="367"/>
      <c r="AA85" s="367"/>
      <c r="AB85" s="3315"/>
      <c r="AC85" s="3315"/>
      <c r="AD85" s="3315"/>
      <c r="AE85" s="3315"/>
      <c r="AF85" s="3315"/>
      <c r="AG85" s="3315"/>
      <c r="AH85" s="3315"/>
      <c r="AI85" s="3315"/>
      <c r="AJ85" s="3315"/>
    </row>
    <row r="86" s="3002" customFormat="1" ht="14.25" spans="1:36">
      <c r="A86" s="3214">
        <v>2</v>
      </c>
      <c r="B86" s="2296" t="s">
        <v>749</v>
      </c>
      <c r="C86" s="3202">
        <f ca="1">IF(H88="仅含出让金",C87+C90+C91+C92+C93+C94,C87+C91+C92+C93+C94)</f>
        <v>3945</v>
      </c>
      <c r="D86" s="3234"/>
      <c r="E86" s="2111"/>
      <c r="F86" s="2112"/>
      <c r="G86" s="2112"/>
      <c r="H86" s="3233"/>
      <c r="I86" s="3319"/>
      <c r="J86" s="3320"/>
      <c r="K86" s="367"/>
      <c r="L86" s="367"/>
      <c r="M86" s="367"/>
      <c r="N86" s="367"/>
      <c r="O86" s="367"/>
      <c r="P86" s="367"/>
      <c r="Q86" s="367"/>
      <c r="R86" s="367"/>
      <c r="S86" s="367"/>
      <c r="T86" s="367"/>
      <c r="U86" s="367"/>
      <c r="V86" s="367"/>
      <c r="W86" s="367"/>
      <c r="X86" s="367"/>
      <c r="Y86" s="367"/>
      <c r="Z86" s="367"/>
      <c r="AA86" s="367"/>
      <c r="AB86" s="3315"/>
      <c r="AC86" s="3315"/>
      <c r="AD86" s="3315"/>
      <c r="AE86" s="3315"/>
      <c r="AF86" s="3315"/>
      <c r="AG86" s="3315"/>
      <c r="AH86" s="3315"/>
      <c r="AI86" s="3315"/>
      <c r="AJ86" s="3315"/>
    </row>
    <row r="87" s="3002" customFormat="1" ht="14.25" spans="1:36">
      <c r="A87" s="3195" t="s">
        <v>750</v>
      </c>
      <c r="B87" s="410" t="s">
        <v>772</v>
      </c>
      <c r="C87" s="3222">
        <f>C88+C89</f>
        <v>0</v>
      </c>
      <c r="D87" s="3223"/>
      <c r="E87" s="3224"/>
      <c r="F87" s="3225"/>
      <c r="G87" s="3225"/>
      <c r="H87" s="3226"/>
      <c r="I87" s="3319"/>
      <c r="J87" s="3320"/>
      <c r="K87" s="367"/>
      <c r="L87" s="367"/>
      <c r="M87" s="367"/>
      <c r="N87" s="367"/>
      <c r="O87" s="367"/>
      <c r="P87" s="367"/>
      <c r="Q87" s="367"/>
      <c r="R87" s="367"/>
      <c r="S87" s="367"/>
      <c r="T87" s="367"/>
      <c r="U87" s="367"/>
      <c r="V87" s="367"/>
      <c r="W87" s="367"/>
      <c r="X87" s="367"/>
      <c r="Y87" s="367"/>
      <c r="Z87" s="367"/>
      <c r="AA87" s="367"/>
      <c r="AB87" s="3315"/>
      <c r="AC87" s="3315"/>
      <c r="AD87" s="3315"/>
      <c r="AE87" s="3315"/>
      <c r="AF87" s="3315"/>
      <c r="AG87" s="3315"/>
      <c r="AH87" s="3315"/>
      <c r="AI87" s="3315"/>
      <c r="AJ87" s="3315"/>
    </row>
    <row r="88" s="3002" customFormat="1" ht="14.25" spans="1:36">
      <c r="A88" s="3195" t="s">
        <v>752</v>
      </c>
      <c r="B88" s="410" t="s">
        <v>773</v>
      </c>
      <c r="C88" s="3235"/>
      <c r="D88" s="3223"/>
      <c r="E88" s="3167" t="s">
        <v>774</v>
      </c>
      <c r="F88" s="3225"/>
      <c r="G88" s="3236" t="s">
        <v>775</v>
      </c>
      <c r="H88" s="3237"/>
      <c r="I88" s="3319"/>
      <c r="J88" s="3320"/>
      <c r="K88" s="3314" t="s">
        <v>776</v>
      </c>
      <c r="L88" s="3315"/>
      <c r="M88" s="3315"/>
      <c r="N88" s="3315"/>
      <c r="O88" s="3315"/>
      <c r="P88" s="3315"/>
      <c r="Q88" s="3315"/>
      <c r="R88" s="3315"/>
      <c r="S88" s="3315"/>
      <c r="T88" s="367"/>
      <c r="U88" s="367"/>
      <c r="V88" s="367"/>
      <c r="W88" s="367"/>
      <c r="X88" s="367"/>
      <c r="Y88" s="367"/>
      <c r="Z88" s="367"/>
      <c r="AA88" s="367"/>
      <c r="AB88" s="3315"/>
      <c r="AC88" s="3315"/>
      <c r="AD88" s="3315"/>
      <c r="AE88" s="3315"/>
      <c r="AF88" s="3315"/>
      <c r="AG88" s="3315"/>
      <c r="AH88" s="3315"/>
      <c r="AI88" s="3315"/>
      <c r="AJ88" s="3315"/>
    </row>
    <row r="89" s="3002" customFormat="1" ht="14.25" spans="1:36">
      <c r="A89" s="3195" t="s">
        <v>757</v>
      </c>
      <c r="B89" s="410" t="s">
        <v>761</v>
      </c>
      <c r="C89" s="3222">
        <f>ROUND(C88*D89,0)</f>
        <v>0</v>
      </c>
      <c r="D89" s="3223">
        <f>'数据-取费表'!E36+'数据-取费表'!E37</f>
        <v>0.0305</v>
      </c>
      <c r="E89" s="3167" t="s">
        <v>777</v>
      </c>
      <c r="F89" s="3225"/>
      <c r="G89" s="3225"/>
      <c r="H89" s="3226"/>
      <c r="I89" s="3319"/>
      <c r="J89" s="3320"/>
      <c r="K89" s="367"/>
      <c r="L89" s="367"/>
      <c r="M89" s="367"/>
      <c r="N89" s="367"/>
      <c r="O89" s="367"/>
      <c r="P89" s="367"/>
      <c r="Q89" s="367"/>
      <c r="R89" s="367"/>
      <c r="S89" s="367"/>
      <c r="T89" s="367"/>
      <c r="U89" s="367"/>
      <c r="V89" s="367"/>
      <c r="W89" s="367"/>
      <c r="X89" s="367"/>
      <c r="Y89" s="367"/>
      <c r="Z89" s="367"/>
      <c r="AA89" s="367"/>
      <c r="AB89" s="3315"/>
      <c r="AC89" s="3315"/>
      <c r="AD89" s="3315"/>
      <c r="AE89" s="3315"/>
      <c r="AF89" s="3315"/>
      <c r="AG89" s="3315"/>
      <c r="AH89" s="3315"/>
      <c r="AI89" s="3315"/>
      <c r="AJ89" s="3315"/>
    </row>
    <row r="90" s="3002" customFormat="1" ht="24" customHeight="1" spans="1:36">
      <c r="A90" s="3195" t="s">
        <v>764</v>
      </c>
      <c r="B90" s="410" t="s">
        <v>778</v>
      </c>
      <c r="C90" s="3235"/>
      <c r="D90" s="3223"/>
      <c r="E90" s="3167" t="str">
        <f>IF(H88="-","土地取得成本中已包含该笔费用"," ")</f>
        <v> </v>
      </c>
      <c r="F90" s="3225"/>
      <c r="G90" s="3238" t="s">
        <v>779</v>
      </c>
      <c r="H90" s="3238"/>
      <c r="I90" s="3319"/>
      <c r="J90" s="3320"/>
      <c r="K90" s="3314" t="s">
        <v>780</v>
      </c>
      <c r="L90" s="3315"/>
      <c r="M90" s="3315"/>
      <c r="N90" s="3315"/>
      <c r="O90" s="3315"/>
      <c r="P90" s="3315"/>
      <c r="Q90" s="3315"/>
      <c r="R90" s="3315"/>
      <c r="S90" s="3315"/>
      <c r="T90" s="3315"/>
      <c r="U90" s="367"/>
      <c r="V90" s="367"/>
      <c r="W90" s="367"/>
      <c r="X90" s="367"/>
      <c r="Y90" s="367"/>
      <c r="Z90" s="367"/>
      <c r="AA90" s="367"/>
      <c r="AB90" s="3315"/>
      <c r="AC90" s="3315"/>
      <c r="AD90" s="3315"/>
      <c r="AE90" s="3315"/>
      <c r="AF90" s="3315"/>
      <c r="AG90" s="3315"/>
      <c r="AH90" s="3315"/>
      <c r="AI90" s="3315"/>
      <c r="AJ90" s="3315"/>
    </row>
    <row r="91" s="3002" customFormat="1" ht="30.75" customHeight="1" spans="1:36">
      <c r="A91" s="3195" t="s">
        <v>781</v>
      </c>
      <c r="B91" s="410" t="s">
        <v>782</v>
      </c>
      <c r="C91" s="3222">
        <f>IF(H91="——",成本法!C33,I91)</f>
        <v>0</v>
      </c>
      <c r="D91" s="3223"/>
      <c r="E91" s="3224" t="s">
        <v>783</v>
      </c>
      <c r="F91" s="3225"/>
      <c r="G91" s="3225"/>
      <c r="H91" s="3240" t="s">
        <v>784</v>
      </c>
      <c r="I91" s="3457"/>
      <c r="J91" s="3458"/>
      <c r="K91" s="367"/>
      <c r="L91" s="367"/>
      <c r="M91" s="367"/>
      <c r="N91" s="367"/>
      <c r="O91" s="367"/>
      <c r="P91" s="367"/>
      <c r="Q91" s="367"/>
      <c r="R91" s="367"/>
      <c r="S91" s="367"/>
      <c r="T91" s="367"/>
      <c r="U91" s="367"/>
      <c r="V91" s="367"/>
      <c r="W91" s="367"/>
      <c r="X91" s="367"/>
      <c r="Y91" s="367"/>
      <c r="Z91" s="367"/>
      <c r="AA91" s="367"/>
      <c r="AB91" s="3315"/>
      <c r="AC91" s="3315"/>
      <c r="AD91" s="3315"/>
      <c r="AE91" s="3315"/>
      <c r="AF91" s="3315"/>
      <c r="AG91" s="3315"/>
      <c r="AH91" s="3315"/>
      <c r="AI91" s="3315"/>
      <c r="AJ91" s="3315"/>
    </row>
    <row r="92" s="3002" customFormat="1" ht="25.5" customHeight="1" spans="1:36">
      <c r="A92" s="3195" t="s">
        <v>785</v>
      </c>
      <c r="B92" s="410" t="s">
        <v>786</v>
      </c>
      <c r="C92" s="3222">
        <f>ROUND((C87+C90+C91)*D92,0)</f>
        <v>0</v>
      </c>
      <c r="D92" s="3447">
        <v>0.1</v>
      </c>
      <c r="E92" s="3224" t="s">
        <v>787</v>
      </c>
      <c r="F92" s="3225"/>
      <c r="G92" s="3225"/>
      <c r="H92" s="3226"/>
      <c r="I92" s="3319"/>
      <c r="J92" s="3320"/>
      <c r="K92" s="3318" t="s">
        <v>788</v>
      </c>
      <c r="L92" s="3315"/>
      <c r="M92" s="3315"/>
      <c r="N92" s="3315"/>
      <c r="O92" s="3315"/>
      <c r="P92" s="3315"/>
      <c r="Q92" s="367"/>
      <c r="R92" s="367"/>
      <c r="S92" s="367"/>
      <c r="T92" s="367"/>
      <c r="U92" s="367"/>
      <c r="V92" s="367"/>
      <c r="W92" s="367"/>
      <c r="X92" s="367"/>
      <c r="Y92" s="367"/>
      <c r="Z92" s="367"/>
      <c r="AA92" s="367"/>
      <c r="AB92" s="3315"/>
      <c r="AC92" s="3315"/>
      <c r="AD92" s="3315"/>
      <c r="AE92" s="3315"/>
      <c r="AF92" s="3315"/>
      <c r="AG92" s="3315"/>
      <c r="AH92" s="3315"/>
      <c r="AI92" s="3315"/>
      <c r="AJ92" s="3315"/>
    </row>
    <row r="93" s="3002" customFormat="1" ht="25.5" customHeight="1" spans="1:36">
      <c r="A93" s="3195" t="s">
        <v>789</v>
      </c>
      <c r="B93" s="410" t="s">
        <v>765</v>
      </c>
      <c r="C93" s="3222">
        <f ca="1">ROUND(D45*D93/(1+'数据-取费表'!F30),0)</f>
        <v>3945</v>
      </c>
      <c r="D93" s="3223">
        <f>'数据-取费表'!E31</f>
        <v>0.006</v>
      </c>
      <c r="E93" s="3224" t="s">
        <v>766</v>
      </c>
      <c r="F93" s="3225"/>
      <c r="G93" s="3225"/>
      <c r="H93" s="3226"/>
      <c r="I93" s="3319"/>
      <c r="J93" s="3320"/>
      <c r="K93" s="367"/>
      <c r="L93" s="367"/>
      <c r="M93" s="367"/>
      <c r="N93" s="367"/>
      <c r="O93" s="367"/>
      <c r="P93" s="367"/>
      <c r="Q93" s="367"/>
      <c r="R93" s="367"/>
      <c r="S93" s="367"/>
      <c r="T93" s="367"/>
      <c r="U93" s="367"/>
      <c r="V93" s="367"/>
      <c r="W93" s="367"/>
      <c r="X93" s="367"/>
      <c r="Y93" s="367"/>
      <c r="Z93" s="367"/>
      <c r="AA93" s="367"/>
      <c r="AB93" s="3315"/>
      <c r="AC93" s="3315"/>
      <c r="AD93" s="3315"/>
      <c r="AE93" s="3315"/>
      <c r="AF93" s="3315"/>
      <c r="AG93" s="3315"/>
      <c r="AH93" s="3315"/>
      <c r="AI93" s="3315"/>
      <c r="AJ93" s="3315"/>
    </row>
    <row r="94" s="3002" customFormat="1" ht="25.5" customHeight="1" spans="1:36">
      <c r="A94" s="3195" t="s">
        <v>790</v>
      </c>
      <c r="B94" s="410" t="s">
        <v>791</v>
      </c>
      <c r="C94" s="3222">
        <f>ROUND((C87+C90+C91)*D94,0)</f>
        <v>0</v>
      </c>
      <c r="D94" s="3223">
        <v>0.2</v>
      </c>
      <c r="E94" s="3224" t="s">
        <v>792</v>
      </c>
      <c r="F94" s="3225"/>
      <c r="G94" s="3225"/>
      <c r="H94" s="3226"/>
      <c r="I94" s="3319"/>
      <c r="J94" s="3320"/>
      <c r="K94" s="367"/>
      <c r="L94" s="367"/>
      <c r="M94" s="367"/>
      <c r="N94" s="367"/>
      <c r="O94" s="367"/>
      <c r="P94" s="367"/>
      <c r="Q94" s="367"/>
      <c r="R94" s="367"/>
      <c r="S94" s="367"/>
      <c r="T94" s="367"/>
      <c r="U94" s="367"/>
      <c r="V94" s="367"/>
      <c r="W94" s="367"/>
      <c r="X94" s="367"/>
      <c r="Y94" s="367"/>
      <c r="Z94" s="367"/>
      <c r="AA94" s="367"/>
      <c r="AB94" s="3315"/>
      <c r="AC94" s="3315"/>
      <c r="AD94" s="3315"/>
      <c r="AE94" s="3315"/>
      <c r="AF94" s="3315"/>
      <c r="AG94" s="3315"/>
      <c r="AH94" s="3315"/>
      <c r="AI94" s="3315"/>
      <c r="AJ94" s="3315"/>
    </row>
    <row r="95" s="3002" customFormat="1" ht="14.25" spans="1:36">
      <c r="A95" s="3199" t="s">
        <v>740</v>
      </c>
      <c r="B95" s="516" t="s">
        <v>767</v>
      </c>
      <c r="C95" s="3202">
        <f ca="1">ROUND(C85-C86,0)</f>
        <v>653605</v>
      </c>
      <c r="D95" s="410" t="s">
        <v>121</v>
      </c>
      <c r="E95" s="2111"/>
      <c r="F95" s="2112"/>
      <c r="G95" s="2112"/>
      <c r="H95" s="3233"/>
      <c r="I95" s="3319"/>
      <c r="J95" s="3320"/>
      <c r="K95" s="367"/>
      <c r="L95" s="367"/>
      <c r="M95" s="367"/>
      <c r="N95" s="367"/>
      <c r="O95" s="367"/>
      <c r="P95" s="367"/>
      <c r="Q95" s="367"/>
      <c r="R95" s="367"/>
      <c r="S95" s="367"/>
      <c r="T95" s="367"/>
      <c r="U95" s="367"/>
      <c r="V95" s="367"/>
      <c r="W95" s="367"/>
      <c r="X95" s="367"/>
      <c r="Y95" s="367"/>
      <c r="Z95" s="367"/>
      <c r="AA95" s="367"/>
      <c r="AB95" s="3315"/>
      <c r="AC95" s="3315"/>
      <c r="AD95" s="3315"/>
      <c r="AE95" s="3315"/>
      <c r="AF95" s="3315"/>
      <c r="AG95" s="3315"/>
      <c r="AH95" s="3315"/>
      <c r="AI95" s="3315"/>
      <c r="AJ95" s="3315"/>
    </row>
    <row r="96" s="3002" customFormat="1" ht="24" spans="1:36">
      <c r="A96" s="3199" t="s">
        <v>743</v>
      </c>
      <c r="B96" s="516" t="s">
        <v>768</v>
      </c>
      <c r="C96" s="3227">
        <f ca="1">IF(C95&lt;=0,0,C95/C86)</f>
        <v>165.679340937896</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3233"/>
      <c r="I96" s="3319"/>
      <c r="J96" s="3320"/>
      <c r="K96" s="367"/>
      <c r="L96" s="367"/>
      <c r="M96" s="367"/>
      <c r="N96" s="367"/>
      <c r="O96" s="367"/>
      <c r="P96" s="367"/>
      <c r="Q96" s="367"/>
      <c r="R96" s="367"/>
      <c r="S96" s="367"/>
      <c r="T96" s="367"/>
      <c r="U96" s="367"/>
      <c r="V96" s="367"/>
      <c r="W96" s="367"/>
      <c r="X96" s="367"/>
      <c r="Y96" s="367"/>
      <c r="Z96" s="367"/>
      <c r="AA96" s="367"/>
      <c r="AB96" s="3315"/>
      <c r="AC96" s="3315"/>
      <c r="AD96" s="3315"/>
      <c r="AE96" s="3315"/>
      <c r="AF96" s="3315"/>
      <c r="AG96" s="3315"/>
      <c r="AH96" s="3315"/>
      <c r="AI96" s="3315"/>
      <c r="AJ96" s="3315"/>
    </row>
    <row r="97" s="3002" customFormat="1" ht="24.75" spans="1:36">
      <c r="A97" s="3203" t="s">
        <v>769</v>
      </c>
      <c r="B97" s="537" t="s">
        <v>770</v>
      </c>
      <c r="C97" s="3228">
        <f ca="1">ROUND(IF(C95&lt;=0,0,IF(C96&gt;=200%,C95*60%-C86*35%,IF(C96&gt;=100%,C95*50%-C86*15%,IF(C96&gt;=50%,C95*40%-C86*5%,IF(C96&lt;50%,C95*30%,0))))),0)</f>
        <v>390782</v>
      </c>
      <c r="D97" s="456" t="s">
        <v>121</v>
      </c>
      <c r="E97" s="31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229"/>
      <c r="G97" s="3229"/>
      <c r="H97" s="3244"/>
      <c r="I97" s="3319"/>
      <c r="J97" s="3320"/>
      <c r="K97" s="367"/>
      <c r="L97" s="367"/>
      <c r="M97" s="367"/>
      <c r="N97" s="367"/>
      <c r="O97" s="367"/>
      <c r="P97" s="367"/>
      <c r="Q97" s="367"/>
      <c r="R97" s="367"/>
      <c r="S97" s="367"/>
      <c r="T97" s="367"/>
      <c r="U97" s="367"/>
      <c r="V97" s="367"/>
      <c r="W97" s="367"/>
      <c r="X97" s="367"/>
      <c r="Y97" s="367"/>
      <c r="Z97" s="367"/>
      <c r="AA97" s="367"/>
      <c r="AB97" s="3315"/>
      <c r="AC97" s="3315"/>
      <c r="AD97" s="3315"/>
      <c r="AE97" s="3315"/>
      <c r="AF97" s="3315"/>
      <c r="AG97" s="3315"/>
      <c r="AH97" s="3315"/>
      <c r="AI97" s="3315"/>
      <c r="AJ97" s="3315"/>
    </row>
    <row r="98" customHeight="1" spans="1:9">
      <c r="A98" s="3091" t="s">
        <v>793</v>
      </c>
      <c r="B98" s="3007"/>
      <c r="C98" s="3007"/>
      <c r="D98" s="3007"/>
      <c r="E98" s="3245"/>
      <c r="F98" s="3245"/>
      <c r="G98" s="3245"/>
      <c r="H98" s="3246"/>
      <c r="I98" s="3007"/>
    </row>
    <row r="99" ht="15.75" spans="1:10">
      <c r="A99" s="3247" t="s">
        <v>794</v>
      </c>
      <c r="B99" s="3248"/>
      <c r="C99" s="3248"/>
      <c r="D99" s="3249"/>
      <c r="E99" s="3007"/>
      <c r="F99" s="3448" t="s">
        <v>795</v>
      </c>
      <c r="G99" s="3449"/>
      <c r="H99" s="3449"/>
      <c r="I99" s="3459"/>
      <c r="J99" s="3460"/>
    </row>
    <row r="100" ht="15" spans="1:10">
      <c r="A100" s="3252" t="s">
        <v>796</v>
      </c>
      <c r="B100" s="3253"/>
      <c r="C100" s="3260" t="str">
        <f>C4</f>
        <v>比较法-住宅</v>
      </c>
      <c r="D100" s="3261" t="str">
        <f>D4</f>
        <v>成本法</v>
      </c>
      <c r="E100" s="3007"/>
      <c r="F100" s="3256" t="s">
        <v>797</v>
      </c>
      <c r="G100" s="3257"/>
      <c r="H100" s="3256" t="s">
        <v>798</v>
      </c>
      <c r="I100" s="3323"/>
      <c r="J100" s="3324"/>
    </row>
    <row r="101" ht="13.5" spans="1:10">
      <c r="A101" s="551" t="s">
        <v>799</v>
      </c>
      <c r="B101" s="518" t="str">
        <f>IF(H19="元","总价（元）","总价（万元）")</f>
        <v>总价（元）</v>
      </c>
      <c r="C101" s="3260">
        <f ca="1">C19</f>
        <v>628120</v>
      </c>
      <c r="D101" s="3261">
        <f ca="1">D19</f>
        <v>775139</v>
      </c>
      <c r="E101" s="3007"/>
      <c r="F101" s="3256" t="str">
        <f>项目基本情况!I1</f>
        <v>北京市房地产</v>
      </c>
      <c r="G101" s="3257"/>
      <c r="H101" s="3264">
        <f>项目基本情况!C12</f>
        <v>118.67</v>
      </c>
      <c r="I101" s="3323"/>
      <c r="J101" s="3324"/>
    </row>
    <row r="102" ht="13.5" spans="1:10">
      <c r="A102" s="551"/>
      <c r="B102" s="518" t="s">
        <v>800</v>
      </c>
      <c r="C102" s="3265">
        <f ca="1">C20</f>
        <v>5293</v>
      </c>
      <c r="D102" s="3266">
        <f ca="1">D20</f>
        <v>6532</v>
      </c>
      <c r="E102" s="3007"/>
      <c r="F102" s="3214" t="s">
        <v>801</v>
      </c>
      <c r="G102" s="2296"/>
      <c r="H102" s="3267" t="str">
        <f>C106</f>
        <v>总价（元）</v>
      </c>
      <c r="I102" s="3284">
        <f ca="1">H121</f>
        <v>657550</v>
      </c>
      <c r="J102" s="3324"/>
    </row>
    <row r="103" ht="13.5" spans="1:10">
      <c r="A103" s="551" t="s">
        <v>802</v>
      </c>
      <c r="B103" s="519" t="str">
        <f>B101</f>
        <v>总价（元）</v>
      </c>
      <c r="C103" s="3271">
        <f ca="1">H121</f>
        <v>657550</v>
      </c>
      <c r="D103" s="3268"/>
      <c r="E103" s="3007"/>
      <c r="F103" s="3214"/>
      <c r="G103" s="2296"/>
      <c r="H103" s="3267" t="s">
        <v>800</v>
      </c>
      <c r="I103" s="3197">
        <f ca="1">I121</f>
        <v>5541</v>
      </c>
      <c r="J103" s="3141"/>
    </row>
    <row r="104" ht="14.25" spans="1:10">
      <c r="A104" s="567"/>
      <c r="B104" s="3276" t="s">
        <v>800</v>
      </c>
      <c r="C104" s="3277">
        <f ca="1">I121</f>
        <v>5541</v>
      </c>
      <c r="D104" s="3278"/>
      <c r="E104" s="3007"/>
      <c r="F104" s="3214"/>
      <c r="G104" s="2296"/>
      <c r="H104" s="3267"/>
      <c r="I104" s="3325"/>
      <c r="J104" s="3326"/>
    </row>
    <row r="105" ht="15" spans="1:10">
      <c r="A105" s="3247" t="s">
        <v>803</v>
      </c>
      <c r="B105" s="3248"/>
      <c r="C105" s="3248"/>
      <c r="D105" s="3249"/>
      <c r="E105" s="3007"/>
      <c r="F105" s="3273" t="s">
        <v>804</v>
      </c>
      <c r="G105" s="3274"/>
      <c r="H105" s="3275" t="str">
        <f>C108</f>
        <v>总额（元）</v>
      </c>
      <c r="I105" s="3284">
        <f>SUMIF(I106:I108,"&lt;9E307")</f>
        <v>0</v>
      </c>
      <c r="J105" s="3324"/>
    </row>
    <row r="106" ht="14.25" spans="1:17">
      <c r="A106" s="3214" t="s">
        <v>801</v>
      </c>
      <c r="B106" s="2296"/>
      <c r="C106" s="3267" t="str">
        <f>B101</f>
        <v>总价（元）</v>
      </c>
      <c r="D106" s="3284">
        <f ca="1">H121</f>
        <v>657550</v>
      </c>
      <c r="E106" s="3007"/>
      <c r="F106" s="3279" t="s">
        <v>805</v>
      </c>
      <c r="G106" s="3280"/>
      <c r="H106" s="3275" t="str">
        <f>C109</f>
        <v>总额（元）</v>
      </c>
      <c r="I106" s="3327">
        <f>IF(D36="同一抵押权人同一抵押物续贷",C36&amp;"（续贷，未扣减，详见特别提示）",C36)</f>
        <v>0</v>
      </c>
      <c r="J106" s="3141"/>
      <c r="L106" s="3328" t="str">
        <f>IF(D123=0,"本次评估不存在"&amp;A123&amp;"。","本次评估"&amp;A123&amp;"为"&amp;D123&amp;"元人民币。")</f>
        <v>本次评估不存在估价师所知悉的法定优先受偿款。</v>
      </c>
      <c r="M106" s="3007"/>
      <c r="N106" s="3007"/>
      <c r="O106" s="3007"/>
      <c r="P106" s="3007"/>
      <c r="Q106" s="3007"/>
    </row>
    <row r="107" ht="13.5" spans="1:10">
      <c r="A107" s="3214"/>
      <c r="B107" s="2296"/>
      <c r="C107" s="3267" t="s">
        <v>800</v>
      </c>
      <c r="D107" s="3197">
        <f ca="1">I121</f>
        <v>5541</v>
      </c>
      <c r="E107" s="3007"/>
      <c r="F107" s="3279" t="s">
        <v>806</v>
      </c>
      <c r="G107" s="3280"/>
      <c r="H107" s="3275" t="str">
        <f>C110</f>
        <v>总额（元）</v>
      </c>
      <c r="I107" s="3197">
        <f>C37</f>
        <v>0</v>
      </c>
      <c r="J107" s="3141"/>
    </row>
    <row r="108" ht="13.5" spans="1:10">
      <c r="A108" s="3285" t="s">
        <v>804</v>
      </c>
      <c r="B108" s="3286"/>
      <c r="C108" s="3275" t="str">
        <f>IF(H19="元","总额（元）","总额（万元）")</f>
        <v>总额（元）</v>
      </c>
      <c r="D108" s="3284">
        <f>IF(D36="正常操作",I106+I107+I108,I107+I108)</f>
        <v>0</v>
      </c>
      <c r="E108" s="3007"/>
      <c r="F108" s="3279" t="s">
        <v>807</v>
      </c>
      <c r="G108" s="3280"/>
      <c r="H108" s="3275" t="str">
        <f>C111</f>
        <v>总额（元）</v>
      </c>
      <c r="I108" s="3197">
        <f>C38</f>
        <v>0</v>
      </c>
      <c r="J108" s="3141"/>
    </row>
    <row r="109" ht="13.5" spans="1:10">
      <c r="A109" s="3279" t="s">
        <v>805</v>
      </c>
      <c r="B109" s="3280"/>
      <c r="C109" s="3275" t="str">
        <f>C108</f>
        <v>总额（元）</v>
      </c>
      <c r="D109" s="3197">
        <f>IF(D36="同一抵押权人同一抵押物续贷",C36&amp;"（未扣减，详见特别提示）",C36)</f>
        <v>0</v>
      </c>
      <c r="E109" s="3007"/>
      <c r="F109" s="3214"/>
      <c r="G109" s="2296"/>
      <c r="H109" s="552"/>
      <c r="I109" s="3329"/>
      <c r="J109" s="3330"/>
    </row>
    <row r="110" ht="28.5" customHeight="1" spans="1:10">
      <c r="A110" s="3279" t="s">
        <v>806</v>
      </c>
      <c r="B110" s="3280"/>
      <c r="C110" s="3275" t="str">
        <f>C108</f>
        <v>总额（元）</v>
      </c>
      <c r="D110" s="3197">
        <f>C37</f>
        <v>0</v>
      </c>
      <c r="E110" s="3007"/>
      <c r="F110" s="3287" t="str">
        <f>IF(项目基本情况!F5="已注销","——","3.房地产抵押价值")</f>
        <v>3.房地产抵押价值</v>
      </c>
      <c r="G110" s="3096"/>
      <c r="H110" s="3450" t="str">
        <f>C112</f>
        <v>总价（元）</v>
      </c>
      <c r="I110" s="3284">
        <f ca="1">IF(F110="——","——",I102-I105)</f>
        <v>657550</v>
      </c>
      <c r="J110" s="3324"/>
    </row>
    <row r="111" ht="13.5" spans="1:10">
      <c r="A111" s="3279" t="s">
        <v>807</v>
      </c>
      <c r="B111" s="3280"/>
      <c r="C111" s="3275" t="str">
        <f>C108</f>
        <v>总额（元）</v>
      </c>
      <c r="D111" s="3197">
        <f>C38</f>
        <v>0</v>
      </c>
      <c r="E111" s="3007"/>
      <c r="F111" s="3288"/>
      <c r="G111" s="3105"/>
      <c r="H111" s="3267" t="s">
        <v>800</v>
      </c>
      <c r="I111" s="3331">
        <f ca="1">D113</f>
        <v>5541</v>
      </c>
      <c r="J111" s="3332"/>
    </row>
    <row r="112" ht="26.25" customHeight="1" spans="1:10">
      <c r="A112" s="3214" t="str">
        <f>IF(项目基本情况!F5="已注销","——","3.房地产抵押价值")</f>
        <v>3.房地产抵押价值</v>
      </c>
      <c r="B112" s="2296"/>
      <c r="C112" s="3267" t="str">
        <f>B101</f>
        <v>总价（元）</v>
      </c>
      <c r="D112" s="3284">
        <f ca="1">IF(A112="——","——",D106-D108)</f>
        <v>657550</v>
      </c>
      <c r="E112" s="3007"/>
      <c r="F112" s="3287" t="str">
        <f>IF(项目基本情况!F5="已注销及未注销","4.抵押担保权已注销时的房地产抵押价值",IF(项目基本情况!F5="已注销","3.抵押担保权已注销时的房地产抵押价值","——"))</f>
        <v>——</v>
      </c>
      <c r="G112" s="3096"/>
      <c r="H112" s="3450" t="str">
        <f>C114</f>
        <v>总价（元）</v>
      </c>
      <c r="I112" s="3284" t="str">
        <f ca="1">IF(F112="——","——",I102-I107-I108)</f>
        <v>——</v>
      </c>
      <c r="J112" s="3324"/>
    </row>
    <row r="113" ht="13.5" spans="1:10">
      <c r="A113" s="3214"/>
      <c r="B113" s="2296"/>
      <c r="C113" s="3267" t="s">
        <v>800</v>
      </c>
      <c r="D113" s="3197">
        <f ca="1">ROUND(IF(D112=D106,D107,IF(H19="元",D112/项目基本情况!C12,D112*10000/项目基本情况!C12)),0)</f>
        <v>5541</v>
      </c>
      <c r="E113" s="3007"/>
      <c r="F113" s="3288"/>
      <c r="G113" s="3105"/>
      <c r="H113" s="3267" t="s">
        <v>800</v>
      </c>
      <c r="I113" s="3197" t="str">
        <f ca="1">D115</f>
        <v>——</v>
      </c>
      <c r="J113" s="3141"/>
    </row>
    <row r="114" ht="13.5" spans="1:10">
      <c r="A114" s="3214" t="str">
        <f>IF(项目基本情况!F5="已注销及未注销","4.抵押担保权已注销时的房地产抵押价值",IF(项目基本情况!F5="已注销","3.抵押担保权已注销时的房地产抵押价值","——"))</f>
        <v>——</v>
      </c>
      <c r="B114" s="2296"/>
      <c r="C114" s="3267" t="str">
        <f>B101</f>
        <v>总价（元）</v>
      </c>
      <c r="D114" s="3284" t="str">
        <f ca="1">IF(A114="——","——",D106-D110-D111)</f>
        <v>——</v>
      </c>
      <c r="E114" s="3007"/>
      <c r="F114" s="3287" t="str">
        <f>IF(项目基本情况!G5="抵押净值",IF(OR(项目基本情况!F5="已注销",项目基本情况!F5="房地产抵押价值"),"4.抵押净值","5.抵押净值"),"——")</f>
        <v>——</v>
      </c>
      <c r="G114" s="3096"/>
      <c r="H114" s="3267" t="str">
        <f>C116</f>
        <v>总价（元）</v>
      </c>
      <c r="I114" s="3284" t="str">
        <f ca="1">IF(F114="——","——",O59)</f>
        <v>——</v>
      </c>
      <c r="J114" s="3324"/>
    </row>
    <row r="115" ht="14.25" spans="1:10">
      <c r="A115" s="3214"/>
      <c r="B115" s="2296"/>
      <c r="C115" s="3267" t="s">
        <v>800</v>
      </c>
      <c r="D115" s="3197" t="str">
        <f ca="1">IF(A114="——","——",ROUND(IF(D114=D106,D107,IF(H19="元",D114/项目基本情况!C12,D114*10000/项目基本情况!C12)),0))</f>
        <v>——</v>
      </c>
      <c r="E115" s="3007"/>
      <c r="F115" s="3289"/>
      <c r="G115" s="3290"/>
      <c r="H115" s="3291" t="s">
        <v>800</v>
      </c>
      <c r="I115" s="3295" t="str">
        <f ca="1">D117</f>
        <v>——</v>
      </c>
      <c r="J115" s="3141"/>
    </row>
    <row r="116" ht="15.75" spans="1:16">
      <c r="A116" s="3214" t="str">
        <f>IF(项目基本情况!G5="抵押净值",IF(OR(项目基本情况!F5="已注销",项目基本情况!F5="房地产抵押价值"),"4.抵押净值","5.抵押净值"),"——")</f>
        <v>——</v>
      </c>
      <c r="B116" s="2296"/>
      <c r="C116" s="3267" t="str">
        <f>B101</f>
        <v>总价（元）</v>
      </c>
      <c r="D116" s="3284" t="str">
        <f ca="1">IF(A116="——","——",O59)</f>
        <v>——</v>
      </c>
      <c r="E116" s="3007"/>
      <c r="F116" s="3292"/>
      <c r="G116" s="3292"/>
      <c r="H116" s="3293"/>
      <c r="I116" s="3293"/>
      <c r="J116" s="3333"/>
      <c r="O116" s="1709"/>
      <c r="P116" s="1709"/>
    </row>
    <row r="117" ht="14.25" spans="1:16">
      <c r="A117" s="3294"/>
      <c r="B117" s="3228"/>
      <c r="C117" s="3291" t="s">
        <v>800</v>
      </c>
      <c r="D117" s="3295" t="str">
        <f ca="1">IF(D116=D112,D113,IF(A116="——","——",O61))</f>
        <v>——</v>
      </c>
      <c r="E117" s="3007"/>
      <c r="F117" s="3451" t="str">
        <f>IF(B32="总价","（以上估价结果中单价为总价除以建筑面积得出）","（以上估价结果中总价为楼面单价乘以建筑面积得出）")</f>
        <v>（以上估价结果中总价为楼面单价乘以建筑面积得出）</v>
      </c>
      <c r="G117" s="3451"/>
      <c r="H117" s="3451"/>
      <c r="I117" s="3451"/>
      <c r="J117" s="3334"/>
      <c r="O117" s="1709"/>
      <c r="P117" s="1709"/>
    </row>
    <row r="118" ht="15" spans="1:10">
      <c r="A118" s="3296" t="s">
        <v>808</v>
      </c>
      <c r="B118" s="3297"/>
      <c r="C118" s="3297"/>
      <c r="D118" s="3297"/>
      <c r="E118" s="3297"/>
      <c r="F118" s="3297"/>
      <c r="G118" s="3297"/>
      <c r="H118" s="3297"/>
      <c r="I118" s="3297"/>
      <c r="J118" s="3335"/>
    </row>
    <row r="119" ht="13.5" spans="1:10">
      <c r="A119" s="3121" t="s">
        <v>809</v>
      </c>
      <c r="B119" s="2139" t="s">
        <v>357</v>
      </c>
      <c r="C119" s="2139" t="s">
        <v>810</v>
      </c>
      <c r="D119" s="3298" t="s">
        <v>811</v>
      </c>
      <c r="E119" s="3299"/>
      <c r="F119" s="2133" t="s">
        <v>653</v>
      </c>
      <c r="G119" s="2133"/>
      <c r="H119" s="2133" t="s">
        <v>812</v>
      </c>
      <c r="I119" s="3197"/>
      <c r="J119" s="3141"/>
    </row>
    <row r="120" ht="13.5" spans="1:10">
      <c r="A120" s="3121"/>
      <c r="B120" s="447"/>
      <c r="C120" s="447"/>
      <c r="D120" s="2133" t="s">
        <v>813</v>
      </c>
      <c r="E120" s="2133" t="s">
        <v>814</v>
      </c>
      <c r="F120" s="2133" t="s">
        <v>813</v>
      </c>
      <c r="G120" s="2133" t="s">
        <v>814</v>
      </c>
      <c r="H120" s="2133" t="s">
        <v>813</v>
      </c>
      <c r="I120" s="3197" t="s">
        <v>814</v>
      </c>
      <c r="J120" s="3141"/>
    </row>
    <row r="121" ht="13.5" spans="1:10">
      <c r="A121" s="3121" t="str">
        <f>项目基本情况!I1</f>
        <v>北京市房地产</v>
      </c>
      <c r="B121" s="2133">
        <f>项目基本情况!C12</f>
        <v>118.67</v>
      </c>
      <c r="C121" s="2133">
        <f>项目基本情况!C13</f>
        <v>0</v>
      </c>
      <c r="D121" s="2133" t="e">
        <f ca="1">ROUND(IF(B32="总价",C34,IF('数据-取费表'!B3="万元",E121*B121/10000,E121*B121)),0)</f>
        <v>#DIV/0!</v>
      </c>
      <c r="E121" s="2133" t="e">
        <f ca="1">ROUND(IF(B32="楼面单价",C34,IF(H19="元",D121/B121,D121*10000/B121)),0)</f>
        <v>#DIV/0!</v>
      </c>
      <c r="F121" s="2133" t="e">
        <f ca="1">ROUND(IF(B32="总价",C35,IF('数据-取费表'!B3="万元",G121*B121/10000,G121*B121)),0)</f>
        <v>#DIV/0!</v>
      </c>
      <c r="G121" s="2133" t="e">
        <f ca="1">ROUND(IF(B32="楼面单价",C35,IF(H19="元",F121/B121,F121*10000/B121)),0)</f>
        <v>#DIV/0!</v>
      </c>
      <c r="H121" s="2133">
        <f ca="1">ROUND(IF(B32="总价",C32,IF('数据-取费表'!B3="万元",I121*B121/10000,I121*B121)),0)</f>
        <v>657550</v>
      </c>
      <c r="I121" s="3197">
        <f ca="1">ROUND(IF(B32="楼面单价",C32,IF(H19="元",H121/B121,H121*10000/B121)),0)</f>
        <v>5541</v>
      </c>
      <c r="J121" s="3141"/>
    </row>
    <row r="122" ht="13.5" spans="1:10">
      <c r="A122" s="3121" t="s">
        <v>815</v>
      </c>
      <c r="B122" s="2133"/>
      <c r="C122" s="2133"/>
      <c r="D122" s="3301" t="e">
        <f ca="1">IF(H19="元",NUMBERSTRING(INT(D121),2)&amp;"元整",NUMBERSTRING(INT(D121*10000),2)&amp;"元整")</f>
        <v>#DIV/0!</v>
      </c>
      <c r="E122" s="3302"/>
      <c r="F122" s="3301" t="e">
        <f ca="1">IF(H19="元",NUMBERSTRING(INT(F121),2)&amp;"元整",NUMBERSTRING(INT(F121*10000),2)&amp;"元整")</f>
        <v>#DIV/0!</v>
      </c>
      <c r="G122" s="3302"/>
      <c r="H122" s="3301" t="str">
        <f ca="1">IF(H19="元",NUMBERSTRING(INT(H121),2)&amp;"元整",NUMBERSTRING(INT(H121*10000),2)&amp;"元整")</f>
        <v>陆拾伍万柒仟伍佰伍拾元整</v>
      </c>
      <c r="I122" s="3336"/>
      <c r="J122" s="3337"/>
    </row>
    <row r="123" ht="13.5" spans="1:10">
      <c r="A123" s="3256" t="str">
        <f>IF(项目基本情况!D5="房地产市场价值","——",MID(A108,3,LEN(A108)-2))</f>
        <v>估价师所知悉的法定优先受偿款</v>
      </c>
      <c r="B123" s="3258"/>
      <c r="C123" s="3257"/>
      <c r="D123" s="3264">
        <f>I105</f>
        <v>0</v>
      </c>
      <c r="E123" s="3258"/>
      <c r="F123" s="3258"/>
      <c r="G123" s="3258"/>
      <c r="H123" s="3258"/>
      <c r="I123" s="3323"/>
      <c r="J123" s="3324"/>
    </row>
    <row r="124" ht="13.5" spans="1:10">
      <c r="A124" s="3303" t="s">
        <v>815</v>
      </c>
      <c r="B124" s="2112"/>
      <c r="C124" s="3124"/>
      <c r="D124" s="3304">
        <f>H109</f>
        <v>0</v>
      </c>
      <c r="E124" s="3305"/>
      <c r="F124" s="3305"/>
      <c r="G124" s="3305"/>
      <c r="H124" s="3305"/>
      <c r="I124" s="3338"/>
      <c r="J124" s="3339"/>
    </row>
    <row r="125" ht="13.5" spans="1:10">
      <c r="A125" s="3214" t="str">
        <f>IF(项目基本情况!D5="房地产市场价值","——",MID(A112,3,LEN(A112)-2))</f>
        <v>房地产抵押价值</v>
      </c>
      <c r="B125" s="2296"/>
      <c r="C125" s="2296"/>
      <c r="D125" s="3264">
        <f ca="1">I110</f>
        <v>657550</v>
      </c>
      <c r="E125" s="3258"/>
      <c r="F125" s="3258"/>
      <c r="G125" s="3258"/>
      <c r="H125" s="3258"/>
      <c r="I125" s="3323"/>
      <c r="J125" s="3324"/>
    </row>
    <row r="126" ht="13.5" spans="1:10">
      <c r="A126" s="3121" t="s">
        <v>815</v>
      </c>
      <c r="B126" s="2133"/>
      <c r="C126" s="2133"/>
      <c r="D126" s="3304">
        <f ca="1">I111</f>
        <v>5541</v>
      </c>
      <c r="E126" s="3305"/>
      <c r="F126" s="3305"/>
      <c r="G126" s="3305"/>
      <c r="H126" s="3305"/>
      <c r="I126" s="3338"/>
      <c r="J126" s="3339"/>
    </row>
    <row r="127" ht="14.25" spans="1:10">
      <c r="A127" s="3214" t="str">
        <f>IF(项目基本情况!D5="房地产市场价值","——",MID(A114,3,LEN(A114)-2))</f>
        <v/>
      </c>
      <c r="B127" s="2296"/>
      <c r="C127" s="2296"/>
      <c r="D127" s="3094" t="str">
        <f ca="1">I112</f>
        <v>——</v>
      </c>
      <c r="E127" s="3095"/>
      <c r="F127" s="3095"/>
      <c r="G127" s="3095"/>
      <c r="H127" s="3095"/>
      <c r="I127" s="3362"/>
      <c r="J127" s="3324"/>
    </row>
    <row r="128" ht="15" spans="1:10">
      <c r="A128" s="3121" t="s">
        <v>815</v>
      </c>
      <c r="B128" s="2133"/>
      <c r="C128" s="2111"/>
      <c r="D128" s="3340" t="str">
        <f ca="1">I113</f>
        <v>——</v>
      </c>
      <c r="E128" s="3340"/>
      <c r="F128" s="3340"/>
      <c r="G128" s="3340"/>
      <c r="H128" s="3340"/>
      <c r="I128" s="3340"/>
      <c r="J128" s="3339"/>
    </row>
    <row r="129" ht="15" spans="1:10">
      <c r="A129" s="3214" t="str">
        <f>IF(项目基本情况!D5="房地产市场价值","——",MID(F114,3,LEN(F114)-2))</f>
        <v/>
      </c>
      <c r="B129" s="2296"/>
      <c r="C129" s="3264"/>
      <c r="D129" s="3341" t="str">
        <f ca="1">I114</f>
        <v>——</v>
      </c>
      <c r="E129" s="3341"/>
      <c r="F129" s="3341"/>
      <c r="G129" s="3341"/>
      <c r="H129" s="3341"/>
      <c r="I129" s="3341"/>
      <c r="J129" s="3324"/>
    </row>
    <row r="130" ht="15" spans="1:10">
      <c r="A130" s="3129" t="s">
        <v>815</v>
      </c>
      <c r="B130" s="3130"/>
      <c r="C130" s="3130"/>
      <c r="D130" s="3342">
        <f>H116</f>
        <v>0</v>
      </c>
      <c r="E130" s="3343"/>
      <c r="F130" s="3343"/>
      <c r="G130" s="3343"/>
      <c r="H130" s="3343"/>
      <c r="I130" s="3363"/>
      <c r="J130" s="3339"/>
    </row>
    <row r="131" ht="13.5" spans="1:10">
      <c r="A131" s="3089" t="str">
        <f>IF(H19="元","单位：平方米、元、元/平方米（币种：人民币）","单位：平方米、万元、元/平方米（币种：人民币）")</f>
        <v>单位：平方米、元、元/平方米（币种：人民币）</v>
      </c>
      <c r="B131" s="3089"/>
      <c r="C131" s="3089"/>
      <c r="D131" s="3089"/>
      <c r="E131" s="3089"/>
      <c r="F131" s="3089"/>
      <c r="G131" s="3089"/>
      <c r="H131" s="3089"/>
      <c r="I131" s="3089"/>
      <c r="J131" s="3364"/>
    </row>
    <row r="132" ht="14.25" spans="1:10">
      <c r="A132" s="3344" t="str">
        <f>IF(B32="总价","（以上估价结果中楼面单价为总价除以建筑面积得出）","（以上估价结果中总价为楼面单价乘以建筑面积得出）")</f>
        <v>（以上估价结果中总价为楼面单价乘以建筑面积得出）</v>
      </c>
      <c r="B132" s="3344"/>
      <c r="C132" s="3344"/>
      <c r="D132" s="3344"/>
      <c r="E132" s="3344"/>
      <c r="F132" s="3344"/>
      <c r="G132" s="3344"/>
      <c r="H132" s="3344"/>
      <c r="I132" s="3344"/>
      <c r="J132" s="3330"/>
    </row>
    <row r="133" customHeight="1" spans="1:10">
      <c r="A133" s="3345" t="s">
        <v>816</v>
      </c>
      <c r="B133" s="3346"/>
      <c r="C133" s="3347" t="s">
        <v>817</v>
      </c>
      <c r="D133" s="3348"/>
      <c r="E133" s="3348"/>
      <c r="F133" s="3348"/>
      <c r="G133" s="3348"/>
      <c r="H133" s="3349"/>
      <c r="I133" s="3365"/>
      <c r="J133" s="3366"/>
    </row>
    <row r="134" customHeight="1" spans="1:10">
      <c r="A134" s="3350">
        <v>1</v>
      </c>
      <c r="B134" s="3351"/>
      <c r="C134" s="3351"/>
      <c r="D134" s="3348"/>
      <c r="E134" s="3348"/>
      <c r="F134" s="3348"/>
      <c r="G134" s="3348"/>
      <c r="H134" s="3349"/>
      <c r="I134" s="3365"/>
      <c r="J134" s="3366"/>
    </row>
    <row r="135" customHeight="1" spans="1:10">
      <c r="A135" s="3350">
        <v>2</v>
      </c>
      <c r="B135" s="3351"/>
      <c r="C135" s="3351"/>
      <c r="D135" s="3348"/>
      <c r="E135" s="3348"/>
      <c r="F135" s="3348"/>
      <c r="G135" s="3348"/>
      <c r="H135" s="3349"/>
      <c r="I135" s="3365"/>
      <c r="J135" s="3366"/>
    </row>
    <row r="136" customHeight="1" spans="1:10">
      <c r="A136" s="3350">
        <v>3</v>
      </c>
      <c r="B136" s="3351"/>
      <c r="C136" s="3351"/>
      <c r="D136" s="3348"/>
      <c r="E136" s="3348"/>
      <c r="F136" s="1709"/>
      <c r="G136" s="1709"/>
      <c r="H136" s="1709"/>
      <c r="I136" s="1709"/>
      <c r="J136" s="3367"/>
    </row>
    <row r="137" customHeight="1" spans="1:10">
      <c r="A137" s="3352"/>
      <c r="B137" s="3353"/>
      <c r="C137" s="3353"/>
      <c r="D137" s="3354"/>
      <c r="E137" s="3354"/>
      <c r="F137" s="3354"/>
      <c r="G137" s="3354"/>
      <c r="H137" s="3355"/>
      <c r="I137" s="3368"/>
      <c r="J137" s="3366"/>
    </row>
    <row r="138" customHeight="1" spans="1:10">
      <c r="A138" s="3351"/>
      <c r="B138" s="3351"/>
      <c r="C138" s="3351"/>
      <c r="D138" s="3348"/>
      <c r="E138" s="3348"/>
      <c r="F138" s="3348"/>
      <c r="G138" s="3348"/>
      <c r="H138" s="3349"/>
      <c r="I138" s="1712"/>
      <c r="J138" s="3367"/>
    </row>
    <row r="139" customHeight="1" spans="1:10">
      <c r="A139" s="1712"/>
      <c r="B139" s="1712"/>
      <c r="C139" s="1712"/>
      <c r="D139" s="1712"/>
      <c r="E139" s="1712"/>
      <c r="F139" s="3356" t="s">
        <v>818</v>
      </c>
      <c r="G139" s="3357"/>
      <c r="H139" s="3357"/>
      <c r="I139" s="3369" t="s">
        <v>819</v>
      </c>
      <c r="J139" s="3370"/>
    </row>
    <row r="140" customHeight="1" spans="1:10">
      <c r="A140" s="1712"/>
      <c r="B140" s="3358" t="s">
        <v>820</v>
      </c>
      <c r="C140" s="1712"/>
      <c r="D140" s="1712"/>
      <c r="E140" s="1712"/>
      <c r="F140" s="1712"/>
      <c r="G140" s="1712"/>
      <c r="H140" s="1712"/>
      <c r="I140" s="1712"/>
      <c r="J140" s="3367"/>
    </row>
    <row r="141" customHeight="1" spans="1:10">
      <c r="A141" s="1712"/>
      <c r="B141" s="1712"/>
      <c r="C141" s="1712"/>
      <c r="D141" s="1712"/>
      <c r="E141" s="1712"/>
      <c r="F141" s="1712"/>
      <c r="G141" s="1712"/>
      <c r="H141" s="1712"/>
      <c r="I141" s="1712"/>
      <c r="J141" s="3367"/>
    </row>
    <row r="142" customHeight="1" spans="1:10">
      <c r="A142" s="1712"/>
      <c r="B142" s="3357"/>
      <c r="C142" s="3357"/>
      <c r="D142" s="3357"/>
      <c r="E142" s="3357"/>
      <c r="F142" s="3357"/>
      <c r="G142" s="3357"/>
      <c r="H142" s="3357"/>
      <c r="I142" s="3369" t="s">
        <v>821</v>
      </c>
      <c r="J142" s="3370"/>
    </row>
    <row r="143" customHeight="1" spans="1:10">
      <c r="A143" s="1712"/>
      <c r="B143" s="3358" t="s">
        <v>822</v>
      </c>
      <c r="C143" s="1712"/>
      <c r="D143" s="1712"/>
      <c r="E143" s="1712"/>
      <c r="F143" s="1712"/>
      <c r="G143" s="1712"/>
      <c r="H143" s="1712"/>
      <c r="I143" s="1712"/>
      <c r="J143" s="3367"/>
    </row>
    <row r="144" customHeight="1" spans="1:10">
      <c r="A144" s="1712"/>
      <c r="B144" s="3358"/>
      <c r="C144" s="1712"/>
      <c r="D144" s="1712"/>
      <c r="E144" s="1712"/>
      <c r="F144" s="1712"/>
      <c r="G144" s="1712"/>
      <c r="H144" s="1712"/>
      <c r="I144" s="1712"/>
      <c r="J144" s="3367"/>
    </row>
    <row r="145" customHeight="1" spans="1:10">
      <c r="A145" s="1712"/>
      <c r="B145" s="3357"/>
      <c r="C145" s="3357"/>
      <c r="D145" s="3357"/>
      <c r="E145" s="3357"/>
      <c r="F145" s="3357"/>
      <c r="G145" s="3357"/>
      <c r="H145" s="3357"/>
      <c r="I145" s="3369" t="s">
        <v>821</v>
      </c>
      <c r="J145" s="3370"/>
    </row>
    <row r="146" customHeight="1" spans="1:10">
      <c r="A146" s="1712"/>
      <c r="B146" s="3358"/>
      <c r="C146" s="3359"/>
      <c r="D146" s="3360"/>
      <c r="E146" s="3360"/>
      <c r="F146" s="3361"/>
      <c r="G146" s="1712"/>
      <c r="H146" s="1712"/>
      <c r="I146" s="1712"/>
      <c r="J146" s="3367"/>
    </row>
    <row r="147" s="1709" customFormat="1" customHeight="1" spans="1:36">
      <c r="A147" s="1712"/>
      <c r="B147" s="3358"/>
      <c r="C147" s="3359"/>
      <c r="D147" s="3360"/>
      <c r="E147" s="3360"/>
      <c r="F147" s="1712"/>
      <c r="G147" s="1712"/>
      <c r="H147" s="1712"/>
      <c r="I147" s="1712"/>
      <c r="J147" s="3367"/>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3367"/>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3367"/>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3367"/>
    </row>
    <row r="151" s="1712" customFormat="1" customHeight="1" spans="10:10">
      <c r="J151" s="3367"/>
    </row>
    <row r="152" s="1712" customFormat="1" customHeight="1" spans="10:10">
      <c r="J152" s="3367"/>
    </row>
    <row r="153" s="1712" customFormat="1" customHeight="1" spans="10:10">
      <c r="J153" s="3367"/>
    </row>
    <row r="154" s="1712" customFormat="1" customHeight="1" spans="10:10">
      <c r="J154" s="3367"/>
    </row>
    <row r="155" s="1712" customFormat="1" customHeight="1" spans="10:10">
      <c r="J155" s="3367"/>
    </row>
    <row r="156" s="1712" customFormat="1" customHeight="1" spans="10:10">
      <c r="J156" s="3367"/>
    </row>
    <row r="157" s="1712" customFormat="1" customHeight="1" spans="10:10">
      <c r="J157" s="3367"/>
    </row>
    <row r="158" s="1712" customFormat="1" customHeight="1" spans="10:10">
      <c r="J158" s="3367"/>
    </row>
    <row r="159" s="1712" customFormat="1" customHeight="1" spans="10:10">
      <c r="J159" s="3367"/>
    </row>
    <row r="160" s="1712" customFormat="1" customHeight="1" spans="10:10">
      <c r="J160" s="3367"/>
    </row>
    <row r="161" s="1712" customFormat="1" customHeight="1" spans="10:10">
      <c r="J161" s="3367"/>
    </row>
    <row r="162" s="1712" customFormat="1" customHeight="1" spans="10:10">
      <c r="J162" s="3367"/>
    </row>
    <row r="163" s="1712" customFormat="1" customHeight="1" spans="10:10">
      <c r="J163" s="3367"/>
    </row>
    <row r="164" s="1712" customFormat="1" customHeight="1" spans="10:10">
      <c r="J164" s="3367"/>
    </row>
    <row r="165" s="1712" customFormat="1" customHeight="1" spans="10:10">
      <c r="J165" s="3367"/>
    </row>
    <row r="166" s="1712" customFormat="1" customHeight="1" spans="10:10">
      <c r="J166" s="3367"/>
    </row>
    <row r="167" s="1712" customFormat="1" customHeight="1" spans="10:10">
      <c r="J167" s="3367"/>
    </row>
    <row r="168" s="1712" customFormat="1" customHeight="1" spans="10:10">
      <c r="J168" s="3367"/>
    </row>
    <row r="169" s="1712" customFormat="1" customHeight="1" spans="10:10">
      <c r="J169" s="3367"/>
    </row>
    <row r="170" s="1712" customFormat="1" customHeight="1" spans="10:10">
      <c r="J170" s="3367"/>
    </row>
    <row r="171" s="1712" customFormat="1" customHeight="1" spans="10:10">
      <c r="J171" s="3367"/>
    </row>
    <row r="172" s="1712" customFormat="1" customHeight="1" spans="10:10">
      <c r="J172" s="3367"/>
    </row>
    <row r="173" s="1712" customFormat="1" customHeight="1" spans="10:10">
      <c r="J173" s="3367"/>
    </row>
    <row r="174" s="1712" customFormat="1" customHeight="1" spans="10:10">
      <c r="J174" s="3367"/>
    </row>
    <row r="175" s="1712" customFormat="1" customHeight="1" spans="10:10">
      <c r="J175" s="3367"/>
    </row>
    <row r="176" s="1712" customFormat="1" customHeight="1" spans="10:10">
      <c r="J176" s="3367"/>
    </row>
    <row r="177" s="1712" customFormat="1" customHeight="1" spans="10:10">
      <c r="J177" s="3367"/>
    </row>
    <row r="178" s="1712" customFormat="1" customHeight="1" spans="10:10">
      <c r="J178" s="3367"/>
    </row>
    <row r="179" s="1712" customFormat="1" customHeight="1" spans="10:10">
      <c r="J179" s="3367"/>
    </row>
    <row r="180" s="1712" customFormat="1" customHeight="1" spans="10:10">
      <c r="J180" s="3367"/>
    </row>
    <row r="181" s="1712" customFormat="1" customHeight="1" spans="10:10">
      <c r="J181" s="3367"/>
    </row>
    <row r="182" s="1712" customFormat="1" customHeight="1" spans="10:10">
      <c r="J182" s="3367"/>
    </row>
    <row r="183" s="1712" customFormat="1" customHeight="1" spans="10:10">
      <c r="J183" s="3367"/>
    </row>
    <row r="184" s="1712" customFormat="1" customHeight="1" spans="10:10">
      <c r="J184" s="3367"/>
    </row>
    <row r="185" s="1712" customFormat="1" customHeight="1" spans="10:10">
      <c r="J185" s="3367"/>
    </row>
    <row r="186" s="1712" customFormat="1" customHeight="1" spans="10:10">
      <c r="J186" s="3367"/>
    </row>
    <row r="187" s="1712" customFormat="1" customHeight="1" spans="10:10">
      <c r="J187" s="3367"/>
    </row>
    <row r="188" s="1712" customFormat="1" customHeight="1" spans="10:10">
      <c r="J188" s="3367"/>
    </row>
    <row r="189" s="1712" customFormat="1" customHeight="1" spans="10:10">
      <c r="J189" s="3367"/>
    </row>
    <row r="190" s="1712" customFormat="1" customHeight="1" spans="10:10">
      <c r="J190" s="3367"/>
    </row>
    <row r="191" s="1712" customFormat="1" customHeight="1" spans="10:10">
      <c r="J191" s="3367"/>
    </row>
    <row r="192" s="1712" customFormat="1" customHeight="1" spans="10:10">
      <c r="J192" s="3367"/>
    </row>
    <row r="193" s="1712" customFormat="1" customHeight="1" spans="10:10">
      <c r="J193" s="3367"/>
    </row>
    <row r="194" s="1712" customFormat="1" customHeight="1" spans="10:10">
      <c r="J194" s="3367"/>
    </row>
    <row r="195" s="1712" customFormat="1" customHeight="1" spans="10:10">
      <c r="J195" s="3367"/>
    </row>
    <row r="196" s="1712" customFormat="1" customHeight="1" spans="10:10">
      <c r="J196" s="3367"/>
    </row>
    <row r="197" s="1712" customFormat="1" customHeight="1" spans="10:10">
      <c r="J197" s="3367"/>
    </row>
    <row r="198" s="1712" customFormat="1" customHeight="1" spans="10:10">
      <c r="J198" s="3367"/>
    </row>
    <row r="199" s="1712" customFormat="1" customHeight="1" spans="10:10">
      <c r="J199" s="3367"/>
    </row>
    <row r="200" s="1712" customFormat="1" customHeight="1" spans="10:10">
      <c r="J200" s="3367"/>
    </row>
    <row r="201" s="1712" customFormat="1" customHeight="1" spans="10:10">
      <c r="J201" s="3367"/>
    </row>
    <row r="202" s="1712" customFormat="1" customHeight="1" spans="10:10">
      <c r="J202" s="3367"/>
    </row>
    <row r="203" s="1712" customFormat="1" customHeight="1" spans="10:10">
      <c r="J203" s="3367"/>
    </row>
    <row r="204" s="1712" customFormat="1" customHeight="1" spans="10:10">
      <c r="J204" s="3367"/>
    </row>
    <row r="205" s="1712" customFormat="1" customHeight="1" spans="10:10">
      <c r="J205" s="3367"/>
    </row>
    <row r="206" s="1712" customFormat="1" customHeight="1" spans="10:10">
      <c r="J206" s="3367"/>
    </row>
    <row r="207" s="1712" customFormat="1" customHeight="1" spans="10:10">
      <c r="J207" s="3367"/>
    </row>
    <row r="208" s="1712" customFormat="1" customHeight="1" spans="10:10">
      <c r="J208" s="3367"/>
    </row>
    <row r="209" s="1712" customFormat="1" customHeight="1" spans="10:10">
      <c r="J209" s="3367"/>
    </row>
    <row r="210" s="1712" customFormat="1" customHeight="1" spans="10:10">
      <c r="J210" s="3367"/>
    </row>
    <row r="211" s="1712" customFormat="1" customHeight="1" spans="10:10">
      <c r="J211" s="3367"/>
    </row>
    <row r="212" s="1712" customFormat="1" customHeight="1" spans="10:10">
      <c r="J212" s="3367"/>
    </row>
    <row r="213" s="1712" customFormat="1" customHeight="1" spans="10:10">
      <c r="J213" s="3367"/>
    </row>
    <row r="214" s="1712" customFormat="1" customHeight="1" spans="10:10">
      <c r="J214" s="3367"/>
    </row>
    <row r="215" s="1712" customFormat="1" customHeight="1" spans="10:10">
      <c r="J215" s="3367"/>
    </row>
    <row r="216" s="1712" customFormat="1" customHeight="1" spans="10:10">
      <c r="J216" s="3367"/>
    </row>
    <row r="217" s="1712" customFormat="1" customHeight="1" spans="10:10">
      <c r="J217" s="3367"/>
    </row>
    <row r="218" s="1712" customFormat="1" customHeight="1" spans="10:10">
      <c r="J218" s="3367"/>
    </row>
    <row r="219" s="1712" customFormat="1" customHeight="1" spans="10:10">
      <c r="J219" s="3367"/>
    </row>
    <row r="220" s="1712" customFormat="1" customHeight="1" spans="10:10">
      <c r="J220" s="3367"/>
    </row>
    <row r="221" s="1712" customFormat="1" customHeight="1" spans="10:10">
      <c r="J221" s="3367"/>
    </row>
    <row r="222" s="1712" customFormat="1" customHeight="1" spans="10:10">
      <c r="J222" s="3367"/>
    </row>
    <row r="223" s="1712" customFormat="1" customHeight="1" spans="10:10">
      <c r="J223" s="3367"/>
    </row>
    <row r="224" s="1712" customFormat="1" customHeight="1" spans="10:10">
      <c r="J224" s="3367"/>
    </row>
    <row r="225" s="1712" customFormat="1" customHeight="1" spans="10:10">
      <c r="J225" s="3367"/>
    </row>
    <row r="226" s="1712" customFormat="1" customHeight="1" spans="10:10">
      <c r="J226" s="3367"/>
    </row>
    <row r="227" s="1712" customFormat="1" customHeight="1" spans="10:10">
      <c r="J227" s="3367"/>
    </row>
    <row r="228" s="1712" customFormat="1" customHeight="1" spans="10:10">
      <c r="J228" s="3367"/>
    </row>
    <row r="229" s="1712" customFormat="1" customHeight="1" spans="10:10">
      <c r="J229" s="3367"/>
    </row>
    <row r="230" s="1712" customFormat="1" customHeight="1" spans="10:10">
      <c r="J230" s="3367"/>
    </row>
    <row r="231" s="1712" customFormat="1" customHeight="1" spans="10:10">
      <c r="J231" s="3367"/>
    </row>
    <row r="232" s="1712" customFormat="1" customHeight="1" spans="10:10">
      <c r="J232" s="3367"/>
    </row>
    <row r="233" s="1712" customFormat="1" customHeight="1" spans="10:10">
      <c r="J233" s="3367"/>
    </row>
    <row r="234" s="1712" customFormat="1" customHeight="1" spans="10:10">
      <c r="J234" s="3367"/>
    </row>
    <row r="235" s="1712" customFormat="1" customHeight="1" spans="10:10">
      <c r="J235" s="3367"/>
    </row>
    <row r="236" s="1712" customFormat="1" customHeight="1" spans="10:10">
      <c r="J236" s="3367"/>
    </row>
    <row r="237" s="1712" customFormat="1" customHeight="1" spans="10:10">
      <c r="J237" s="3367"/>
    </row>
    <row r="238" s="1712" customFormat="1" customHeight="1" spans="10:10">
      <c r="J238" s="3367"/>
    </row>
    <row r="239" s="1712" customFormat="1" customHeight="1" spans="10:10">
      <c r="J239" s="3367"/>
    </row>
    <row r="240" s="1712" customFormat="1" customHeight="1" spans="10:10">
      <c r="J240" s="3367"/>
    </row>
    <row r="241" s="1712" customFormat="1" customHeight="1" spans="10:10">
      <c r="J241" s="3367"/>
    </row>
    <row r="242" s="1712" customFormat="1" customHeight="1" spans="10:10">
      <c r="J242" s="3367"/>
    </row>
    <row r="243" s="1712" customFormat="1" customHeight="1" spans="10:10">
      <c r="J243" s="3367"/>
    </row>
    <row r="244" s="1712" customFormat="1" customHeight="1" spans="10:10">
      <c r="J244" s="3367"/>
    </row>
    <row r="245" s="1712" customFormat="1" customHeight="1" spans="10:10">
      <c r="J245" s="3367"/>
    </row>
    <row r="246" s="1712" customFormat="1" customHeight="1" spans="10:10">
      <c r="J246" s="3367"/>
    </row>
    <row r="247" s="1712" customFormat="1" customHeight="1" spans="10:10">
      <c r="J247" s="3367"/>
    </row>
    <row r="248" s="1712" customFormat="1" customHeight="1" spans="10:10">
      <c r="J248" s="3367"/>
    </row>
    <row r="249" s="1712" customFormat="1" customHeight="1" spans="10:10">
      <c r="J249" s="3367"/>
    </row>
    <row r="250" s="1712" customFormat="1" customHeight="1" spans="10:10">
      <c r="J250" s="3367"/>
    </row>
    <row r="251" s="1712" customFormat="1" customHeight="1" spans="10:10">
      <c r="J251" s="3367"/>
    </row>
    <row r="252" s="1712" customFormat="1" customHeight="1" spans="10:10">
      <c r="J252" s="3367"/>
    </row>
    <row r="253" s="1712" customFormat="1" customHeight="1" spans="10:10">
      <c r="J253" s="3367"/>
    </row>
    <row r="254" s="1712" customFormat="1" customHeight="1" spans="10:10">
      <c r="J254" s="3367"/>
    </row>
    <row r="255" s="1712" customFormat="1" customHeight="1" spans="10:10">
      <c r="J255" s="3367"/>
    </row>
    <row r="256" s="1712" customFormat="1" customHeight="1" spans="10:10">
      <c r="J256" s="3367"/>
    </row>
    <row r="257" s="1712" customFormat="1" customHeight="1" spans="10:10">
      <c r="J257" s="3367"/>
    </row>
    <row r="258" s="1712" customFormat="1" customHeight="1" spans="10:10">
      <c r="J258" s="3367"/>
    </row>
    <row r="259" s="1712" customFormat="1" customHeight="1" spans="10:10">
      <c r="J259" s="3367"/>
    </row>
    <row r="260" s="1712" customFormat="1" customHeight="1" spans="10:10">
      <c r="J260" s="3367"/>
    </row>
    <row r="261" s="1712" customFormat="1" customHeight="1" spans="10:10">
      <c r="J261" s="3367"/>
    </row>
    <row r="262" s="1712" customFormat="1" customHeight="1" spans="10:10">
      <c r="J262" s="3367"/>
    </row>
    <row r="263" s="1712" customFormat="1" customHeight="1" spans="10:10">
      <c r="J263" s="3367"/>
    </row>
    <row r="264" s="1712" customFormat="1" customHeight="1" spans="10:10">
      <c r="J264" s="3367"/>
    </row>
    <row r="265" s="1712" customFormat="1" customHeight="1" spans="10:10">
      <c r="J265" s="3367"/>
    </row>
    <row r="266" s="1712" customFormat="1" customHeight="1" spans="10:10">
      <c r="J266" s="3367"/>
    </row>
    <row r="267" s="1712" customFormat="1" customHeight="1" spans="10:10">
      <c r="J267" s="3367"/>
    </row>
    <row r="268" s="1712" customFormat="1" customHeight="1" spans="10:10">
      <c r="J268" s="3367"/>
    </row>
    <row r="269" s="1712" customFormat="1" customHeight="1" spans="10:10">
      <c r="J269" s="3367"/>
    </row>
    <row r="270" s="1712" customFormat="1" customHeight="1" spans="10:10">
      <c r="J270" s="3367"/>
    </row>
    <row r="271" s="1712" customFormat="1" customHeight="1" spans="10:10">
      <c r="J271" s="3367"/>
    </row>
    <row r="272" s="1712" customFormat="1" customHeight="1" spans="10:10">
      <c r="J272" s="3367"/>
    </row>
    <row r="273" s="1712" customFormat="1" customHeight="1" spans="10:10">
      <c r="J273" s="3367"/>
    </row>
    <row r="274" s="1712" customFormat="1" customHeight="1" spans="10:10">
      <c r="J274" s="3367"/>
    </row>
    <row r="275" s="1712" customFormat="1" customHeight="1" spans="10:10">
      <c r="J275" s="3367"/>
    </row>
    <row r="276" s="1712" customFormat="1" customHeight="1" spans="10:10">
      <c r="J276" s="3367"/>
    </row>
    <row r="277" s="1712" customFormat="1" customHeight="1" spans="10:10">
      <c r="J277" s="3367"/>
    </row>
    <row r="278" s="1712" customFormat="1" customHeight="1" spans="10:10">
      <c r="J278" s="3367"/>
    </row>
    <row r="279" s="1712" customFormat="1" customHeight="1" spans="10:10">
      <c r="J279" s="3367"/>
    </row>
    <row r="280" s="1712" customFormat="1" customHeight="1" spans="10:10">
      <c r="J280" s="3367"/>
    </row>
    <row r="281" s="1712" customFormat="1" customHeight="1" spans="10:10">
      <c r="J281" s="3367"/>
    </row>
    <row r="282" s="1712" customFormat="1" customHeight="1" spans="10:10">
      <c r="J282" s="3367"/>
    </row>
    <row r="283" s="1712" customFormat="1" customHeight="1" spans="10:10">
      <c r="J283" s="3367"/>
    </row>
    <row r="284" s="1712" customFormat="1" customHeight="1" spans="10:10">
      <c r="J284" s="3367"/>
    </row>
    <row r="285" s="1712" customFormat="1" customHeight="1" spans="10:10">
      <c r="J285" s="3367"/>
    </row>
    <row r="286" s="1712" customFormat="1" customHeight="1" spans="10:10">
      <c r="J286" s="3367"/>
    </row>
    <row r="287" s="1712" customFormat="1" customHeight="1" spans="10:10">
      <c r="J287" s="3367"/>
    </row>
    <row r="288" s="1712" customFormat="1" customHeight="1" spans="10:10">
      <c r="J288" s="3367"/>
    </row>
    <row r="289" s="1712" customFormat="1" customHeight="1" spans="10:10">
      <c r="J289" s="3367"/>
    </row>
    <row r="290" s="1712" customFormat="1" customHeight="1" spans="10:10">
      <c r="J290" s="3367"/>
    </row>
    <row r="291" s="1712" customFormat="1" customHeight="1" spans="10:10">
      <c r="J291" s="3367"/>
    </row>
    <row r="292" s="1712" customFormat="1" customHeight="1" spans="10:10">
      <c r="J292" s="3367"/>
    </row>
    <row r="293" s="1712" customFormat="1" customHeight="1" spans="10:10">
      <c r="J293" s="3367"/>
    </row>
    <row r="294" s="1712" customFormat="1" customHeight="1" spans="10:10">
      <c r="J294" s="3367"/>
    </row>
    <row r="295" s="1712" customFormat="1" customHeight="1" spans="10:10">
      <c r="J295" s="3367"/>
    </row>
    <row r="296" s="1712" customFormat="1" customHeight="1" spans="10:10">
      <c r="J296" s="3367"/>
    </row>
    <row r="297" s="1712" customFormat="1" customHeight="1" spans="10:10">
      <c r="J297" s="3367"/>
    </row>
    <row r="298" s="1712" customFormat="1" customHeight="1" spans="10:10">
      <c r="J298" s="3367"/>
    </row>
    <row r="299" s="1712" customFormat="1" customHeight="1" spans="10:10">
      <c r="J299" s="3367"/>
    </row>
    <row r="300" s="1712" customFormat="1" customHeight="1" spans="10:10">
      <c r="J300" s="3367"/>
    </row>
    <row r="301" s="1712" customFormat="1" customHeight="1" spans="10:10">
      <c r="J301" s="3367"/>
    </row>
    <row r="302" s="1712" customFormat="1" customHeight="1" spans="10:10">
      <c r="J302" s="3367"/>
    </row>
    <row r="303" s="1712" customFormat="1" customHeight="1" spans="10:10">
      <c r="J303" s="3367"/>
    </row>
    <row r="304" s="1712" customFormat="1" customHeight="1" spans="10:10">
      <c r="J304" s="3367"/>
    </row>
    <row r="305" s="1712" customFormat="1" customHeight="1" spans="10:10">
      <c r="J305" s="3367"/>
    </row>
    <row r="306" s="1712" customFormat="1" customHeight="1" spans="10:10">
      <c r="J306" s="3367"/>
    </row>
    <row r="307" s="1712" customFormat="1" customHeight="1" spans="10:10">
      <c r="J307" s="3367"/>
    </row>
    <row r="308" s="1712" customFormat="1" customHeight="1" spans="10:10">
      <c r="J308" s="3367"/>
    </row>
    <row r="309" s="1712" customFormat="1" customHeight="1" spans="10:10">
      <c r="J309" s="3367"/>
    </row>
    <row r="310" s="1712" customFormat="1" customHeight="1" spans="10:10">
      <c r="J310" s="3367"/>
    </row>
    <row r="311" s="1712" customFormat="1" customHeight="1" spans="10:10">
      <c r="J311" s="3367"/>
    </row>
    <row r="312" s="1712" customFormat="1" customHeight="1" spans="10:10">
      <c r="J312" s="3367"/>
    </row>
    <row r="313" s="1712" customFormat="1" customHeight="1" spans="10:10">
      <c r="J313" s="3367"/>
    </row>
    <row r="314" s="1712" customFormat="1" customHeight="1" spans="10:10">
      <c r="J314" s="3367"/>
    </row>
    <row r="315" s="1712" customFormat="1" customHeight="1" spans="10:10">
      <c r="J315" s="3367"/>
    </row>
    <row r="316" s="1712" customFormat="1" customHeight="1" spans="10:10">
      <c r="J316" s="3367"/>
    </row>
    <row r="317" s="1712" customFormat="1" customHeight="1" spans="10:10">
      <c r="J317" s="3367"/>
    </row>
    <row r="318" s="1712" customFormat="1" customHeight="1" spans="10:10">
      <c r="J318" s="3367"/>
    </row>
    <row r="319" s="1712" customFormat="1" customHeight="1" spans="10:10">
      <c r="J319" s="3367"/>
    </row>
    <row r="320" s="1712" customFormat="1" customHeight="1" spans="10:10">
      <c r="J320" s="3367"/>
    </row>
    <row r="321" s="1712" customFormat="1" customHeight="1" spans="10:10">
      <c r="J321" s="3367"/>
    </row>
    <row r="322" s="1712" customFormat="1" customHeight="1" spans="10:10">
      <c r="J322" s="3367"/>
    </row>
    <row r="323" s="1712" customFormat="1" customHeight="1" spans="10:10">
      <c r="J323" s="3367"/>
    </row>
    <row r="324" s="1712" customFormat="1" customHeight="1" spans="10:10">
      <c r="J324" s="3367"/>
    </row>
    <row r="325" s="1712" customFormat="1" customHeight="1" spans="10:10">
      <c r="J325" s="3367"/>
    </row>
    <row r="326" s="1712" customFormat="1" customHeight="1" spans="10:10">
      <c r="J326" s="3367"/>
    </row>
    <row r="327" s="1712" customFormat="1" customHeight="1" spans="10:10">
      <c r="J327" s="3367"/>
    </row>
    <row r="328" s="1712" customFormat="1" customHeight="1" spans="10:10">
      <c r="J328" s="3367"/>
    </row>
    <row r="329" s="1712" customFormat="1" customHeight="1" spans="10:10">
      <c r="J329" s="3367"/>
    </row>
    <row r="330" s="1712" customFormat="1" customHeight="1" spans="10:10">
      <c r="J330" s="3367"/>
    </row>
    <row r="331" s="1712" customFormat="1" customHeight="1" spans="10:10">
      <c r="J331" s="3367"/>
    </row>
    <row r="332" s="1712" customFormat="1" customHeight="1" spans="10:10">
      <c r="J332" s="3367"/>
    </row>
    <row r="333" s="1712" customFormat="1" customHeight="1" spans="10:10">
      <c r="J333" s="3367"/>
    </row>
    <row r="334" s="1712" customFormat="1" customHeight="1" spans="10:10">
      <c r="J334" s="3367"/>
    </row>
    <row r="335" s="1712" customFormat="1" customHeight="1" spans="10:10">
      <c r="J335" s="3367"/>
    </row>
    <row r="336" s="1712" customFormat="1" customHeight="1" spans="10:10">
      <c r="J336" s="3367"/>
    </row>
    <row r="337" s="1712" customFormat="1" customHeight="1" spans="10:10">
      <c r="J337" s="3367"/>
    </row>
    <row r="338" s="1712" customFormat="1" customHeight="1" spans="10:10">
      <c r="J338" s="3367"/>
    </row>
    <row r="339" s="1712" customFormat="1" customHeight="1" spans="10:10">
      <c r="J339" s="3367"/>
    </row>
    <row r="340" s="1712" customFormat="1" customHeight="1" spans="10:10">
      <c r="J340" s="3367"/>
    </row>
    <row r="341" s="1712" customFormat="1" customHeight="1" spans="10:10">
      <c r="J341" s="3367"/>
    </row>
    <row r="342" s="1712" customFormat="1" customHeight="1" spans="10:10">
      <c r="J342" s="3367"/>
    </row>
    <row r="343" s="1712" customFormat="1" customHeight="1" spans="10:10">
      <c r="J343" s="3367"/>
    </row>
    <row r="344" s="1712" customFormat="1" customHeight="1" spans="10:10">
      <c r="J344" s="3367"/>
    </row>
    <row r="345" s="1712" customFormat="1" customHeight="1" spans="10:10">
      <c r="J345" s="3367"/>
    </row>
    <row r="346" s="1712" customFormat="1" customHeight="1" spans="10:10">
      <c r="J346" s="3367"/>
    </row>
    <row r="347" s="1712" customFormat="1" customHeight="1" spans="10:10">
      <c r="J347" s="3367"/>
    </row>
    <row r="348" s="1712" customFormat="1" customHeight="1" spans="10:10">
      <c r="J348" s="3367"/>
    </row>
    <row r="349" s="1712" customFormat="1" customHeight="1" spans="10:10">
      <c r="J349" s="3367"/>
    </row>
    <row r="350" s="1712" customFormat="1" customHeight="1" spans="10:10">
      <c r="J350" s="3367"/>
    </row>
    <row r="351" s="1712" customFormat="1" customHeight="1" spans="10:10">
      <c r="J351" s="3367"/>
    </row>
    <row r="352" s="1712" customFormat="1" customHeight="1" spans="10:10">
      <c r="J352" s="3367"/>
    </row>
    <row r="353" s="1712" customFormat="1" customHeight="1" spans="10:10">
      <c r="J353" s="3367"/>
    </row>
    <row r="354" s="1712" customFormat="1" customHeight="1" spans="10:10">
      <c r="J354" s="3367"/>
    </row>
    <row r="355" s="1712" customFormat="1" customHeight="1" spans="10:10">
      <c r="J355" s="3367"/>
    </row>
    <row r="356" s="1712" customFormat="1" customHeight="1" spans="10:10">
      <c r="J356" s="3367"/>
    </row>
    <row r="357" s="1712" customFormat="1" customHeight="1" spans="10:10">
      <c r="J357" s="3367"/>
    </row>
    <row r="358" s="1712" customFormat="1" customHeight="1" spans="10:10">
      <c r="J358" s="3367"/>
    </row>
    <row r="359" s="1712" customFormat="1" customHeight="1" spans="10:10">
      <c r="J359" s="3367"/>
    </row>
    <row r="360" s="1712" customFormat="1" customHeight="1" spans="10:10">
      <c r="J360" s="3367"/>
    </row>
    <row r="361" s="1712" customFormat="1" customHeight="1" spans="10:10">
      <c r="J361" s="3367"/>
    </row>
    <row r="362" s="1712" customFormat="1" customHeight="1" spans="10:10">
      <c r="J362" s="3367"/>
    </row>
    <row r="363" s="1712" customFormat="1" customHeight="1" spans="10:10">
      <c r="J363" s="3367"/>
    </row>
    <row r="364" s="1712" customFormat="1" customHeight="1" spans="10:10">
      <c r="J364" s="3367"/>
    </row>
    <row r="365" s="1712" customFormat="1" customHeight="1" spans="10:10">
      <c r="J365" s="3367"/>
    </row>
    <row r="366" s="1712" customFormat="1" customHeight="1" spans="10:10">
      <c r="J366" s="3367"/>
    </row>
    <row r="367" s="1712" customFormat="1" customHeight="1" spans="10:10">
      <c r="J367" s="3367"/>
    </row>
    <row r="368" s="1712" customFormat="1" customHeight="1" spans="10:10">
      <c r="J368" s="3367"/>
    </row>
    <row r="369" s="1712" customFormat="1" customHeight="1" spans="10:10">
      <c r="J369" s="3367"/>
    </row>
    <row r="370" s="1712" customFormat="1" customHeight="1" spans="10:10">
      <c r="J370" s="3367"/>
    </row>
    <row r="371" s="1712" customFormat="1" customHeight="1" spans="10:10">
      <c r="J371" s="3367"/>
    </row>
    <row r="372" s="1712" customFormat="1" customHeight="1" spans="10:10">
      <c r="J372" s="3367"/>
    </row>
    <row r="373" s="1712" customFormat="1" customHeight="1" spans="10:10">
      <c r="J373" s="3367"/>
    </row>
    <row r="374" s="1712" customFormat="1" customHeight="1" spans="10:10">
      <c r="J374" s="3367"/>
    </row>
    <row r="375" s="1712" customFormat="1" customHeight="1" spans="10:10">
      <c r="J375" s="3367"/>
    </row>
    <row r="376" s="1712" customFormat="1" customHeight="1" spans="10:10">
      <c r="J376" s="3367"/>
    </row>
    <row r="377" s="1712" customFormat="1" customHeight="1" spans="10:10">
      <c r="J377" s="3367"/>
    </row>
    <row r="378" s="1712" customFormat="1" customHeight="1" spans="10:10">
      <c r="J378" s="3367"/>
    </row>
    <row r="379" s="1712" customFormat="1" customHeight="1" spans="10:10">
      <c r="J379" s="3367"/>
    </row>
    <row r="380" s="1712" customFormat="1" customHeight="1" spans="10:10">
      <c r="J380" s="3367"/>
    </row>
    <row r="381" s="1712" customFormat="1" customHeight="1" spans="10:10">
      <c r="J381" s="3367"/>
    </row>
    <row r="382" s="1712" customFormat="1" customHeight="1" spans="10:10">
      <c r="J382" s="3367"/>
    </row>
    <row r="383" s="1712" customFormat="1" customHeight="1" spans="10:10">
      <c r="J383" s="3367"/>
    </row>
    <row r="384" s="1712" customFormat="1" customHeight="1" spans="10:10">
      <c r="J384" s="3367"/>
    </row>
    <row r="385" s="1712" customFormat="1" customHeight="1" spans="10:10">
      <c r="J385" s="3367"/>
    </row>
    <row r="386" s="1712" customFormat="1" customHeight="1" spans="10:10">
      <c r="J386" s="3367"/>
    </row>
    <row r="387" s="1712" customFormat="1" customHeight="1" spans="10:10">
      <c r="J387" s="3367"/>
    </row>
    <row r="388" s="1712" customFormat="1" customHeight="1" spans="10:10">
      <c r="J388" s="3367"/>
    </row>
    <row r="389" s="1712" customFormat="1" customHeight="1" spans="10:10">
      <c r="J389" s="3367"/>
    </row>
    <row r="390" s="1712" customFormat="1" customHeight="1" spans="10:10">
      <c r="J390" s="3367"/>
    </row>
    <row r="391" s="1712" customFormat="1" customHeight="1" spans="10:10">
      <c r="J391" s="3367"/>
    </row>
    <row r="392" s="1712" customFormat="1" customHeight="1" spans="10:10">
      <c r="J392" s="3367"/>
    </row>
    <row r="393" s="1712" customFormat="1" customHeight="1" spans="10:10">
      <c r="J393" s="3367"/>
    </row>
    <row r="394" s="1712" customFormat="1" customHeight="1" spans="10:10">
      <c r="J394" s="3367"/>
    </row>
    <row r="395" s="1712" customFormat="1" customHeight="1" spans="10:10">
      <c r="J395" s="3367"/>
    </row>
    <row r="396" s="1712" customFormat="1" customHeight="1" spans="10:10">
      <c r="J396" s="3367"/>
    </row>
    <row r="397" s="1712" customFormat="1" customHeight="1" spans="10:10">
      <c r="J397" s="3367"/>
    </row>
    <row r="398" s="1712" customFormat="1" customHeight="1" spans="10:10">
      <c r="J398" s="3367"/>
    </row>
    <row r="399" s="1712" customFormat="1" customHeight="1" spans="10:10">
      <c r="J399" s="3367"/>
    </row>
    <row r="400" s="1712" customFormat="1" customHeight="1" spans="10:10">
      <c r="J400" s="3367"/>
    </row>
    <row r="401" s="1712" customFormat="1" customHeight="1" spans="10:10">
      <c r="J401" s="3367"/>
    </row>
    <row r="402" s="1712" customFormat="1" customHeight="1" spans="10:10">
      <c r="J402" s="3367"/>
    </row>
    <row r="403" s="3003" customFormat="1" customHeight="1" spans="10:27">
      <c r="J403" s="3005"/>
      <c r="K403" s="1712"/>
      <c r="L403" s="1712"/>
      <c r="M403" s="1712"/>
      <c r="N403" s="1712"/>
      <c r="O403" s="1712"/>
      <c r="P403" s="1712"/>
      <c r="Q403" s="1712"/>
      <c r="R403" s="1712"/>
      <c r="S403" s="1712"/>
      <c r="T403" s="1712"/>
      <c r="U403" s="1712"/>
      <c r="V403" s="1712"/>
      <c r="W403" s="1712"/>
      <c r="X403" s="1712"/>
      <c r="Y403" s="1712"/>
      <c r="Z403" s="1712"/>
      <c r="AA403" s="1712"/>
    </row>
    <row r="404" s="3003" customFormat="1" customHeight="1" spans="10:27">
      <c r="J404" s="3005"/>
      <c r="K404" s="1712"/>
      <c r="L404" s="1712"/>
      <c r="M404" s="1712"/>
      <c r="N404" s="1712"/>
      <c r="O404" s="1712"/>
      <c r="P404" s="1712"/>
      <c r="Q404" s="1712"/>
      <c r="R404" s="1712"/>
      <c r="S404" s="1712"/>
      <c r="T404" s="1712"/>
      <c r="U404" s="1712"/>
      <c r="V404" s="1712"/>
      <c r="W404" s="1712"/>
      <c r="X404" s="1712"/>
      <c r="Y404" s="1712"/>
      <c r="Z404" s="1712"/>
      <c r="AA404" s="1712"/>
    </row>
    <row r="405" s="3003" customFormat="1" customHeight="1" spans="10:27">
      <c r="J405" s="3005"/>
      <c r="K405" s="1712"/>
      <c r="L405" s="1712"/>
      <c r="M405" s="1712"/>
      <c r="N405" s="1712"/>
      <c r="O405" s="1712"/>
      <c r="P405" s="1712"/>
      <c r="Q405" s="1712"/>
      <c r="R405" s="1712"/>
      <c r="S405" s="1712"/>
      <c r="T405" s="1712"/>
      <c r="U405" s="1712"/>
      <c r="V405" s="1712"/>
      <c r="W405" s="1712"/>
      <c r="X405" s="1712"/>
      <c r="Y405" s="1712"/>
      <c r="Z405" s="1712"/>
      <c r="AA405" s="1712"/>
    </row>
    <row r="406" s="3003" customFormat="1" customHeight="1" spans="10:27">
      <c r="J406" s="3005"/>
      <c r="K406" s="1712"/>
      <c r="L406" s="1712"/>
      <c r="M406" s="1712"/>
      <c r="N406" s="1712"/>
      <c r="O406" s="1712"/>
      <c r="P406" s="1712"/>
      <c r="Q406" s="1712"/>
      <c r="R406" s="1712"/>
      <c r="S406" s="1712"/>
      <c r="T406" s="1712"/>
      <c r="U406" s="1712"/>
      <c r="V406" s="1712"/>
      <c r="W406" s="1712"/>
      <c r="X406" s="1712"/>
      <c r="Y406" s="1712"/>
      <c r="Z406" s="1712"/>
      <c r="AA406" s="1712"/>
    </row>
    <row r="407" s="3003" customFormat="1" customHeight="1" spans="10:27">
      <c r="J407" s="3005"/>
      <c r="K407" s="1712"/>
      <c r="L407" s="1712"/>
      <c r="M407" s="1712"/>
      <c r="N407" s="1712"/>
      <c r="O407" s="1712"/>
      <c r="P407" s="1712"/>
      <c r="Q407" s="1712"/>
      <c r="R407" s="1712"/>
      <c r="S407" s="1712"/>
      <c r="T407" s="1712"/>
      <c r="U407" s="1712"/>
      <c r="V407" s="1712"/>
      <c r="W407" s="1712"/>
      <c r="X407" s="1712"/>
      <c r="Y407" s="1712"/>
      <c r="Z407" s="1712"/>
      <c r="AA407" s="1712"/>
    </row>
    <row r="408" s="3003" customFormat="1" customHeight="1" spans="10:27">
      <c r="J408" s="3005"/>
      <c r="K408" s="1712"/>
      <c r="L408" s="1712"/>
      <c r="M408" s="1712"/>
      <c r="N408" s="1712"/>
      <c r="O408" s="1712"/>
      <c r="P408" s="1712"/>
      <c r="Q408" s="1712"/>
      <c r="R408" s="1712"/>
      <c r="S408" s="1712"/>
      <c r="T408" s="1712"/>
      <c r="U408" s="1712"/>
      <c r="V408" s="1712"/>
      <c r="W408" s="1712"/>
      <c r="X408" s="1712"/>
      <c r="Y408" s="1712"/>
      <c r="Z408" s="1712"/>
      <c r="AA408" s="1712"/>
    </row>
    <row r="409" s="3003" customFormat="1" customHeight="1" spans="10:27">
      <c r="J409" s="3005"/>
      <c r="K409" s="1712"/>
      <c r="L409" s="1712"/>
      <c r="M409" s="1712"/>
      <c r="N409" s="1712"/>
      <c r="O409" s="1712"/>
      <c r="P409" s="1712"/>
      <c r="Q409" s="1712"/>
      <c r="R409" s="1712"/>
      <c r="S409" s="1712"/>
      <c r="T409" s="1712"/>
      <c r="U409" s="1712"/>
      <c r="V409" s="1712"/>
      <c r="W409" s="1712"/>
      <c r="X409" s="1712"/>
      <c r="Y409" s="1712"/>
      <c r="Z409" s="1712"/>
      <c r="AA409" s="1712"/>
    </row>
    <row r="410" s="3003" customFormat="1" customHeight="1" spans="10:27">
      <c r="J410" s="3005"/>
      <c r="K410" s="1712"/>
      <c r="L410" s="1712"/>
      <c r="M410" s="1712"/>
      <c r="N410" s="1712"/>
      <c r="O410" s="1712"/>
      <c r="P410" s="1712"/>
      <c r="Q410" s="1712"/>
      <c r="R410" s="1712"/>
      <c r="S410" s="1712"/>
      <c r="T410" s="1712"/>
      <c r="U410" s="1712"/>
      <c r="V410" s="1712"/>
      <c r="W410" s="1712"/>
      <c r="X410" s="1712"/>
      <c r="Y410" s="1712"/>
      <c r="Z410" s="1712"/>
      <c r="AA410" s="1712"/>
    </row>
    <row r="411" s="3003" customFormat="1" customHeight="1" spans="10:27">
      <c r="J411" s="3005"/>
      <c r="K411" s="1712"/>
      <c r="L411" s="1712"/>
      <c r="M411" s="1712"/>
      <c r="N411" s="1712"/>
      <c r="O411" s="1712"/>
      <c r="P411" s="1712"/>
      <c r="Q411" s="1712"/>
      <c r="R411" s="1712"/>
      <c r="S411" s="1712"/>
      <c r="T411" s="1712"/>
      <c r="U411" s="1712"/>
      <c r="V411" s="1712"/>
      <c r="W411" s="1712"/>
      <c r="X411" s="1712"/>
      <c r="Y411" s="1712"/>
      <c r="Z411" s="1712"/>
      <c r="AA411" s="1712"/>
    </row>
    <row r="412" s="3003" customFormat="1" customHeight="1" spans="10:27">
      <c r="J412" s="3005"/>
      <c r="K412" s="1712"/>
      <c r="L412" s="1712"/>
      <c r="M412" s="1712"/>
      <c r="N412" s="1712"/>
      <c r="O412" s="1712"/>
      <c r="P412" s="1712"/>
      <c r="Q412" s="1712"/>
      <c r="R412" s="1712"/>
      <c r="S412" s="1712"/>
      <c r="T412" s="1712"/>
      <c r="U412" s="1712"/>
      <c r="V412" s="1712"/>
      <c r="W412" s="1712"/>
      <c r="X412" s="1712"/>
      <c r="Y412" s="1712"/>
      <c r="Z412" s="1712"/>
      <c r="AA412" s="1712"/>
    </row>
    <row r="413" s="3003" customFormat="1" customHeight="1" spans="10:27">
      <c r="J413" s="3005"/>
      <c r="K413" s="1712"/>
      <c r="L413" s="1712"/>
      <c r="M413" s="1712"/>
      <c r="N413" s="1712"/>
      <c r="O413" s="1712"/>
      <c r="P413" s="1712"/>
      <c r="Q413" s="1712"/>
      <c r="R413" s="1712"/>
      <c r="S413" s="1712"/>
      <c r="T413" s="1712"/>
      <c r="U413" s="1712"/>
      <c r="V413" s="1712"/>
      <c r="W413" s="1712"/>
      <c r="X413" s="1712"/>
      <c r="Y413" s="1712"/>
      <c r="Z413" s="1712"/>
      <c r="AA413" s="1712"/>
    </row>
    <row r="414" s="3003" customFormat="1" customHeight="1" spans="10:27">
      <c r="J414" s="3005"/>
      <c r="K414" s="1712"/>
      <c r="L414" s="1712"/>
      <c r="M414" s="1712"/>
      <c r="N414" s="1712"/>
      <c r="O414" s="1712"/>
      <c r="P414" s="1712"/>
      <c r="Q414" s="1712"/>
      <c r="R414" s="1712"/>
      <c r="S414" s="1712"/>
      <c r="T414" s="1712"/>
      <c r="U414" s="1712"/>
      <c r="V414" s="1712"/>
      <c r="W414" s="1712"/>
      <c r="X414" s="1712"/>
      <c r="Y414" s="1712"/>
      <c r="Z414" s="1712"/>
      <c r="AA414" s="1712"/>
    </row>
    <row r="415" s="3003" customFormat="1" customHeight="1" spans="10:27">
      <c r="J415" s="3005"/>
      <c r="K415" s="1712"/>
      <c r="L415" s="1712"/>
      <c r="M415" s="1712"/>
      <c r="N415" s="1712"/>
      <c r="O415" s="1712"/>
      <c r="P415" s="1712"/>
      <c r="Q415" s="1712"/>
      <c r="R415" s="1712"/>
      <c r="S415" s="1712"/>
      <c r="T415" s="1712"/>
      <c r="U415" s="1712"/>
      <c r="V415" s="1712"/>
      <c r="W415" s="1712"/>
      <c r="X415" s="1712"/>
      <c r="Y415" s="1712"/>
      <c r="Z415" s="1712"/>
      <c r="AA415" s="1712"/>
    </row>
    <row r="416" s="3003" customFormat="1" customHeight="1" spans="10:27">
      <c r="J416" s="3005"/>
      <c r="K416" s="1712"/>
      <c r="L416" s="1712"/>
      <c r="M416" s="1712"/>
      <c r="N416" s="1712"/>
      <c r="O416" s="1712"/>
      <c r="P416" s="1712"/>
      <c r="Q416" s="1712"/>
      <c r="R416" s="1712"/>
      <c r="S416" s="1712"/>
      <c r="T416" s="1712"/>
      <c r="U416" s="1712"/>
      <c r="V416" s="1712"/>
      <c r="W416" s="1712"/>
      <c r="X416" s="1712"/>
      <c r="Y416" s="1712"/>
      <c r="Z416" s="1712"/>
      <c r="AA416" s="1712"/>
    </row>
    <row r="417" s="3003" customFormat="1" customHeight="1" spans="10:27">
      <c r="J417" s="3005"/>
      <c r="K417" s="1712"/>
      <c r="L417" s="1712"/>
      <c r="M417" s="1712"/>
      <c r="N417" s="1712"/>
      <c r="O417" s="1712"/>
      <c r="P417" s="1712"/>
      <c r="Q417" s="1712"/>
      <c r="R417" s="1712"/>
      <c r="S417" s="1712"/>
      <c r="T417" s="1712"/>
      <c r="U417" s="1712"/>
      <c r="V417" s="1712"/>
      <c r="W417" s="1712"/>
      <c r="X417" s="1712"/>
      <c r="Y417" s="1712"/>
      <c r="Z417" s="1712"/>
      <c r="AA417" s="1712"/>
    </row>
    <row r="418" s="3003" customFormat="1" customHeight="1" spans="10:27">
      <c r="J418" s="3005"/>
      <c r="K418" s="1712"/>
      <c r="L418" s="1712"/>
      <c r="M418" s="1712"/>
      <c r="N418" s="1712"/>
      <c r="O418" s="1712"/>
      <c r="P418" s="1712"/>
      <c r="Q418" s="1712"/>
      <c r="R418" s="1712"/>
      <c r="S418" s="1712"/>
      <c r="T418" s="1712"/>
      <c r="U418" s="1712"/>
      <c r="V418" s="1712"/>
      <c r="W418" s="1712"/>
      <c r="X418" s="1712"/>
      <c r="Y418" s="1712"/>
      <c r="Z418" s="1712"/>
      <c r="AA418" s="1712"/>
    </row>
    <row r="419" s="3003" customFormat="1" customHeight="1" spans="10:27">
      <c r="J419" s="3005"/>
      <c r="K419" s="1712"/>
      <c r="L419" s="1712"/>
      <c r="M419" s="1712"/>
      <c r="N419" s="1712"/>
      <c r="O419" s="1712"/>
      <c r="P419" s="1712"/>
      <c r="Q419" s="1712"/>
      <c r="R419" s="1712"/>
      <c r="S419" s="1712"/>
      <c r="T419" s="1712"/>
      <c r="U419" s="1712"/>
      <c r="V419" s="1712"/>
      <c r="W419" s="1712"/>
      <c r="X419" s="1712"/>
      <c r="Y419" s="1712"/>
      <c r="Z419" s="1712"/>
      <c r="AA419" s="1712"/>
    </row>
    <row r="420" s="3003" customFormat="1" customHeight="1" spans="10:27">
      <c r="J420" s="3005"/>
      <c r="K420" s="1712"/>
      <c r="L420" s="1712"/>
      <c r="M420" s="1712"/>
      <c r="N420" s="1712"/>
      <c r="O420" s="1712"/>
      <c r="P420" s="1712"/>
      <c r="Q420" s="1712"/>
      <c r="R420" s="1712"/>
      <c r="S420" s="1712"/>
      <c r="T420" s="1712"/>
      <c r="U420" s="1712"/>
      <c r="V420" s="1712"/>
      <c r="W420" s="1712"/>
      <c r="X420" s="1712"/>
      <c r="Y420" s="1712"/>
      <c r="Z420" s="1712"/>
      <c r="AA420" s="1712"/>
    </row>
    <row r="421" s="3003" customFormat="1" customHeight="1" spans="10:27">
      <c r="J421" s="3005"/>
      <c r="K421" s="1712"/>
      <c r="L421" s="1712"/>
      <c r="M421" s="1712"/>
      <c r="N421" s="1712"/>
      <c r="O421" s="1712"/>
      <c r="P421" s="1712"/>
      <c r="Q421" s="1712"/>
      <c r="R421" s="1712"/>
      <c r="S421" s="1712"/>
      <c r="T421" s="1712"/>
      <c r="U421" s="1712"/>
      <c r="V421" s="1712"/>
      <c r="W421" s="1712"/>
      <c r="X421" s="1712"/>
      <c r="Y421" s="1712"/>
      <c r="Z421" s="1712"/>
      <c r="AA421" s="1712"/>
    </row>
    <row r="422" s="3003" customFormat="1" customHeight="1" spans="10:27">
      <c r="J422" s="3005"/>
      <c r="K422" s="1712"/>
      <c r="L422" s="1712"/>
      <c r="M422" s="1712"/>
      <c r="N422" s="1712"/>
      <c r="O422" s="1712"/>
      <c r="P422" s="1712"/>
      <c r="Q422" s="1712"/>
      <c r="R422" s="1712"/>
      <c r="S422" s="1712"/>
      <c r="T422" s="1712"/>
      <c r="U422" s="1712"/>
      <c r="V422" s="1712"/>
      <c r="W422" s="1712"/>
      <c r="X422" s="1712"/>
      <c r="Y422" s="1712"/>
      <c r="Z422" s="1712"/>
      <c r="AA422" s="1712"/>
    </row>
    <row r="423" s="3003" customFormat="1" customHeight="1" spans="10:27">
      <c r="J423" s="3005"/>
      <c r="K423" s="1712"/>
      <c r="L423" s="1712"/>
      <c r="M423" s="1712"/>
      <c r="N423" s="1712"/>
      <c r="O423" s="1712"/>
      <c r="P423" s="1712"/>
      <c r="Q423" s="1712"/>
      <c r="R423" s="1712"/>
      <c r="S423" s="1712"/>
      <c r="T423" s="1712"/>
      <c r="U423" s="1712"/>
      <c r="V423" s="1712"/>
      <c r="W423" s="1712"/>
      <c r="X423" s="1712"/>
      <c r="Y423" s="1712"/>
      <c r="Z423" s="1712"/>
      <c r="AA423" s="1712"/>
    </row>
    <row r="424" s="3003" customFormat="1" customHeight="1" spans="10:27">
      <c r="J424" s="3005"/>
      <c r="K424" s="1712"/>
      <c r="L424" s="1712"/>
      <c r="M424" s="1712"/>
      <c r="N424" s="1712"/>
      <c r="O424" s="1712"/>
      <c r="P424" s="1712"/>
      <c r="Q424" s="1712"/>
      <c r="R424" s="1712"/>
      <c r="S424" s="1712"/>
      <c r="T424" s="1712"/>
      <c r="U424" s="1712"/>
      <c r="V424" s="1712"/>
      <c r="W424" s="1712"/>
      <c r="X424" s="1712"/>
      <c r="Y424" s="1712"/>
      <c r="Z424" s="1712"/>
      <c r="AA424" s="1712"/>
    </row>
    <row r="425" s="3003" customFormat="1" customHeight="1" spans="10:27">
      <c r="J425" s="3005"/>
      <c r="K425" s="1712"/>
      <c r="L425" s="1712"/>
      <c r="M425" s="1712"/>
      <c r="N425" s="1712"/>
      <c r="O425" s="1712"/>
      <c r="P425" s="1712"/>
      <c r="Q425" s="1712"/>
      <c r="R425" s="1712"/>
      <c r="S425" s="1712"/>
      <c r="T425" s="1712"/>
      <c r="U425" s="1712"/>
      <c r="V425" s="1712"/>
      <c r="W425" s="1712"/>
      <c r="X425" s="1712"/>
      <c r="Y425" s="1712"/>
      <c r="Z425" s="1712"/>
      <c r="AA425" s="1712"/>
    </row>
    <row r="426" s="3003" customFormat="1" customHeight="1" spans="10:27">
      <c r="J426" s="3005"/>
      <c r="K426" s="1712"/>
      <c r="L426" s="1712"/>
      <c r="M426" s="1712"/>
      <c r="N426" s="1712"/>
      <c r="O426" s="1712"/>
      <c r="P426" s="1712"/>
      <c r="Q426" s="1712"/>
      <c r="R426" s="1712"/>
      <c r="S426" s="1712"/>
      <c r="T426" s="1712"/>
      <c r="U426" s="1712"/>
      <c r="V426" s="1712"/>
      <c r="W426" s="1712"/>
      <c r="X426" s="1712"/>
      <c r="Y426" s="1712"/>
      <c r="Z426" s="1712"/>
      <c r="AA426" s="1712"/>
    </row>
    <row r="427" s="3003" customFormat="1" customHeight="1" spans="10:27">
      <c r="J427" s="3005"/>
      <c r="K427" s="1712"/>
      <c r="L427" s="1712"/>
      <c r="M427" s="1712"/>
      <c r="N427" s="1712"/>
      <c r="O427" s="1712"/>
      <c r="P427" s="1712"/>
      <c r="Q427" s="1712"/>
      <c r="R427" s="1712"/>
      <c r="S427" s="1712"/>
      <c r="T427" s="1712"/>
      <c r="U427" s="1712"/>
      <c r="V427" s="1712"/>
      <c r="W427" s="1712"/>
      <c r="X427" s="1712"/>
      <c r="Y427" s="1712"/>
      <c r="Z427" s="1712"/>
      <c r="AA427" s="1712"/>
    </row>
    <row r="428" s="3003" customFormat="1" customHeight="1" spans="10:27">
      <c r="J428" s="3005"/>
      <c r="K428" s="1712"/>
      <c r="L428" s="1712"/>
      <c r="M428" s="1712"/>
      <c r="N428" s="1712"/>
      <c r="O428" s="1712"/>
      <c r="P428" s="1712"/>
      <c r="Q428" s="1712"/>
      <c r="R428" s="1712"/>
      <c r="S428" s="1712"/>
      <c r="T428" s="1712"/>
      <c r="U428" s="1712"/>
      <c r="V428" s="1712"/>
      <c r="W428" s="1712"/>
      <c r="X428" s="1712"/>
      <c r="Y428" s="1712"/>
      <c r="Z428" s="1712"/>
      <c r="AA428" s="1712"/>
    </row>
    <row r="429" s="3003" customFormat="1" customHeight="1" spans="10:27">
      <c r="J429" s="3005"/>
      <c r="K429" s="1712"/>
      <c r="L429" s="1712"/>
      <c r="M429" s="1712"/>
      <c r="N429" s="1712"/>
      <c r="O429" s="1712"/>
      <c r="P429" s="1712"/>
      <c r="Q429" s="1712"/>
      <c r="R429" s="1712"/>
      <c r="S429" s="1712"/>
      <c r="T429" s="1712"/>
      <c r="U429" s="1712"/>
      <c r="V429" s="1712"/>
      <c r="W429" s="1712"/>
      <c r="X429" s="1712"/>
      <c r="Y429" s="1712"/>
      <c r="Z429" s="1712"/>
      <c r="AA429" s="1712"/>
    </row>
    <row r="430" s="3003" customFormat="1" customHeight="1" spans="10:27">
      <c r="J430" s="3005"/>
      <c r="K430" s="1712"/>
      <c r="L430" s="1712"/>
      <c r="M430" s="1712"/>
      <c r="N430" s="1712"/>
      <c r="O430" s="1712"/>
      <c r="P430" s="1712"/>
      <c r="Q430" s="1712"/>
      <c r="R430" s="1712"/>
      <c r="S430" s="1712"/>
      <c r="T430" s="1712"/>
      <c r="U430" s="1712"/>
      <c r="V430" s="1712"/>
      <c r="W430" s="1712"/>
      <c r="X430" s="1712"/>
      <c r="Y430" s="1712"/>
      <c r="Z430" s="1712"/>
      <c r="AA430" s="1712"/>
    </row>
    <row r="431" s="3003" customFormat="1" customHeight="1" spans="10:27">
      <c r="J431" s="3005"/>
      <c r="K431" s="1712"/>
      <c r="L431" s="1712"/>
      <c r="M431" s="1712"/>
      <c r="N431" s="1712"/>
      <c r="O431" s="1712"/>
      <c r="P431" s="1712"/>
      <c r="Q431" s="1712"/>
      <c r="R431" s="1712"/>
      <c r="S431" s="1712"/>
      <c r="T431" s="1712"/>
      <c r="U431" s="1712"/>
      <c r="V431" s="1712"/>
      <c r="W431" s="1712"/>
      <c r="X431" s="1712"/>
      <c r="Y431" s="1712"/>
      <c r="Z431" s="1712"/>
      <c r="AA431" s="1712"/>
    </row>
    <row r="432" s="3003" customFormat="1" customHeight="1" spans="10:27">
      <c r="J432" s="3005"/>
      <c r="K432" s="1712"/>
      <c r="L432" s="1712"/>
      <c r="M432" s="1712"/>
      <c r="N432" s="1712"/>
      <c r="O432" s="1712"/>
      <c r="P432" s="1712"/>
      <c r="Q432" s="1712"/>
      <c r="R432" s="1712"/>
      <c r="S432" s="1712"/>
      <c r="T432" s="1712"/>
      <c r="U432" s="1712"/>
      <c r="V432" s="1712"/>
      <c r="W432" s="1712"/>
      <c r="X432" s="1712"/>
      <c r="Y432" s="1712"/>
      <c r="Z432" s="1712"/>
      <c r="AA432" s="1712"/>
    </row>
    <row r="433" s="3003" customFormat="1" customHeight="1" spans="10:27">
      <c r="J433" s="3005"/>
      <c r="K433" s="1712"/>
      <c r="L433" s="1712"/>
      <c r="M433" s="1712"/>
      <c r="N433" s="1712"/>
      <c r="O433" s="1712"/>
      <c r="P433" s="1712"/>
      <c r="Q433" s="1712"/>
      <c r="R433" s="1712"/>
      <c r="S433" s="1712"/>
      <c r="T433" s="1712"/>
      <c r="U433" s="1712"/>
      <c r="V433" s="1712"/>
      <c r="W433" s="1712"/>
      <c r="X433" s="1712"/>
      <c r="Y433" s="1712"/>
      <c r="Z433" s="1712"/>
      <c r="AA433" s="1712"/>
    </row>
    <row r="434" s="3003" customFormat="1" customHeight="1" spans="10:27">
      <c r="J434" s="3005"/>
      <c r="K434" s="1712"/>
      <c r="L434" s="1712"/>
      <c r="M434" s="1712"/>
      <c r="N434" s="1712"/>
      <c r="O434" s="1712"/>
      <c r="P434" s="1712"/>
      <c r="Q434" s="1712"/>
      <c r="R434" s="1712"/>
      <c r="S434" s="1712"/>
      <c r="T434" s="1712"/>
      <c r="U434" s="1712"/>
      <c r="V434" s="1712"/>
      <c r="W434" s="1712"/>
      <c r="X434" s="1712"/>
      <c r="Y434" s="1712"/>
      <c r="Z434" s="1712"/>
      <c r="AA434" s="1712"/>
    </row>
    <row r="435" s="3003" customFormat="1" customHeight="1" spans="10:27">
      <c r="J435" s="3005"/>
      <c r="K435" s="1712"/>
      <c r="L435" s="1712"/>
      <c r="M435" s="1712"/>
      <c r="N435" s="1712"/>
      <c r="O435" s="1712"/>
      <c r="P435" s="1712"/>
      <c r="Q435" s="1712"/>
      <c r="R435" s="1712"/>
      <c r="S435" s="1712"/>
      <c r="T435" s="1712"/>
      <c r="U435" s="1712"/>
      <c r="V435" s="1712"/>
      <c r="W435" s="1712"/>
      <c r="X435" s="1712"/>
      <c r="Y435" s="1712"/>
      <c r="Z435" s="1712"/>
      <c r="AA435" s="1712"/>
    </row>
    <row r="436" s="3003" customFormat="1" customHeight="1" spans="10:27">
      <c r="J436" s="3005"/>
      <c r="K436" s="1712"/>
      <c r="L436" s="1712"/>
      <c r="M436" s="1712"/>
      <c r="N436" s="1712"/>
      <c r="O436" s="1712"/>
      <c r="P436" s="1712"/>
      <c r="Q436" s="1712"/>
      <c r="R436" s="1712"/>
      <c r="S436" s="1712"/>
      <c r="T436" s="1712"/>
      <c r="U436" s="1712"/>
      <c r="V436" s="1712"/>
      <c r="W436" s="1712"/>
      <c r="X436" s="1712"/>
      <c r="Y436" s="1712"/>
      <c r="Z436" s="1712"/>
      <c r="AA436" s="1712"/>
    </row>
    <row r="437" s="3003" customFormat="1" customHeight="1" spans="10:27">
      <c r="J437" s="3005"/>
      <c r="K437" s="1712"/>
      <c r="L437" s="1712"/>
      <c r="M437" s="1712"/>
      <c r="N437" s="1712"/>
      <c r="O437" s="1712"/>
      <c r="P437" s="1712"/>
      <c r="Q437" s="1712"/>
      <c r="R437" s="1712"/>
      <c r="S437" s="1712"/>
      <c r="T437" s="1712"/>
      <c r="U437" s="1712"/>
      <c r="V437" s="1712"/>
      <c r="W437" s="1712"/>
      <c r="X437" s="1712"/>
      <c r="Y437" s="1712"/>
      <c r="Z437" s="1712"/>
      <c r="AA437" s="1712"/>
    </row>
    <row r="438" s="3003" customFormat="1" customHeight="1" spans="10:27">
      <c r="J438" s="3005"/>
      <c r="K438" s="1712"/>
      <c r="L438" s="1712"/>
      <c r="M438" s="1712"/>
      <c r="N438" s="1712"/>
      <c r="O438" s="1712"/>
      <c r="P438" s="1712"/>
      <c r="Q438" s="1712"/>
      <c r="R438" s="1712"/>
      <c r="S438" s="1712"/>
      <c r="T438" s="1712"/>
      <c r="U438" s="1712"/>
      <c r="V438" s="1712"/>
      <c r="W438" s="1712"/>
      <c r="X438" s="1712"/>
      <c r="Y438" s="1712"/>
      <c r="Z438" s="1712"/>
      <c r="AA438" s="1712"/>
    </row>
    <row r="439" s="3003" customFormat="1" customHeight="1" spans="10:27">
      <c r="J439" s="3005"/>
      <c r="K439" s="1712"/>
      <c r="L439" s="1712"/>
      <c r="M439" s="1712"/>
      <c r="N439" s="1712"/>
      <c r="O439" s="1712"/>
      <c r="P439" s="1712"/>
      <c r="Q439" s="1712"/>
      <c r="R439" s="1712"/>
      <c r="S439" s="1712"/>
      <c r="T439" s="1712"/>
      <c r="U439" s="1712"/>
      <c r="V439" s="1712"/>
      <c r="W439" s="1712"/>
      <c r="X439" s="1712"/>
      <c r="Y439" s="1712"/>
      <c r="Z439" s="1712"/>
      <c r="AA439" s="1712"/>
    </row>
    <row r="440" s="3003" customFormat="1" customHeight="1" spans="10:27">
      <c r="J440" s="3005"/>
      <c r="K440" s="1712"/>
      <c r="L440" s="1712"/>
      <c r="M440" s="1712"/>
      <c r="N440" s="1712"/>
      <c r="O440" s="1712"/>
      <c r="P440" s="1712"/>
      <c r="Q440" s="1712"/>
      <c r="R440" s="1712"/>
      <c r="S440" s="1712"/>
      <c r="T440" s="1712"/>
      <c r="U440" s="1712"/>
      <c r="V440" s="1712"/>
      <c r="W440" s="1712"/>
      <c r="X440" s="1712"/>
      <c r="Y440" s="1712"/>
      <c r="Z440" s="1712"/>
      <c r="AA440" s="1712"/>
    </row>
    <row r="441" s="3003" customFormat="1" customHeight="1" spans="10:27">
      <c r="J441" s="3005"/>
      <c r="K441" s="1712"/>
      <c r="L441" s="1712"/>
      <c r="M441" s="1712"/>
      <c r="N441" s="1712"/>
      <c r="O441" s="1712"/>
      <c r="P441" s="1712"/>
      <c r="Q441" s="1712"/>
      <c r="R441" s="1712"/>
      <c r="S441" s="1712"/>
      <c r="T441" s="1712"/>
      <c r="U441" s="1712"/>
      <c r="V441" s="1712"/>
      <c r="W441" s="1712"/>
      <c r="X441" s="1712"/>
      <c r="Y441" s="1712"/>
      <c r="Z441" s="1712"/>
      <c r="AA441" s="1712"/>
    </row>
    <row r="442" s="3003" customFormat="1" customHeight="1" spans="10:27">
      <c r="J442" s="3005"/>
      <c r="K442" s="1712"/>
      <c r="L442" s="1712"/>
      <c r="M442" s="1712"/>
      <c r="N442" s="1712"/>
      <c r="O442" s="1712"/>
      <c r="P442" s="1712"/>
      <c r="Q442" s="1712"/>
      <c r="R442" s="1712"/>
      <c r="S442" s="1712"/>
      <c r="T442" s="1712"/>
      <c r="U442" s="1712"/>
      <c r="V442" s="1712"/>
      <c r="W442" s="1712"/>
      <c r="X442" s="1712"/>
      <c r="Y442" s="1712"/>
      <c r="Z442" s="1712"/>
      <c r="AA442" s="1712"/>
    </row>
    <row r="443" s="3003" customFormat="1" customHeight="1" spans="10:27">
      <c r="J443" s="3005"/>
      <c r="K443" s="1712"/>
      <c r="L443" s="1712"/>
      <c r="M443" s="1712"/>
      <c r="N443" s="1712"/>
      <c r="O443" s="1712"/>
      <c r="P443" s="1712"/>
      <c r="Q443" s="1712"/>
      <c r="R443" s="1712"/>
      <c r="S443" s="1712"/>
      <c r="T443" s="1712"/>
      <c r="U443" s="1712"/>
      <c r="V443" s="1712"/>
      <c r="W443" s="1712"/>
      <c r="X443" s="1712"/>
      <c r="Y443" s="1712"/>
      <c r="Z443" s="1712"/>
      <c r="AA443" s="1712"/>
    </row>
    <row r="444" s="3003" customFormat="1" customHeight="1" spans="10:27">
      <c r="J444" s="3005"/>
      <c r="K444" s="1712"/>
      <c r="L444" s="1712"/>
      <c r="M444" s="1712"/>
      <c r="N444" s="1712"/>
      <c r="O444" s="1712"/>
      <c r="P444" s="1712"/>
      <c r="Q444" s="1712"/>
      <c r="R444" s="1712"/>
      <c r="S444" s="1712"/>
      <c r="T444" s="1712"/>
      <c r="U444" s="1712"/>
      <c r="V444" s="1712"/>
      <c r="W444" s="1712"/>
      <c r="X444" s="1712"/>
      <c r="Y444" s="1712"/>
      <c r="Z444" s="1712"/>
      <c r="AA444" s="1712"/>
    </row>
    <row r="445" s="3003" customFormat="1" customHeight="1" spans="10:27">
      <c r="J445" s="3005"/>
      <c r="K445" s="1712"/>
      <c r="L445" s="1712"/>
      <c r="M445" s="1712"/>
      <c r="N445" s="1712"/>
      <c r="O445" s="1712"/>
      <c r="P445" s="1712"/>
      <c r="Q445" s="1712"/>
      <c r="R445" s="1712"/>
      <c r="S445" s="1712"/>
      <c r="T445" s="1712"/>
      <c r="U445" s="1712"/>
      <c r="V445" s="1712"/>
      <c r="W445" s="1712"/>
      <c r="X445" s="1712"/>
      <c r="Y445" s="1712"/>
      <c r="Z445" s="1712"/>
      <c r="AA445" s="1712"/>
    </row>
    <row r="446" s="3003" customFormat="1" customHeight="1" spans="10:27">
      <c r="J446" s="3005"/>
      <c r="K446" s="1712"/>
      <c r="L446" s="1712"/>
      <c r="M446" s="1712"/>
      <c r="N446" s="1712"/>
      <c r="O446" s="1712"/>
      <c r="P446" s="1712"/>
      <c r="Q446" s="1712"/>
      <c r="R446" s="1712"/>
      <c r="S446" s="1712"/>
      <c r="T446" s="1712"/>
      <c r="U446" s="1712"/>
      <c r="V446" s="1712"/>
      <c r="W446" s="1712"/>
      <c r="X446" s="1712"/>
      <c r="Y446" s="1712"/>
      <c r="Z446" s="1712"/>
      <c r="AA446" s="1712"/>
    </row>
    <row r="447" s="3003" customFormat="1" customHeight="1" spans="10:27">
      <c r="J447" s="3005"/>
      <c r="K447" s="1712"/>
      <c r="L447" s="1712"/>
      <c r="M447" s="1712"/>
      <c r="N447" s="1712"/>
      <c r="O447" s="1712"/>
      <c r="P447" s="1712"/>
      <c r="Q447" s="1712"/>
      <c r="R447" s="1712"/>
      <c r="S447" s="1712"/>
      <c r="T447" s="1712"/>
      <c r="U447" s="1712"/>
      <c r="V447" s="1712"/>
      <c r="W447" s="1712"/>
      <c r="X447" s="1712"/>
      <c r="Y447" s="1712"/>
      <c r="Z447" s="1712"/>
      <c r="AA447" s="1712"/>
    </row>
    <row r="448" s="3003" customFormat="1" customHeight="1" spans="10:27">
      <c r="J448" s="3005"/>
      <c r="K448" s="1712"/>
      <c r="L448" s="1712"/>
      <c r="M448" s="1712"/>
      <c r="N448" s="1712"/>
      <c r="O448" s="1712"/>
      <c r="P448" s="1712"/>
      <c r="Q448" s="1712"/>
      <c r="R448" s="1712"/>
      <c r="S448" s="1712"/>
      <c r="T448" s="1712"/>
      <c r="U448" s="1712"/>
      <c r="V448" s="1712"/>
      <c r="W448" s="1712"/>
      <c r="X448" s="1712"/>
      <c r="Y448" s="1712"/>
      <c r="Z448" s="1712"/>
      <c r="AA448" s="1712"/>
    </row>
    <row r="449" s="3003" customFormat="1" customHeight="1" spans="10:27">
      <c r="J449" s="3005"/>
      <c r="K449" s="1712"/>
      <c r="L449" s="1712"/>
      <c r="M449" s="1712"/>
      <c r="N449" s="1712"/>
      <c r="O449" s="1712"/>
      <c r="P449" s="1712"/>
      <c r="Q449" s="1712"/>
      <c r="R449" s="1712"/>
      <c r="S449" s="1712"/>
      <c r="T449" s="1712"/>
      <c r="U449" s="1712"/>
      <c r="V449" s="1712"/>
      <c r="W449" s="1712"/>
      <c r="X449" s="1712"/>
      <c r="Y449" s="1712"/>
      <c r="Z449" s="1712"/>
      <c r="AA449" s="1712"/>
    </row>
    <row r="450" s="3003" customFormat="1" customHeight="1" spans="10:27">
      <c r="J450" s="3005"/>
      <c r="K450" s="1712"/>
      <c r="L450" s="1712"/>
      <c r="M450" s="1712"/>
      <c r="N450" s="1712"/>
      <c r="O450" s="1712"/>
      <c r="P450" s="1712"/>
      <c r="Q450" s="1712"/>
      <c r="R450" s="1712"/>
      <c r="S450" s="1712"/>
      <c r="T450" s="1712"/>
      <c r="U450" s="1712"/>
      <c r="V450" s="1712"/>
      <c r="W450" s="1712"/>
      <c r="X450" s="1712"/>
      <c r="Y450" s="1712"/>
      <c r="Z450" s="1712"/>
      <c r="AA450" s="1712"/>
    </row>
    <row r="451" s="3003" customFormat="1" customHeight="1" spans="10:27">
      <c r="J451" s="3005"/>
      <c r="K451" s="1712"/>
      <c r="L451" s="1712"/>
      <c r="M451" s="1712"/>
      <c r="N451" s="1712"/>
      <c r="O451" s="1712"/>
      <c r="P451" s="1712"/>
      <c r="Q451" s="1712"/>
      <c r="R451" s="1712"/>
      <c r="S451" s="1712"/>
      <c r="T451" s="1712"/>
      <c r="U451" s="1712"/>
      <c r="V451" s="1712"/>
      <c r="W451" s="1712"/>
      <c r="X451" s="1712"/>
      <c r="Y451" s="1712"/>
      <c r="Z451" s="1712"/>
      <c r="AA451" s="1712"/>
    </row>
    <row r="452" s="3003" customFormat="1" customHeight="1" spans="10:27">
      <c r="J452" s="3005"/>
      <c r="K452" s="1712"/>
      <c r="L452" s="1712"/>
      <c r="M452" s="1712"/>
      <c r="N452" s="1712"/>
      <c r="O452" s="1712"/>
      <c r="P452" s="1712"/>
      <c r="Q452" s="1712"/>
      <c r="R452" s="1712"/>
      <c r="S452" s="1712"/>
      <c r="T452" s="1712"/>
      <c r="U452" s="1712"/>
      <c r="V452" s="1712"/>
      <c r="W452" s="1712"/>
      <c r="X452" s="1712"/>
      <c r="Y452" s="1712"/>
      <c r="Z452" s="1712"/>
      <c r="AA452" s="1712"/>
    </row>
    <row r="453" s="3003" customFormat="1" customHeight="1" spans="10:27">
      <c r="J453" s="3005"/>
      <c r="K453" s="1712"/>
      <c r="L453" s="1712"/>
      <c r="M453" s="1712"/>
      <c r="N453" s="1712"/>
      <c r="O453" s="1712"/>
      <c r="P453" s="1712"/>
      <c r="Q453" s="1712"/>
      <c r="R453" s="1712"/>
      <c r="S453" s="1712"/>
      <c r="T453" s="1712"/>
      <c r="U453" s="1712"/>
      <c r="V453" s="1712"/>
      <c r="W453" s="1712"/>
      <c r="X453" s="1712"/>
      <c r="Y453" s="1712"/>
      <c r="Z453" s="1712"/>
      <c r="AA453" s="1712"/>
    </row>
    <row r="454" s="3003" customFormat="1" customHeight="1" spans="10:27">
      <c r="J454" s="3005"/>
      <c r="K454" s="1712"/>
      <c r="L454" s="1712"/>
      <c r="M454" s="1712"/>
      <c r="N454" s="1712"/>
      <c r="O454" s="1712"/>
      <c r="P454" s="1712"/>
      <c r="Q454" s="1712"/>
      <c r="R454" s="1712"/>
      <c r="S454" s="1712"/>
      <c r="T454" s="1712"/>
      <c r="U454" s="1712"/>
      <c r="V454" s="1712"/>
      <c r="W454" s="1712"/>
      <c r="X454" s="1712"/>
      <c r="Y454" s="1712"/>
      <c r="Z454" s="1712"/>
      <c r="AA454" s="1712"/>
    </row>
    <row r="455" s="3003" customFormat="1" customHeight="1" spans="10:27">
      <c r="J455" s="3005"/>
      <c r="K455" s="1712"/>
      <c r="L455" s="1712"/>
      <c r="M455" s="1712"/>
      <c r="N455" s="1712"/>
      <c r="O455" s="1712"/>
      <c r="P455" s="1712"/>
      <c r="Q455" s="1712"/>
      <c r="R455" s="1712"/>
      <c r="S455" s="1712"/>
      <c r="T455" s="1712"/>
      <c r="U455" s="1712"/>
      <c r="V455" s="1712"/>
      <c r="W455" s="1712"/>
      <c r="X455" s="1712"/>
      <c r="Y455" s="1712"/>
      <c r="Z455" s="1712"/>
      <c r="AA455" s="1712"/>
    </row>
    <row r="456" s="3003" customFormat="1" customHeight="1" spans="10:27">
      <c r="J456" s="3005"/>
      <c r="K456" s="1712"/>
      <c r="L456" s="1712"/>
      <c r="M456" s="1712"/>
      <c r="N456" s="1712"/>
      <c r="O456" s="1712"/>
      <c r="P456" s="1712"/>
      <c r="Q456" s="1712"/>
      <c r="R456" s="1712"/>
      <c r="S456" s="1712"/>
      <c r="T456" s="1712"/>
      <c r="U456" s="1712"/>
      <c r="V456" s="1712"/>
      <c r="W456" s="1712"/>
      <c r="X456" s="1712"/>
      <c r="Y456" s="1712"/>
      <c r="Z456" s="1712"/>
      <c r="AA456" s="1712"/>
    </row>
    <row r="457" s="3003" customFormat="1" customHeight="1" spans="10:27">
      <c r="J457" s="3005"/>
      <c r="K457" s="1712"/>
      <c r="L457" s="1712"/>
      <c r="M457" s="1712"/>
      <c r="N457" s="1712"/>
      <c r="O457" s="1712"/>
      <c r="P457" s="1712"/>
      <c r="Q457" s="1712"/>
      <c r="R457" s="1712"/>
      <c r="S457" s="1712"/>
      <c r="T457" s="1712"/>
      <c r="U457" s="1712"/>
      <c r="V457" s="1712"/>
      <c r="W457" s="1712"/>
      <c r="X457" s="1712"/>
      <c r="Y457" s="1712"/>
      <c r="Z457" s="1712"/>
      <c r="AA457" s="1712"/>
    </row>
    <row r="458" s="3003" customFormat="1" customHeight="1" spans="10:27">
      <c r="J458" s="3005"/>
      <c r="K458" s="1712"/>
      <c r="L458" s="1712"/>
      <c r="M458" s="1712"/>
      <c r="N458" s="1712"/>
      <c r="O458" s="1712"/>
      <c r="P458" s="1712"/>
      <c r="Q458" s="1712"/>
      <c r="R458" s="1712"/>
      <c r="S458" s="1712"/>
      <c r="T458" s="1712"/>
      <c r="U458" s="1712"/>
      <c r="V458" s="1712"/>
      <c r="W458" s="1712"/>
      <c r="X458" s="1712"/>
      <c r="Y458" s="1712"/>
      <c r="Z458" s="1712"/>
      <c r="AA458" s="1712"/>
    </row>
    <row r="459" s="3003" customFormat="1" customHeight="1" spans="10:27">
      <c r="J459" s="3005"/>
      <c r="K459" s="1712"/>
      <c r="L459" s="1712"/>
      <c r="M459" s="1712"/>
      <c r="N459" s="1712"/>
      <c r="O459" s="1712"/>
      <c r="P459" s="1712"/>
      <c r="Q459" s="1712"/>
      <c r="R459" s="1712"/>
      <c r="S459" s="1712"/>
      <c r="T459" s="1712"/>
      <c r="U459" s="1712"/>
      <c r="V459" s="1712"/>
      <c r="W459" s="1712"/>
      <c r="X459" s="1712"/>
      <c r="Y459" s="1712"/>
      <c r="Z459" s="1712"/>
      <c r="AA459" s="1712"/>
    </row>
    <row r="460" s="3003" customFormat="1" customHeight="1" spans="10:27">
      <c r="J460" s="3005"/>
      <c r="K460" s="1712"/>
      <c r="L460" s="1712"/>
      <c r="M460" s="1712"/>
      <c r="N460" s="1712"/>
      <c r="O460" s="1712"/>
      <c r="P460" s="1712"/>
      <c r="Q460" s="1712"/>
      <c r="R460" s="1712"/>
      <c r="S460" s="1712"/>
      <c r="T460" s="1712"/>
      <c r="U460" s="1712"/>
      <c r="V460" s="1712"/>
      <c r="W460" s="1712"/>
      <c r="X460" s="1712"/>
      <c r="Y460" s="1712"/>
      <c r="Z460" s="1712"/>
      <c r="AA460" s="1712"/>
    </row>
    <row r="461" s="3003" customFormat="1" customHeight="1" spans="10:27">
      <c r="J461" s="3005"/>
      <c r="K461" s="1712"/>
      <c r="L461" s="1712"/>
      <c r="M461" s="1712"/>
      <c r="N461" s="1712"/>
      <c r="O461" s="1712"/>
      <c r="P461" s="1712"/>
      <c r="Q461" s="1712"/>
      <c r="R461" s="1712"/>
      <c r="S461" s="1712"/>
      <c r="T461" s="1712"/>
      <c r="U461" s="1712"/>
      <c r="V461" s="1712"/>
      <c r="W461" s="1712"/>
      <c r="X461" s="1712"/>
      <c r="Y461" s="1712"/>
      <c r="Z461" s="1712"/>
      <c r="AA461" s="1712"/>
    </row>
    <row r="462" s="3003" customFormat="1" customHeight="1" spans="10:27">
      <c r="J462" s="3005"/>
      <c r="K462" s="1712"/>
      <c r="L462" s="1712"/>
      <c r="M462" s="1712"/>
      <c r="N462" s="1712"/>
      <c r="O462" s="1712"/>
      <c r="P462" s="1712"/>
      <c r="Q462" s="1712"/>
      <c r="R462" s="1712"/>
      <c r="S462" s="1712"/>
      <c r="T462" s="1712"/>
      <c r="U462" s="1712"/>
      <c r="V462" s="1712"/>
      <c r="W462" s="1712"/>
      <c r="X462" s="1712"/>
      <c r="Y462" s="1712"/>
      <c r="Z462" s="1712"/>
      <c r="AA462" s="1712"/>
    </row>
    <row r="463" s="3003" customFormat="1" customHeight="1" spans="10:27">
      <c r="J463" s="3005"/>
      <c r="K463" s="1712"/>
      <c r="L463" s="1712"/>
      <c r="M463" s="1712"/>
      <c r="N463" s="1712"/>
      <c r="O463" s="1712"/>
      <c r="P463" s="1712"/>
      <c r="Q463" s="1712"/>
      <c r="R463" s="1712"/>
      <c r="S463" s="1712"/>
      <c r="T463" s="1712"/>
      <c r="U463" s="1712"/>
      <c r="V463" s="1712"/>
      <c r="W463" s="1712"/>
      <c r="X463" s="1712"/>
      <c r="Y463" s="1712"/>
      <c r="Z463" s="1712"/>
      <c r="AA463" s="1712"/>
    </row>
    <row r="464" s="3003" customFormat="1" customHeight="1" spans="10:27">
      <c r="J464" s="3005"/>
      <c r="K464" s="1712"/>
      <c r="L464" s="1712"/>
      <c r="M464" s="1712"/>
      <c r="N464" s="1712"/>
      <c r="O464" s="1712"/>
      <c r="P464" s="1712"/>
      <c r="Q464" s="1712"/>
      <c r="R464" s="1712"/>
      <c r="S464" s="1712"/>
      <c r="T464" s="1712"/>
      <c r="U464" s="1712"/>
      <c r="V464" s="1712"/>
      <c r="W464" s="1712"/>
      <c r="X464" s="1712"/>
      <c r="Y464" s="1712"/>
      <c r="Z464" s="1712"/>
      <c r="AA464" s="1712"/>
    </row>
    <row r="465" s="3003" customFormat="1" customHeight="1" spans="10:27">
      <c r="J465" s="3005"/>
      <c r="K465" s="1712"/>
      <c r="L465" s="1712"/>
      <c r="M465" s="1712"/>
      <c r="N465" s="1712"/>
      <c r="O465" s="1712"/>
      <c r="P465" s="1712"/>
      <c r="Q465" s="1712"/>
      <c r="R465" s="1712"/>
      <c r="S465" s="1712"/>
      <c r="T465" s="1712"/>
      <c r="U465" s="1712"/>
      <c r="V465" s="1712"/>
      <c r="W465" s="1712"/>
      <c r="X465" s="1712"/>
      <c r="Y465" s="1712"/>
      <c r="Z465" s="1712"/>
      <c r="AA465" s="1712"/>
    </row>
    <row r="466" s="3003" customFormat="1" customHeight="1" spans="10:27">
      <c r="J466" s="3005"/>
      <c r="K466" s="1712"/>
      <c r="L466" s="1712"/>
      <c r="M466" s="1712"/>
      <c r="N466" s="1712"/>
      <c r="O466" s="1712"/>
      <c r="P466" s="1712"/>
      <c r="Q466" s="1712"/>
      <c r="R466" s="1712"/>
      <c r="S466" s="1712"/>
      <c r="T466" s="1712"/>
      <c r="U466" s="1712"/>
      <c r="V466" s="1712"/>
      <c r="W466" s="1712"/>
      <c r="X466" s="1712"/>
      <c r="Y466" s="1712"/>
      <c r="Z466" s="1712"/>
      <c r="AA466" s="1712"/>
    </row>
    <row r="467" s="3003" customFormat="1" customHeight="1" spans="10:27">
      <c r="J467" s="3005"/>
      <c r="K467" s="1712"/>
      <c r="L467" s="1712"/>
      <c r="M467" s="1712"/>
      <c r="N467" s="1712"/>
      <c r="O467" s="1712"/>
      <c r="P467" s="1712"/>
      <c r="Q467" s="1712"/>
      <c r="R467" s="1712"/>
      <c r="S467" s="1712"/>
      <c r="T467" s="1712"/>
      <c r="U467" s="1712"/>
      <c r="V467" s="1712"/>
      <c r="W467" s="1712"/>
      <c r="X467" s="1712"/>
      <c r="Y467" s="1712"/>
      <c r="Z467" s="1712"/>
      <c r="AA467" s="1712"/>
    </row>
    <row r="468" s="3003" customFormat="1" customHeight="1" spans="10:27">
      <c r="J468" s="3005"/>
      <c r="K468" s="1712"/>
      <c r="L468" s="1712"/>
      <c r="M468" s="1712"/>
      <c r="N468" s="1712"/>
      <c r="O468" s="1712"/>
      <c r="P468" s="1712"/>
      <c r="Q468" s="1712"/>
      <c r="R468" s="1712"/>
      <c r="S468" s="1712"/>
      <c r="T468" s="1712"/>
      <c r="U468" s="1712"/>
      <c r="V468" s="1712"/>
      <c r="W468" s="1712"/>
      <c r="X468" s="1712"/>
      <c r="Y468" s="1712"/>
      <c r="Z468" s="1712"/>
      <c r="AA468" s="1712"/>
    </row>
    <row r="469" s="3003" customFormat="1" customHeight="1" spans="10:27">
      <c r="J469" s="3005"/>
      <c r="K469" s="1712"/>
      <c r="L469" s="1712"/>
      <c r="M469" s="1712"/>
      <c r="N469" s="1712"/>
      <c r="O469" s="1712"/>
      <c r="P469" s="1712"/>
      <c r="Q469" s="1712"/>
      <c r="R469" s="1712"/>
      <c r="S469" s="1712"/>
      <c r="T469" s="1712"/>
      <c r="U469" s="1712"/>
      <c r="V469" s="1712"/>
      <c r="W469" s="1712"/>
      <c r="X469" s="1712"/>
      <c r="Y469" s="1712"/>
      <c r="Z469" s="1712"/>
      <c r="AA469" s="1712"/>
    </row>
    <row r="470" s="3003" customFormat="1" customHeight="1" spans="10:27">
      <c r="J470" s="3005"/>
      <c r="K470" s="1712"/>
      <c r="L470" s="1712"/>
      <c r="M470" s="1712"/>
      <c r="N470" s="1712"/>
      <c r="O470" s="1712"/>
      <c r="P470" s="1712"/>
      <c r="Q470" s="1712"/>
      <c r="R470" s="1712"/>
      <c r="S470" s="1712"/>
      <c r="T470" s="1712"/>
      <c r="U470" s="1712"/>
      <c r="V470" s="1712"/>
      <c r="W470" s="1712"/>
      <c r="X470" s="1712"/>
      <c r="Y470" s="1712"/>
      <c r="Z470" s="1712"/>
      <c r="AA470" s="1712"/>
    </row>
    <row r="471" s="3003" customFormat="1" customHeight="1" spans="10:27">
      <c r="J471" s="3005"/>
      <c r="K471" s="1712"/>
      <c r="L471" s="1712"/>
      <c r="M471" s="1712"/>
      <c r="N471" s="1712"/>
      <c r="O471" s="1712"/>
      <c r="P471" s="1712"/>
      <c r="Q471" s="1712"/>
      <c r="R471" s="1712"/>
      <c r="S471" s="1712"/>
      <c r="T471" s="1712"/>
      <c r="U471" s="1712"/>
      <c r="V471" s="1712"/>
      <c r="W471" s="1712"/>
      <c r="X471" s="1712"/>
      <c r="Y471" s="1712"/>
      <c r="Z471" s="1712"/>
      <c r="AA471" s="1712"/>
    </row>
    <row r="472" s="3003" customFormat="1" customHeight="1" spans="10:27">
      <c r="J472" s="3005"/>
      <c r="K472" s="1712"/>
      <c r="L472" s="1712"/>
      <c r="M472" s="1712"/>
      <c r="N472" s="1712"/>
      <c r="O472" s="1712"/>
      <c r="P472" s="1712"/>
      <c r="Q472" s="1712"/>
      <c r="R472" s="1712"/>
      <c r="S472" s="1712"/>
      <c r="T472" s="1712"/>
      <c r="U472" s="1712"/>
      <c r="V472" s="1712"/>
      <c r="W472" s="1712"/>
      <c r="X472" s="1712"/>
      <c r="Y472" s="1712"/>
      <c r="Z472" s="1712"/>
      <c r="AA472" s="1712"/>
    </row>
    <row r="473" s="3003" customFormat="1" customHeight="1" spans="10:27">
      <c r="J473" s="3005"/>
      <c r="K473" s="1712"/>
      <c r="L473" s="1712"/>
      <c r="M473" s="1712"/>
      <c r="N473" s="1712"/>
      <c r="O473" s="1712"/>
      <c r="P473" s="1712"/>
      <c r="Q473" s="1712"/>
      <c r="R473" s="1712"/>
      <c r="S473" s="1712"/>
      <c r="T473" s="1712"/>
      <c r="U473" s="1712"/>
      <c r="V473" s="1712"/>
      <c r="W473" s="1712"/>
      <c r="X473" s="1712"/>
      <c r="Y473" s="1712"/>
      <c r="Z473" s="1712"/>
      <c r="AA473" s="1712"/>
    </row>
    <row r="474" s="3003" customFormat="1" customHeight="1" spans="10:27">
      <c r="J474" s="3005"/>
      <c r="K474" s="1712"/>
      <c r="L474" s="1712"/>
      <c r="M474" s="1712"/>
      <c r="N474" s="1712"/>
      <c r="O474" s="1712"/>
      <c r="P474" s="1712"/>
      <c r="Q474" s="1712"/>
      <c r="R474" s="1712"/>
      <c r="S474" s="1712"/>
      <c r="T474" s="1712"/>
      <c r="U474" s="1712"/>
      <c r="V474" s="1712"/>
      <c r="W474" s="1712"/>
      <c r="X474" s="1712"/>
      <c r="Y474" s="1712"/>
      <c r="Z474" s="1712"/>
      <c r="AA474" s="1712"/>
    </row>
    <row r="475" s="3003" customFormat="1" customHeight="1" spans="10:27">
      <c r="J475" s="3005"/>
      <c r="K475" s="1712"/>
      <c r="L475" s="1712"/>
      <c r="M475" s="1712"/>
      <c r="N475" s="1712"/>
      <c r="O475" s="1712"/>
      <c r="P475" s="1712"/>
      <c r="Q475" s="1712"/>
      <c r="R475" s="1712"/>
      <c r="S475" s="1712"/>
      <c r="T475" s="1712"/>
      <c r="U475" s="1712"/>
      <c r="V475" s="1712"/>
      <c r="W475" s="1712"/>
      <c r="X475" s="1712"/>
      <c r="Y475" s="1712"/>
      <c r="Z475" s="1712"/>
      <c r="AA475" s="1712"/>
    </row>
    <row r="476" s="3003" customFormat="1" customHeight="1" spans="10:27">
      <c r="J476" s="3005"/>
      <c r="K476" s="1712"/>
      <c r="L476" s="1712"/>
      <c r="M476" s="1712"/>
      <c r="N476" s="1712"/>
      <c r="O476" s="1712"/>
      <c r="P476" s="1712"/>
      <c r="Q476" s="1712"/>
      <c r="R476" s="1712"/>
      <c r="S476" s="1712"/>
      <c r="T476" s="1712"/>
      <c r="U476" s="1712"/>
      <c r="V476" s="1712"/>
      <c r="W476" s="1712"/>
      <c r="X476" s="1712"/>
      <c r="Y476" s="1712"/>
      <c r="Z476" s="1712"/>
      <c r="AA476" s="1712"/>
    </row>
    <row r="477" s="3003" customFormat="1" customHeight="1" spans="10:27">
      <c r="J477" s="3005"/>
      <c r="K477" s="1712"/>
      <c r="L477" s="1712"/>
      <c r="M477" s="1712"/>
      <c r="N477" s="1712"/>
      <c r="O477" s="1712"/>
      <c r="P477" s="1712"/>
      <c r="Q477" s="1712"/>
      <c r="R477" s="1712"/>
      <c r="S477" s="1712"/>
      <c r="T477" s="1712"/>
      <c r="U477" s="1712"/>
      <c r="V477" s="1712"/>
      <c r="W477" s="1712"/>
      <c r="X477" s="1712"/>
      <c r="Y477" s="1712"/>
      <c r="Z477" s="1712"/>
      <c r="AA477" s="1712"/>
    </row>
    <row r="478" s="3003" customFormat="1" customHeight="1" spans="10:27">
      <c r="J478" s="3005"/>
      <c r="K478" s="1712"/>
      <c r="L478" s="1712"/>
      <c r="M478" s="1712"/>
      <c r="N478" s="1712"/>
      <c r="O478" s="1712"/>
      <c r="P478" s="1712"/>
      <c r="Q478" s="1712"/>
      <c r="R478" s="1712"/>
      <c r="S478" s="1712"/>
      <c r="T478" s="1712"/>
      <c r="U478" s="1712"/>
      <c r="V478" s="1712"/>
      <c r="W478" s="1712"/>
      <c r="X478" s="1712"/>
      <c r="Y478" s="1712"/>
      <c r="Z478" s="1712"/>
      <c r="AA478" s="1712"/>
    </row>
    <row r="479" s="3003" customFormat="1" customHeight="1" spans="10:27">
      <c r="J479" s="3005"/>
      <c r="K479" s="1712"/>
      <c r="L479" s="1712"/>
      <c r="M479" s="1712"/>
      <c r="N479" s="1712"/>
      <c r="O479" s="1712"/>
      <c r="P479" s="1712"/>
      <c r="Q479" s="1712"/>
      <c r="R479" s="1712"/>
      <c r="S479" s="1712"/>
      <c r="T479" s="1712"/>
      <c r="U479" s="1712"/>
      <c r="V479" s="1712"/>
      <c r="W479" s="1712"/>
      <c r="X479" s="1712"/>
      <c r="Y479" s="1712"/>
      <c r="Z479" s="1712"/>
      <c r="AA479" s="1712"/>
    </row>
    <row r="480" s="3003" customFormat="1" customHeight="1" spans="10:27">
      <c r="J480" s="3005"/>
      <c r="K480" s="1712"/>
      <c r="L480" s="1712"/>
      <c r="M480" s="1712"/>
      <c r="N480" s="1712"/>
      <c r="O480" s="1712"/>
      <c r="P480" s="1712"/>
      <c r="Q480" s="1712"/>
      <c r="R480" s="1712"/>
      <c r="S480" s="1712"/>
      <c r="T480" s="1712"/>
      <c r="U480" s="1712"/>
      <c r="V480" s="1712"/>
      <c r="W480" s="1712"/>
      <c r="X480" s="1712"/>
      <c r="Y480" s="1712"/>
      <c r="Z480" s="1712"/>
      <c r="AA480" s="1712"/>
    </row>
    <row r="481" s="3003" customFormat="1" customHeight="1" spans="10:27">
      <c r="J481" s="3005"/>
      <c r="K481" s="1712"/>
      <c r="L481" s="1712"/>
      <c r="M481" s="1712"/>
      <c r="N481" s="1712"/>
      <c r="O481" s="1712"/>
      <c r="P481" s="1712"/>
      <c r="Q481" s="1712"/>
      <c r="R481" s="1712"/>
      <c r="S481" s="1712"/>
      <c r="T481" s="1712"/>
      <c r="U481" s="1712"/>
      <c r="V481" s="1712"/>
      <c r="W481" s="1712"/>
      <c r="X481" s="1712"/>
      <c r="Y481" s="1712"/>
      <c r="Z481" s="1712"/>
      <c r="AA481" s="1712"/>
    </row>
    <row r="482" s="3003" customFormat="1" customHeight="1" spans="10:27">
      <c r="J482" s="3005"/>
      <c r="K482" s="1712"/>
      <c r="L482" s="1712"/>
      <c r="M482" s="1712"/>
      <c r="N482" s="1712"/>
      <c r="O482" s="1712"/>
      <c r="P482" s="1712"/>
      <c r="Q482" s="1712"/>
      <c r="R482" s="1712"/>
      <c r="S482" s="1712"/>
      <c r="T482" s="1712"/>
      <c r="U482" s="1712"/>
      <c r="V482" s="1712"/>
      <c r="W482" s="1712"/>
      <c r="X482" s="1712"/>
      <c r="Y482" s="1712"/>
      <c r="Z482" s="1712"/>
      <c r="AA482" s="1712"/>
    </row>
    <row r="483" s="3003" customFormat="1" customHeight="1" spans="10:27">
      <c r="J483" s="3005"/>
      <c r="K483" s="1712"/>
      <c r="L483" s="1712"/>
      <c r="M483" s="1712"/>
      <c r="N483" s="1712"/>
      <c r="O483" s="1712"/>
      <c r="P483" s="1712"/>
      <c r="Q483" s="1712"/>
      <c r="R483" s="1712"/>
      <c r="S483" s="1712"/>
      <c r="T483" s="1712"/>
      <c r="U483" s="1712"/>
      <c r="V483" s="1712"/>
      <c r="W483" s="1712"/>
      <c r="X483" s="1712"/>
      <c r="Y483" s="1712"/>
      <c r="Z483" s="1712"/>
      <c r="AA483" s="1712"/>
    </row>
    <row r="484" s="3003" customFormat="1" customHeight="1" spans="10:27">
      <c r="J484" s="3005"/>
      <c r="K484" s="1712"/>
      <c r="L484" s="1712"/>
      <c r="M484" s="1712"/>
      <c r="N484" s="1712"/>
      <c r="O484" s="1712"/>
      <c r="P484" s="1712"/>
      <c r="Q484" s="1712"/>
      <c r="R484" s="1712"/>
      <c r="S484" s="1712"/>
      <c r="T484" s="1712"/>
      <c r="U484" s="1712"/>
      <c r="V484" s="1712"/>
      <c r="W484" s="1712"/>
      <c r="X484" s="1712"/>
      <c r="Y484" s="1712"/>
      <c r="Z484" s="1712"/>
      <c r="AA484" s="1712"/>
    </row>
    <row r="485" s="3003" customFormat="1" customHeight="1" spans="10:27">
      <c r="J485" s="3005"/>
      <c r="K485" s="1712"/>
      <c r="L485" s="1712"/>
      <c r="M485" s="1712"/>
      <c r="N485" s="1712"/>
      <c r="O485" s="1712"/>
      <c r="P485" s="1712"/>
      <c r="Q485" s="1712"/>
      <c r="R485" s="1712"/>
      <c r="S485" s="1712"/>
      <c r="T485" s="1712"/>
      <c r="U485" s="1712"/>
      <c r="V485" s="1712"/>
      <c r="W485" s="1712"/>
      <c r="X485" s="1712"/>
      <c r="Y485" s="1712"/>
      <c r="Z485" s="1712"/>
      <c r="AA485" s="1712"/>
    </row>
    <row r="486" s="3003" customFormat="1" customHeight="1" spans="10:27">
      <c r="J486" s="3005"/>
      <c r="K486" s="1712"/>
      <c r="L486" s="1712"/>
      <c r="M486" s="1712"/>
      <c r="N486" s="1712"/>
      <c r="O486" s="1712"/>
      <c r="P486" s="1712"/>
      <c r="Q486" s="1712"/>
      <c r="R486" s="1712"/>
      <c r="S486" s="1712"/>
      <c r="T486" s="1712"/>
      <c r="U486" s="1712"/>
      <c r="V486" s="1712"/>
      <c r="W486" s="1712"/>
      <c r="X486" s="1712"/>
      <c r="Y486" s="1712"/>
      <c r="Z486" s="1712"/>
      <c r="AA486" s="1712"/>
    </row>
    <row r="487" s="3003" customFormat="1" customHeight="1" spans="10:27">
      <c r="J487" s="3005"/>
      <c r="K487" s="1712"/>
      <c r="L487" s="1712"/>
      <c r="M487" s="1712"/>
      <c r="N487" s="1712"/>
      <c r="O487" s="1712"/>
      <c r="P487" s="1712"/>
      <c r="Q487" s="1712"/>
      <c r="R487" s="1712"/>
      <c r="S487" s="1712"/>
      <c r="T487" s="1712"/>
      <c r="U487" s="1712"/>
      <c r="V487" s="1712"/>
      <c r="W487" s="1712"/>
      <c r="X487" s="1712"/>
      <c r="Y487" s="1712"/>
      <c r="Z487" s="1712"/>
      <c r="AA487" s="1712"/>
    </row>
    <row r="488" s="3003" customFormat="1" customHeight="1" spans="10:27">
      <c r="J488" s="3005"/>
      <c r="K488" s="1712"/>
      <c r="L488" s="1712"/>
      <c r="M488" s="1712"/>
      <c r="N488" s="1712"/>
      <c r="O488" s="1712"/>
      <c r="P488" s="1712"/>
      <c r="Q488" s="1712"/>
      <c r="R488" s="1712"/>
      <c r="S488" s="1712"/>
      <c r="T488" s="1712"/>
      <c r="U488" s="1712"/>
      <c r="V488" s="1712"/>
      <c r="W488" s="1712"/>
      <c r="X488" s="1712"/>
      <c r="Y488" s="1712"/>
      <c r="Z488" s="1712"/>
      <c r="AA488" s="1712"/>
    </row>
    <row r="489" s="3003" customFormat="1" customHeight="1" spans="10:27">
      <c r="J489" s="3005"/>
      <c r="K489" s="1712"/>
      <c r="L489" s="1712"/>
      <c r="M489" s="1712"/>
      <c r="N489" s="1712"/>
      <c r="O489" s="1712"/>
      <c r="P489" s="1712"/>
      <c r="Q489" s="1712"/>
      <c r="R489" s="1712"/>
      <c r="S489" s="1712"/>
      <c r="T489" s="1712"/>
      <c r="U489" s="1712"/>
      <c r="V489" s="1712"/>
      <c r="W489" s="1712"/>
      <c r="X489" s="1712"/>
      <c r="Y489" s="1712"/>
      <c r="Z489" s="1712"/>
      <c r="AA489" s="1712"/>
    </row>
    <row r="490" s="3003" customFormat="1" customHeight="1" spans="10:27">
      <c r="J490" s="3005"/>
      <c r="K490" s="1712"/>
      <c r="L490" s="1712"/>
      <c r="M490" s="1712"/>
      <c r="N490" s="1712"/>
      <c r="O490" s="1712"/>
      <c r="P490" s="1712"/>
      <c r="Q490" s="1712"/>
      <c r="R490" s="1712"/>
      <c r="S490" s="1712"/>
      <c r="T490" s="1712"/>
      <c r="U490" s="1712"/>
      <c r="V490" s="1712"/>
      <c r="W490" s="1712"/>
      <c r="X490" s="1712"/>
      <c r="Y490" s="1712"/>
      <c r="Z490" s="1712"/>
      <c r="AA490" s="1712"/>
    </row>
    <row r="491" s="3003" customFormat="1" customHeight="1" spans="10:27">
      <c r="J491" s="3005"/>
      <c r="K491" s="1712"/>
      <c r="L491" s="1712"/>
      <c r="M491" s="1712"/>
      <c r="N491" s="1712"/>
      <c r="O491" s="1712"/>
      <c r="P491" s="1712"/>
      <c r="Q491" s="1712"/>
      <c r="R491" s="1712"/>
      <c r="S491" s="1712"/>
      <c r="T491" s="1712"/>
      <c r="U491" s="1712"/>
      <c r="V491" s="1712"/>
      <c r="W491" s="1712"/>
      <c r="X491" s="1712"/>
      <c r="Y491" s="1712"/>
      <c r="Z491" s="1712"/>
      <c r="AA491" s="1712"/>
    </row>
    <row r="492" s="3003" customFormat="1" customHeight="1" spans="10:27">
      <c r="J492" s="3005"/>
      <c r="K492" s="1712"/>
      <c r="L492" s="1712"/>
      <c r="M492" s="1712"/>
      <c r="N492" s="1712"/>
      <c r="O492" s="1712"/>
      <c r="P492" s="1712"/>
      <c r="Q492" s="1712"/>
      <c r="R492" s="1712"/>
      <c r="S492" s="1712"/>
      <c r="T492" s="1712"/>
      <c r="U492" s="1712"/>
      <c r="V492" s="1712"/>
      <c r="W492" s="1712"/>
      <c r="X492" s="1712"/>
      <c r="Y492" s="1712"/>
      <c r="Z492" s="1712"/>
      <c r="AA492" s="1712"/>
    </row>
    <row r="493" s="3003" customFormat="1" customHeight="1" spans="10:27">
      <c r="J493" s="3005"/>
      <c r="K493" s="1712"/>
      <c r="L493" s="1712"/>
      <c r="M493" s="1712"/>
      <c r="N493" s="1712"/>
      <c r="O493" s="1712"/>
      <c r="P493" s="1712"/>
      <c r="Q493" s="1712"/>
      <c r="R493" s="1712"/>
      <c r="S493" s="1712"/>
      <c r="T493" s="1712"/>
      <c r="U493" s="1712"/>
      <c r="V493" s="1712"/>
      <c r="W493" s="1712"/>
      <c r="X493" s="1712"/>
      <c r="Y493" s="1712"/>
      <c r="Z493" s="1712"/>
      <c r="AA493" s="1712"/>
    </row>
    <row r="494" s="3003" customFormat="1" customHeight="1" spans="10:27">
      <c r="J494" s="3005"/>
      <c r="K494" s="1712"/>
      <c r="L494" s="1712"/>
      <c r="M494" s="1712"/>
      <c r="N494" s="1712"/>
      <c r="O494" s="1712"/>
      <c r="P494" s="1712"/>
      <c r="Q494" s="1712"/>
      <c r="R494" s="1712"/>
      <c r="S494" s="1712"/>
      <c r="T494" s="1712"/>
      <c r="U494" s="1712"/>
      <c r="V494" s="1712"/>
      <c r="W494" s="1712"/>
      <c r="X494" s="1712"/>
      <c r="Y494" s="1712"/>
      <c r="Z494" s="1712"/>
      <c r="AA494" s="1712"/>
    </row>
    <row r="495" s="3003" customFormat="1" customHeight="1" spans="10:27">
      <c r="J495" s="3005"/>
      <c r="K495" s="1712"/>
      <c r="L495" s="1712"/>
      <c r="M495" s="1712"/>
      <c r="N495" s="1712"/>
      <c r="O495" s="1712"/>
      <c r="P495" s="1712"/>
      <c r="Q495" s="1712"/>
      <c r="R495" s="1712"/>
      <c r="S495" s="1712"/>
      <c r="T495" s="1712"/>
      <c r="U495" s="1712"/>
      <c r="V495" s="1712"/>
      <c r="W495" s="1712"/>
      <c r="X495" s="1712"/>
      <c r="Y495" s="1712"/>
      <c r="Z495" s="1712"/>
      <c r="AA495" s="1712"/>
    </row>
    <row r="496" s="3003" customFormat="1" customHeight="1" spans="10:27">
      <c r="J496" s="3005"/>
      <c r="K496" s="1712"/>
      <c r="L496" s="1712"/>
      <c r="M496" s="1712"/>
      <c r="N496" s="1712"/>
      <c r="O496" s="1712"/>
      <c r="P496" s="1712"/>
      <c r="Q496" s="1712"/>
      <c r="R496" s="1712"/>
      <c r="S496" s="1712"/>
      <c r="T496" s="1712"/>
      <c r="U496" s="1712"/>
      <c r="V496" s="1712"/>
      <c r="W496" s="1712"/>
      <c r="X496" s="1712"/>
      <c r="Y496" s="1712"/>
      <c r="Z496" s="1712"/>
      <c r="AA496" s="1712"/>
    </row>
    <row r="497" s="3003" customFormat="1" customHeight="1" spans="10:27">
      <c r="J497" s="3005"/>
      <c r="K497" s="1712"/>
      <c r="L497" s="1712"/>
      <c r="M497" s="1712"/>
      <c r="N497" s="1712"/>
      <c r="O497" s="1712"/>
      <c r="P497" s="1712"/>
      <c r="Q497" s="1712"/>
      <c r="R497" s="1712"/>
      <c r="S497" s="1712"/>
      <c r="T497" s="1712"/>
      <c r="U497" s="1712"/>
      <c r="V497" s="1712"/>
      <c r="W497" s="1712"/>
      <c r="X497" s="1712"/>
      <c r="Y497" s="1712"/>
      <c r="Z497" s="1712"/>
      <c r="AA497" s="1712"/>
    </row>
    <row r="498" s="3003" customFormat="1" customHeight="1" spans="10:27">
      <c r="J498" s="3005"/>
      <c r="K498" s="1712"/>
      <c r="L498" s="1712"/>
      <c r="M498" s="1712"/>
      <c r="N498" s="1712"/>
      <c r="O498" s="1712"/>
      <c r="P498" s="1712"/>
      <c r="Q498" s="1712"/>
      <c r="R498" s="1712"/>
      <c r="S498" s="1712"/>
      <c r="T498" s="1712"/>
      <c r="U498" s="1712"/>
      <c r="V498" s="1712"/>
      <c r="W498" s="1712"/>
      <c r="X498" s="1712"/>
      <c r="Y498" s="1712"/>
      <c r="Z498" s="1712"/>
      <c r="AA498" s="1712"/>
    </row>
    <row r="499" s="3003" customFormat="1" customHeight="1" spans="10:27">
      <c r="J499" s="3005"/>
      <c r="K499" s="1712"/>
      <c r="L499" s="1712"/>
      <c r="M499" s="1712"/>
      <c r="N499" s="1712"/>
      <c r="O499" s="1712"/>
      <c r="P499" s="1712"/>
      <c r="Q499" s="1712"/>
      <c r="R499" s="1712"/>
      <c r="S499" s="1712"/>
      <c r="T499" s="1712"/>
      <c r="U499" s="1712"/>
      <c r="V499" s="1712"/>
      <c r="W499" s="1712"/>
      <c r="X499" s="1712"/>
      <c r="Y499" s="1712"/>
      <c r="Z499" s="1712"/>
      <c r="AA499" s="1712"/>
    </row>
    <row r="500" s="3003" customFormat="1" customHeight="1" spans="10:27">
      <c r="J500" s="3005"/>
      <c r="K500" s="1712"/>
      <c r="L500" s="1712"/>
      <c r="M500" s="1712"/>
      <c r="N500" s="1712"/>
      <c r="O500" s="1712"/>
      <c r="P500" s="1712"/>
      <c r="Q500" s="1712"/>
      <c r="R500" s="1712"/>
      <c r="S500" s="1712"/>
      <c r="T500" s="1712"/>
      <c r="U500" s="1712"/>
      <c r="V500" s="1712"/>
      <c r="W500" s="1712"/>
      <c r="X500" s="1712"/>
      <c r="Y500" s="1712"/>
      <c r="Z500" s="1712"/>
      <c r="AA500" s="1712"/>
    </row>
    <row r="501" s="3003" customFormat="1" customHeight="1" spans="10:27">
      <c r="J501" s="3005"/>
      <c r="K501" s="1712"/>
      <c r="L501" s="1712"/>
      <c r="M501" s="1712"/>
      <c r="N501" s="1712"/>
      <c r="O501" s="1712"/>
      <c r="P501" s="1712"/>
      <c r="Q501" s="1712"/>
      <c r="R501" s="1712"/>
      <c r="S501" s="1712"/>
      <c r="T501" s="1712"/>
      <c r="U501" s="1712"/>
      <c r="V501" s="1712"/>
      <c r="W501" s="1712"/>
      <c r="X501" s="1712"/>
      <c r="Y501" s="1712"/>
      <c r="Z501" s="1712"/>
      <c r="AA501" s="1712"/>
    </row>
    <row r="502" s="3003" customFormat="1" customHeight="1" spans="10:27">
      <c r="J502" s="3005"/>
      <c r="K502" s="1712"/>
      <c r="L502" s="1712"/>
      <c r="M502" s="1712"/>
      <c r="N502" s="1712"/>
      <c r="O502" s="1712"/>
      <c r="P502" s="1712"/>
      <c r="Q502" s="1712"/>
      <c r="R502" s="1712"/>
      <c r="S502" s="1712"/>
      <c r="T502" s="1712"/>
      <c r="U502" s="1712"/>
      <c r="V502" s="1712"/>
      <c r="W502" s="1712"/>
      <c r="X502" s="1712"/>
      <c r="Y502" s="1712"/>
      <c r="Z502" s="1712"/>
      <c r="AA502" s="1712"/>
    </row>
    <row r="503" s="3003" customFormat="1" customHeight="1" spans="10:27">
      <c r="J503" s="3005"/>
      <c r="K503" s="1712"/>
      <c r="L503" s="1712"/>
      <c r="M503" s="1712"/>
      <c r="N503" s="1712"/>
      <c r="O503" s="1712"/>
      <c r="P503" s="1712"/>
      <c r="Q503" s="1712"/>
      <c r="R503" s="1712"/>
      <c r="S503" s="1712"/>
      <c r="T503" s="1712"/>
      <c r="U503" s="1712"/>
      <c r="V503" s="1712"/>
      <c r="W503" s="1712"/>
      <c r="X503" s="1712"/>
      <c r="Y503" s="1712"/>
      <c r="Z503" s="1712"/>
      <c r="AA503" s="1712"/>
    </row>
    <row r="504" s="3003" customFormat="1" customHeight="1" spans="10:27">
      <c r="J504" s="3005"/>
      <c r="K504" s="1712"/>
      <c r="L504" s="1712"/>
      <c r="M504" s="1712"/>
      <c r="N504" s="1712"/>
      <c r="O504" s="1712"/>
      <c r="P504" s="1712"/>
      <c r="Q504" s="1712"/>
      <c r="R504" s="1712"/>
      <c r="S504" s="1712"/>
      <c r="T504" s="1712"/>
      <c r="U504" s="1712"/>
      <c r="V504" s="1712"/>
      <c r="W504" s="1712"/>
      <c r="X504" s="1712"/>
      <c r="Y504" s="1712"/>
      <c r="Z504" s="1712"/>
      <c r="AA504" s="1712"/>
    </row>
    <row r="505" s="3003" customFormat="1" customHeight="1" spans="10:27">
      <c r="J505" s="3005"/>
      <c r="K505" s="1712"/>
      <c r="L505" s="1712"/>
      <c r="M505" s="1712"/>
      <c r="N505" s="1712"/>
      <c r="O505" s="1712"/>
      <c r="P505" s="1712"/>
      <c r="Q505" s="1712"/>
      <c r="R505" s="1712"/>
      <c r="S505" s="1712"/>
      <c r="T505" s="1712"/>
      <c r="U505" s="1712"/>
      <c r="V505" s="1712"/>
      <c r="W505" s="1712"/>
      <c r="X505" s="1712"/>
      <c r="Y505" s="1712"/>
      <c r="Z505" s="1712"/>
      <c r="AA505" s="1712"/>
    </row>
    <row r="506" s="3003" customFormat="1" customHeight="1" spans="10:27">
      <c r="J506" s="3005"/>
      <c r="K506" s="1712"/>
      <c r="L506" s="1712"/>
      <c r="M506" s="1712"/>
      <c r="N506" s="1712"/>
      <c r="O506" s="1712"/>
      <c r="P506" s="1712"/>
      <c r="Q506" s="1712"/>
      <c r="R506" s="1712"/>
      <c r="S506" s="1712"/>
      <c r="T506" s="1712"/>
      <c r="U506" s="1712"/>
      <c r="V506" s="1712"/>
      <c r="W506" s="1712"/>
      <c r="X506" s="1712"/>
      <c r="Y506" s="1712"/>
      <c r="Z506" s="1712"/>
      <c r="AA506" s="1712"/>
    </row>
    <row r="507" s="3003" customFormat="1" customHeight="1" spans="10:27">
      <c r="J507" s="3005"/>
      <c r="K507" s="1712"/>
      <c r="L507" s="1712"/>
      <c r="M507" s="1712"/>
      <c r="N507" s="1712"/>
      <c r="O507" s="1712"/>
      <c r="P507" s="1712"/>
      <c r="Q507" s="1712"/>
      <c r="R507" s="1712"/>
      <c r="S507" s="1712"/>
      <c r="T507" s="1712"/>
      <c r="U507" s="1712"/>
      <c r="V507" s="1712"/>
      <c r="W507" s="1712"/>
      <c r="X507" s="1712"/>
      <c r="Y507" s="1712"/>
      <c r="Z507" s="1712"/>
      <c r="AA507" s="1712"/>
    </row>
    <row r="508" s="3003" customFormat="1" customHeight="1" spans="10:27">
      <c r="J508" s="3005"/>
      <c r="K508" s="1712"/>
      <c r="L508" s="1712"/>
      <c r="M508" s="1712"/>
      <c r="N508" s="1712"/>
      <c r="O508" s="1712"/>
      <c r="P508" s="1712"/>
      <c r="Q508" s="1712"/>
      <c r="R508" s="1712"/>
      <c r="S508" s="1712"/>
      <c r="T508" s="1712"/>
      <c r="U508" s="1712"/>
      <c r="V508" s="1712"/>
      <c r="W508" s="1712"/>
      <c r="X508" s="1712"/>
      <c r="Y508" s="1712"/>
      <c r="Z508" s="1712"/>
      <c r="AA508" s="1712"/>
    </row>
    <row r="509" s="3003" customFormat="1" customHeight="1" spans="10:27">
      <c r="J509" s="3005"/>
      <c r="K509" s="1712"/>
      <c r="L509" s="1712"/>
      <c r="M509" s="1712"/>
      <c r="N509" s="1712"/>
      <c r="O509" s="1712"/>
      <c r="P509" s="1712"/>
      <c r="Q509" s="1712"/>
      <c r="R509" s="1712"/>
      <c r="S509" s="1712"/>
      <c r="T509" s="1712"/>
      <c r="U509" s="1712"/>
      <c r="V509" s="1712"/>
      <c r="W509" s="1712"/>
      <c r="X509" s="1712"/>
      <c r="Y509" s="1712"/>
      <c r="Z509" s="1712"/>
      <c r="AA509" s="1712"/>
    </row>
    <row r="510" s="3003" customFormat="1" customHeight="1" spans="10:27">
      <c r="J510" s="3005"/>
      <c r="K510" s="1712"/>
      <c r="L510" s="1712"/>
      <c r="M510" s="1712"/>
      <c r="N510" s="1712"/>
      <c r="O510" s="1712"/>
      <c r="P510" s="1712"/>
      <c r="Q510" s="1712"/>
      <c r="R510" s="1712"/>
      <c r="S510" s="1712"/>
      <c r="T510" s="1712"/>
      <c r="U510" s="1712"/>
      <c r="V510" s="1712"/>
      <c r="W510" s="1712"/>
      <c r="X510" s="1712"/>
      <c r="Y510" s="1712"/>
      <c r="Z510" s="1712"/>
      <c r="AA510" s="1712"/>
    </row>
    <row r="511" s="3003" customFormat="1" customHeight="1" spans="10:27">
      <c r="J511" s="3005"/>
      <c r="K511" s="1712"/>
      <c r="L511" s="1712"/>
      <c r="M511" s="1712"/>
      <c r="N511" s="1712"/>
      <c r="O511" s="1712"/>
      <c r="P511" s="1712"/>
      <c r="Q511" s="1712"/>
      <c r="R511" s="1712"/>
      <c r="S511" s="1712"/>
      <c r="T511" s="1712"/>
      <c r="U511" s="1712"/>
      <c r="V511" s="1712"/>
      <c r="W511" s="1712"/>
      <c r="X511" s="1712"/>
      <c r="Y511" s="1712"/>
      <c r="Z511" s="1712"/>
      <c r="AA511" s="1712"/>
    </row>
    <row r="512" s="3003" customFormat="1" customHeight="1" spans="10:27">
      <c r="J512" s="3005"/>
      <c r="K512" s="1712"/>
      <c r="L512" s="1712"/>
      <c r="M512" s="1712"/>
      <c r="N512" s="1712"/>
      <c r="O512" s="1712"/>
      <c r="P512" s="1712"/>
      <c r="Q512" s="1712"/>
      <c r="R512" s="1712"/>
      <c r="S512" s="1712"/>
      <c r="T512" s="1712"/>
      <c r="U512" s="1712"/>
      <c r="V512" s="1712"/>
      <c r="W512" s="1712"/>
      <c r="X512" s="1712"/>
      <c r="Y512" s="1712"/>
      <c r="Z512" s="1712"/>
      <c r="AA512" s="1712"/>
    </row>
    <row r="513" s="3003" customFormat="1" customHeight="1" spans="10:27">
      <c r="J513" s="3005"/>
      <c r="K513" s="1712"/>
      <c r="L513" s="1712"/>
      <c r="M513" s="1712"/>
      <c r="N513" s="1712"/>
      <c r="O513" s="1712"/>
      <c r="P513" s="1712"/>
      <c r="Q513" s="1712"/>
      <c r="R513" s="1712"/>
      <c r="S513" s="1712"/>
      <c r="T513" s="1712"/>
      <c r="U513" s="1712"/>
      <c r="V513" s="1712"/>
      <c r="W513" s="1712"/>
      <c r="X513" s="1712"/>
      <c r="Y513" s="1712"/>
      <c r="Z513" s="1712"/>
      <c r="AA513" s="1712"/>
    </row>
    <row r="514" s="3003" customFormat="1" customHeight="1" spans="10:27">
      <c r="J514" s="3005"/>
      <c r="K514" s="1712"/>
      <c r="L514" s="1712"/>
      <c r="M514" s="1712"/>
      <c r="N514" s="1712"/>
      <c r="O514" s="1712"/>
      <c r="P514" s="1712"/>
      <c r="Q514" s="1712"/>
      <c r="R514" s="1712"/>
      <c r="S514" s="1712"/>
      <c r="T514" s="1712"/>
      <c r="U514" s="1712"/>
      <c r="V514" s="1712"/>
      <c r="W514" s="1712"/>
      <c r="X514" s="1712"/>
      <c r="Y514" s="1712"/>
      <c r="Z514" s="1712"/>
      <c r="AA514" s="1712"/>
    </row>
    <row r="515" s="3003" customFormat="1" customHeight="1" spans="10:27">
      <c r="J515" s="3005"/>
      <c r="K515" s="1712"/>
      <c r="L515" s="1712"/>
      <c r="M515" s="1712"/>
      <c r="N515" s="1712"/>
      <c r="O515" s="1712"/>
      <c r="P515" s="1712"/>
      <c r="Q515" s="1712"/>
      <c r="R515" s="1712"/>
      <c r="S515" s="1712"/>
      <c r="T515" s="1712"/>
      <c r="U515" s="1712"/>
      <c r="V515" s="1712"/>
      <c r="W515" s="1712"/>
      <c r="X515" s="1712"/>
      <c r="Y515" s="1712"/>
      <c r="Z515" s="1712"/>
      <c r="AA515" s="1712"/>
    </row>
    <row r="516" s="3003" customFormat="1" customHeight="1" spans="6:27">
      <c r="F516" s="3004"/>
      <c r="G516" s="3004"/>
      <c r="H516" s="3004"/>
      <c r="I516" s="3004"/>
      <c r="J516" s="3005"/>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3004"/>
    <col min="2" max="2" width="17.625" style="3004" customWidth="1"/>
    <col min="3" max="4" width="12.625" style="3004" customWidth="1"/>
    <col min="5" max="9" width="12.625" style="3004"/>
    <col min="10" max="10" width="4.125" style="3005" customWidth="1"/>
    <col min="11" max="12" width="12.625" style="1712" customWidth="1"/>
    <col min="13" max="13" width="12.625" style="1712"/>
    <col min="14" max="14" width="14.125" style="1712" customWidth="1"/>
    <col min="15" max="27" width="12.625" style="1712"/>
    <col min="28" max="36" width="12.625" style="3003"/>
    <col min="37" max="16384" width="12.625" style="3004"/>
  </cols>
  <sheetData>
    <row r="1" customHeight="1" spans="1:9">
      <c r="A1" s="3006" t="s">
        <v>606</v>
      </c>
      <c r="B1" s="3007"/>
      <c r="C1" s="3007"/>
      <c r="D1" s="3007"/>
      <c r="E1" s="3007"/>
      <c r="F1" s="3007"/>
      <c r="G1" s="3007"/>
      <c r="H1" s="3007"/>
      <c r="I1" s="3007"/>
    </row>
    <row r="2" customHeight="1" spans="1:10">
      <c r="A2" s="3008" t="s">
        <v>823</v>
      </c>
      <c r="B2" s="3008"/>
      <c r="C2" s="3008"/>
      <c r="D2" s="3008"/>
      <c r="E2" s="3008"/>
      <c r="F2" s="3008"/>
      <c r="G2" s="3008"/>
      <c r="H2" s="3008"/>
      <c r="I2" s="3008"/>
      <c r="J2" s="3139"/>
    </row>
    <row r="3" ht="13.5" spans="1:10">
      <c r="A3" s="3009" t="s">
        <v>607</v>
      </c>
      <c r="B3" s="2129"/>
      <c r="C3" s="2129"/>
      <c r="D3" s="2129"/>
      <c r="E3" s="2129"/>
      <c r="F3" s="2129"/>
      <c r="G3" s="2129"/>
      <c r="H3" s="2129"/>
      <c r="I3" s="2129"/>
      <c r="J3" s="3140"/>
    </row>
    <row r="4" ht="14.25" spans="1:15">
      <c r="A4" s="3010" t="s">
        <v>608</v>
      </c>
      <c r="B4" s="3010" t="s">
        <v>609</v>
      </c>
      <c r="C4" s="3011"/>
      <c r="D4" s="3011"/>
      <c r="E4" s="2111" t="s">
        <v>612</v>
      </c>
      <c r="F4" s="2112"/>
      <c r="G4" s="2112"/>
      <c r="H4" s="2112"/>
      <c r="I4" s="3124"/>
      <c r="J4" s="3141"/>
      <c r="L4" s="300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300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3007"/>
      <c r="O4" s="3007"/>
    </row>
    <row r="5" ht="13.5" spans="1:10">
      <c r="A5" s="1294" t="s">
        <v>613</v>
      </c>
      <c r="B5" s="1294">
        <v>25</v>
      </c>
      <c r="C5" s="3012"/>
      <c r="D5" s="3013"/>
      <c r="E5" s="2192" t="s">
        <v>614</v>
      </c>
      <c r="F5" s="2112"/>
      <c r="G5" s="2112"/>
      <c r="H5" s="2112"/>
      <c r="I5" s="3124"/>
      <c r="J5" s="3141"/>
    </row>
    <row r="6" ht="13.5" spans="1:10">
      <c r="A6" s="1294"/>
      <c r="B6" s="1294"/>
      <c r="C6" s="3014"/>
      <c r="D6" s="3013"/>
      <c r="E6" s="2192" t="s">
        <v>615</v>
      </c>
      <c r="F6" s="2112"/>
      <c r="G6" s="2112"/>
      <c r="H6" s="2112"/>
      <c r="I6" s="3124"/>
      <c r="J6" s="3141"/>
    </row>
    <row r="7" ht="13.5" spans="1:10">
      <c r="A7" s="1294"/>
      <c r="B7" s="1294"/>
      <c r="C7" s="3015"/>
      <c r="D7" s="3013"/>
      <c r="E7" s="2192" t="s">
        <v>616</v>
      </c>
      <c r="F7" s="2112"/>
      <c r="G7" s="2112"/>
      <c r="H7" s="2112"/>
      <c r="I7" s="3124"/>
      <c r="J7" s="3141"/>
    </row>
    <row r="8" ht="13.5" spans="1:10">
      <c r="A8" s="1294" t="s">
        <v>617</v>
      </c>
      <c r="B8" s="1294">
        <v>15</v>
      </c>
      <c r="C8" s="3012"/>
      <c r="D8" s="3013"/>
      <c r="E8" s="2192" t="s">
        <v>618</v>
      </c>
      <c r="F8" s="2112"/>
      <c r="G8" s="2112"/>
      <c r="H8" s="2112"/>
      <c r="I8" s="3124"/>
      <c r="J8" s="3141"/>
    </row>
    <row r="9" ht="13.5" spans="1:10">
      <c r="A9" s="1294"/>
      <c r="B9" s="1294"/>
      <c r="C9" s="3015"/>
      <c r="D9" s="3013"/>
      <c r="E9" s="2192" t="s">
        <v>619</v>
      </c>
      <c r="F9" s="2112"/>
      <c r="G9" s="2112"/>
      <c r="H9" s="2112"/>
      <c r="I9" s="3124"/>
      <c r="J9" s="3141"/>
    </row>
    <row r="10" ht="13.5" spans="1:10">
      <c r="A10" s="1294" t="s">
        <v>620</v>
      </c>
      <c r="B10" s="1294">
        <v>15</v>
      </c>
      <c r="C10" s="3012"/>
      <c r="D10" s="3013"/>
      <c r="E10" s="2192" t="s">
        <v>621</v>
      </c>
      <c r="F10" s="2112"/>
      <c r="G10" s="2112"/>
      <c r="H10" s="2112"/>
      <c r="I10" s="3124"/>
      <c r="J10" s="3141"/>
    </row>
    <row r="11" ht="13.5" spans="1:10">
      <c r="A11" s="1294"/>
      <c r="B11" s="1294"/>
      <c r="C11" s="3015"/>
      <c r="D11" s="3013"/>
      <c r="E11" s="2192" t="s">
        <v>622</v>
      </c>
      <c r="F11" s="2112"/>
      <c r="G11" s="2112"/>
      <c r="H11" s="2112"/>
      <c r="I11" s="3124"/>
      <c r="J11" s="3141"/>
    </row>
    <row r="12" ht="13.5" spans="1:10">
      <c r="A12" s="1294" t="s">
        <v>623</v>
      </c>
      <c r="B12" s="1294">
        <v>15</v>
      </c>
      <c r="C12" s="3012"/>
      <c r="D12" s="3013"/>
      <c r="E12" s="2192" t="s">
        <v>624</v>
      </c>
      <c r="F12" s="2112"/>
      <c r="G12" s="2112"/>
      <c r="H12" s="2112"/>
      <c r="I12" s="3124"/>
      <c r="J12" s="3141"/>
    </row>
    <row r="13" ht="13.5" spans="1:10">
      <c r="A13" s="1294"/>
      <c r="B13" s="1294"/>
      <c r="C13" s="3015"/>
      <c r="D13" s="3013"/>
      <c r="E13" s="2192" t="s">
        <v>625</v>
      </c>
      <c r="F13" s="2112"/>
      <c r="G13" s="2112"/>
      <c r="H13" s="2112"/>
      <c r="I13" s="3124"/>
      <c r="J13" s="3141"/>
    </row>
    <row r="14" ht="13.5" spans="1:10">
      <c r="A14" s="1294" t="s">
        <v>626</v>
      </c>
      <c r="B14" s="1294">
        <v>30</v>
      </c>
      <c r="C14" s="3012"/>
      <c r="D14" s="3013"/>
      <c r="E14" s="2192" t="s">
        <v>627</v>
      </c>
      <c r="F14" s="2112"/>
      <c r="G14" s="2112"/>
      <c r="H14" s="2112"/>
      <c r="I14" s="3124"/>
      <c r="J14" s="3141"/>
    </row>
    <row r="15" ht="13.5" spans="1:10">
      <c r="A15" s="1294"/>
      <c r="B15" s="1294"/>
      <c r="C15" s="3014"/>
      <c r="D15" s="3013"/>
      <c r="E15" s="2192" t="s">
        <v>628</v>
      </c>
      <c r="F15" s="2112"/>
      <c r="G15" s="2112"/>
      <c r="H15" s="2112"/>
      <c r="I15" s="3124"/>
      <c r="J15" s="3141"/>
    </row>
    <row r="16" ht="13.5" spans="1:10">
      <c r="A16" s="1294"/>
      <c r="B16" s="1294"/>
      <c r="C16" s="3015"/>
      <c r="D16" s="3013"/>
      <c r="E16" s="2192" t="s">
        <v>629</v>
      </c>
      <c r="F16" s="2112"/>
      <c r="G16" s="2112"/>
      <c r="H16" s="2112"/>
      <c r="I16" s="3124"/>
      <c r="J16" s="3141"/>
    </row>
    <row r="17" ht="14.25" spans="1:10">
      <c r="A17" s="3016" t="s">
        <v>630</v>
      </c>
      <c r="B17" s="1293"/>
      <c r="C17" s="3017">
        <f>SUM(C5:C16)</f>
        <v>0</v>
      </c>
      <c r="D17" s="3017">
        <f>SUM(D5:D16)</f>
        <v>0</v>
      </c>
      <c r="E17" s="3018"/>
      <c r="F17" s="3018"/>
      <c r="G17" s="3018"/>
      <c r="H17" s="3018"/>
      <c r="I17" s="3018"/>
      <c r="J17" s="3142"/>
    </row>
    <row r="18" ht="32.45" customHeight="1" spans="1:10">
      <c r="A18" s="3019" t="s">
        <v>631</v>
      </c>
      <c r="B18" s="3020"/>
      <c r="C18" s="3021" t="e">
        <f>ROUND(C17/SUM(C17:D17),2)</f>
        <v>#DIV/0!</v>
      </c>
      <c r="D18" s="3021" t="e">
        <f>1-C18</f>
        <v>#DIV/0!</v>
      </c>
      <c r="E18" s="3022" t="s">
        <v>632</v>
      </c>
      <c r="F18" s="3023"/>
      <c r="G18" s="3023"/>
      <c r="H18" s="3023"/>
      <c r="I18" s="3023"/>
      <c r="J18" s="3142"/>
    </row>
    <row r="19" ht="14.25" spans="1:10">
      <c r="A19" s="3024" t="s">
        <v>633</v>
      </c>
      <c r="B19" s="3025" t="s">
        <v>634</v>
      </c>
      <c r="C19" s="3026" t="e">
        <f ca="1">SUMIF(INDIRECT("'"&amp;C4&amp;"'"&amp;"!A:A"),'结果表 (1修多)'!B19,INDIRECT("'"&amp;C4&amp;"'"&amp;"!B:B"))</f>
        <v>#REF!</v>
      </c>
      <c r="D19" s="3027" t="e">
        <f ca="1">SUMIF(INDIRECT("'"&amp;D4&amp;"'"&amp;"!A:A"),'结果表 (1修多)'!B19,INDIRECT("'"&amp;D4&amp;"'"&amp;"!B:B"))</f>
        <v>#REF!</v>
      </c>
      <c r="E19" s="3024" t="s">
        <v>635</v>
      </c>
      <c r="F19" s="3025" t="s">
        <v>634</v>
      </c>
      <c r="G19" s="3028" t="e">
        <f ca="1">ROUND(C19*$C$18+D19*$D$18,0)</f>
        <v>#REF!</v>
      </c>
      <c r="H19" s="3029" t="str">
        <f>'数据-取费表'!B3</f>
        <v>元</v>
      </c>
      <c r="I19" s="3018"/>
      <c r="J19" s="3142"/>
    </row>
    <row r="20" ht="15" spans="1:10">
      <c r="A20" s="3030"/>
      <c r="B20" s="1311" t="s">
        <v>636</v>
      </c>
      <c r="C20" s="1218" t="e">
        <f ca="1">SUMIF(INDIRECT("'"&amp;C4&amp;"'"&amp;"!A:A"),'结果表 (1修多)'!B20,INDIRECT("'"&amp;C4&amp;"'"&amp;"!B:B"))</f>
        <v>#REF!</v>
      </c>
      <c r="D20" s="2967" t="e">
        <f ca="1">SUMIF(INDIRECT("'"&amp;D4&amp;"'"&amp;"!A:A"),'结果表 (1修多)'!B20,INDIRECT("'"&amp;D4&amp;"'"&amp;"!B:B"))</f>
        <v>#REF!</v>
      </c>
      <c r="E20" s="3030"/>
      <c r="F20" s="1311" t="s">
        <v>636</v>
      </c>
      <c r="G20" s="1242" t="e">
        <f ca="1">ROUND(C20*$C$18+D20*$D$18,0)</f>
        <v>#REF!</v>
      </c>
      <c r="H20" s="3031" t="s">
        <v>637</v>
      </c>
      <c r="I20" s="3018"/>
      <c r="J20" s="3142"/>
    </row>
    <row r="21" ht="15" customHeight="1" spans="1:10">
      <c r="A21" s="3032"/>
      <c r="B21" s="3033"/>
      <c r="C21" s="3033"/>
      <c r="D21" s="3034"/>
      <c r="E21" s="3032"/>
      <c r="F21" s="3033"/>
      <c r="G21" s="3035"/>
      <c r="H21" s="3036"/>
      <c r="I21" s="3018"/>
      <c r="J21" s="3142"/>
    </row>
    <row r="22" ht="15" spans="1:10">
      <c r="A22" s="3037" t="s">
        <v>638</v>
      </c>
      <c r="B22" s="3038"/>
      <c r="C22" s="3039"/>
      <c r="D22" s="3040" t="e">
        <f ca="1">IF(C19&lt;D19,D19/C19-1,C19/D19-1)</f>
        <v>#REF!</v>
      </c>
      <c r="E22" s="2230"/>
      <c r="F22" s="2230"/>
      <c r="G22" s="2230"/>
      <c r="H22" s="2230"/>
      <c r="I22" s="2230"/>
      <c r="J22" s="3142"/>
    </row>
    <row r="23" ht="14.25" spans="1:10">
      <c r="A23" s="3018"/>
      <c r="B23" s="3018"/>
      <c r="C23" s="3018"/>
      <c r="D23" s="3018"/>
      <c r="E23" s="2230"/>
      <c r="F23" s="2230"/>
      <c r="G23" s="2230"/>
      <c r="H23" s="2230"/>
      <c r="I23" s="2230"/>
      <c r="J23" s="3142"/>
    </row>
    <row r="24" customHeight="1" spans="1:10">
      <c r="A24" s="1122" t="s">
        <v>639</v>
      </c>
      <c r="B24" s="3025" t="s">
        <v>634</v>
      </c>
      <c r="C24" s="3028">
        <f>D30</f>
        <v>0</v>
      </c>
      <c r="D24" s="3041"/>
      <c r="E24" s="2230"/>
      <c r="F24" s="2230"/>
      <c r="G24" s="2230"/>
      <c r="H24" s="2230"/>
      <c r="I24" s="2230"/>
      <c r="J24" s="3142"/>
    </row>
    <row r="25" customHeight="1" spans="1:10">
      <c r="A25" s="3042"/>
      <c r="B25" s="1311" t="s">
        <v>636</v>
      </c>
      <c r="C25" s="3043">
        <f>IF(B30=0,0,C30)</f>
        <v>0</v>
      </c>
      <c r="D25" s="3044"/>
      <c r="E25" s="2230"/>
      <c r="F25" s="2230"/>
      <c r="G25" s="2230"/>
      <c r="H25" s="2230"/>
      <c r="I25" s="2230"/>
      <c r="J25" s="3142"/>
    </row>
    <row r="26" ht="13.5" customHeight="1" spans="1:10">
      <c r="A26" s="3045" t="s">
        <v>640</v>
      </c>
      <c r="B26" s="3046" t="s">
        <v>641</v>
      </c>
      <c r="C26" s="3046" t="s">
        <v>642</v>
      </c>
      <c r="D26" s="3047" t="s">
        <v>643</v>
      </c>
      <c r="E26" s="2230"/>
      <c r="F26" s="2230"/>
      <c r="G26" s="2230"/>
      <c r="H26" s="2230"/>
      <c r="I26" s="2230"/>
      <c r="J26" s="3142"/>
    </row>
    <row r="27" ht="14.25" spans="1:10">
      <c r="A27" s="3048" t="s">
        <v>824</v>
      </c>
      <c r="B27" s="3046">
        <v>0</v>
      </c>
      <c r="C27" s="3046">
        <v>0</v>
      </c>
      <c r="D27" s="3047">
        <f>ROUND(C27*B27/10000,0)</f>
        <v>0</v>
      </c>
      <c r="E27" s="2230"/>
      <c r="F27" s="2230"/>
      <c r="G27" s="2230"/>
      <c r="H27" s="2230"/>
      <c r="I27" s="2230"/>
      <c r="J27" s="3142"/>
    </row>
    <row r="28" ht="14.25" spans="1:10">
      <c r="A28" s="3045"/>
      <c r="B28" s="3046"/>
      <c r="C28" s="3046"/>
      <c r="D28" s="3047">
        <f>ROUND(C28*B28/10000,0)</f>
        <v>0</v>
      </c>
      <c r="E28" s="2230"/>
      <c r="F28" s="2230"/>
      <c r="G28" s="2230"/>
      <c r="H28" s="2230"/>
      <c r="I28" s="2230"/>
      <c r="J28" s="3142"/>
    </row>
    <row r="29" ht="14.25" spans="1:10">
      <c r="A29" s="3045"/>
      <c r="B29" s="3046"/>
      <c r="C29" s="3046"/>
      <c r="D29" s="3047">
        <f t="shared" ref="D29" si="0">ROUND(C29*B29/10000,0)</f>
        <v>0</v>
      </c>
      <c r="E29" s="2230"/>
      <c r="F29" s="2230"/>
      <c r="G29" s="2230"/>
      <c r="H29" s="2230"/>
      <c r="I29" s="2230"/>
      <c r="J29" s="3142"/>
    </row>
    <row r="30" ht="15" spans="1:10">
      <c r="A30" s="3049" t="s">
        <v>644</v>
      </c>
      <c r="B30" s="3050"/>
      <c r="C30" s="3050"/>
      <c r="D30" s="3050"/>
      <c r="E30" s="3051" t="s">
        <v>645</v>
      </c>
      <c r="F30" s="3018"/>
      <c r="G30" s="3018"/>
      <c r="H30" s="3018"/>
      <c r="I30" s="3018"/>
      <c r="J30" s="3142"/>
    </row>
    <row r="31" s="3000" customFormat="1" ht="27.6" customHeight="1" spans="1:36">
      <c r="A31" s="3052"/>
      <c r="B31" s="3053"/>
      <c r="C31" s="3053"/>
      <c r="D31" s="3053"/>
      <c r="E31" s="3053"/>
      <c r="F31" s="3053"/>
      <c r="G31" s="3053"/>
      <c r="H31" s="3053"/>
      <c r="I31" s="3143" t="s">
        <v>646</v>
      </c>
      <c r="J31" s="3144"/>
      <c r="K31" s="3145"/>
      <c r="L31" s="3145"/>
      <c r="M31" s="3145"/>
      <c r="N31" s="3145"/>
      <c r="O31" s="3145"/>
      <c r="P31" s="3145"/>
      <c r="Q31" s="3145"/>
      <c r="R31" s="3145"/>
      <c r="S31" s="3145"/>
      <c r="T31" s="3145"/>
      <c r="U31" s="3145"/>
      <c r="V31" s="3145"/>
      <c r="W31" s="3145"/>
      <c r="X31" s="3145"/>
      <c r="Y31" s="3145"/>
      <c r="Z31" s="3145"/>
      <c r="AA31" s="3145"/>
      <c r="AB31" s="3190"/>
      <c r="AC31" s="3190"/>
      <c r="AD31" s="3190"/>
      <c r="AE31" s="3190"/>
      <c r="AF31" s="3190"/>
      <c r="AG31" s="3190"/>
      <c r="AH31" s="3190"/>
      <c r="AI31" s="3190"/>
      <c r="AJ31" s="3190"/>
    </row>
    <row r="32" s="3001" customFormat="1" ht="16.5" spans="1:36">
      <c r="A32" s="3054" t="s">
        <v>825</v>
      </c>
      <c r="B32" s="3054"/>
      <c r="C32" s="3054"/>
      <c r="D32" s="3054"/>
      <c r="E32" s="3054"/>
      <c r="F32" s="3054"/>
      <c r="G32" s="3054"/>
      <c r="H32" s="3054"/>
      <c r="I32" s="3054"/>
      <c r="J32" s="3146"/>
      <c r="K32" s="1712"/>
      <c r="L32" s="1712"/>
      <c r="M32" s="1712"/>
      <c r="N32" s="1712"/>
      <c r="O32" s="1712"/>
      <c r="P32" s="1712"/>
      <c r="Q32" s="1712"/>
      <c r="R32" s="1712"/>
      <c r="S32" s="1712"/>
      <c r="T32" s="1712"/>
      <c r="U32" s="1712"/>
      <c r="V32" s="1712"/>
      <c r="W32" s="1712"/>
      <c r="X32" s="1712"/>
      <c r="Y32" s="1712"/>
      <c r="Z32" s="1712"/>
      <c r="AA32" s="1712"/>
      <c r="AB32" s="3003"/>
      <c r="AC32" s="3003"/>
      <c r="AD32" s="3003"/>
      <c r="AE32" s="3003"/>
      <c r="AF32" s="3003"/>
      <c r="AG32" s="3003"/>
      <c r="AH32" s="3003"/>
      <c r="AI32" s="3003"/>
      <c r="AJ32" s="3003"/>
    </row>
    <row r="33" ht="15" spans="1:10">
      <c r="A33" s="3055"/>
      <c r="B33" s="3056" t="s">
        <v>826</v>
      </c>
      <c r="C33" s="3057">
        <f>典型户型修正!R27</f>
        <v>0</v>
      </c>
      <c r="D33" s="3018" t="s">
        <v>637</v>
      </c>
      <c r="E33" s="2230"/>
      <c r="F33" s="2230"/>
      <c r="G33" s="2230"/>
      <c r="H33" s="2230"/>
      <c r="I33" s="2230"/>
      <c r="J33" s="3142"/>
    </row>
    <row r="34" ht="14.25" spans="1:10">
      <c r="A34" s="3058" t="s">
        <v>827</v>
      </c>
      <c r="B34" s="3059" t="s">
        <v>828</v>
      </c>
      <c r="C34" s="3060">
        <f ca="1">典型户型修正!B2</f>
        <v>0</v>
      </c>
      <c r="D34" s="3061" t="str">
        <f>IF('数据-取费表'!B3="万元","万元","元")</f>
        <v>元</v>
      </c>
      <c r="E34" s="2230"/>
      <c r="F34" s="2230"/>
      <c r="G34" s="2230"/>
      <c r="H34" s="2230"/>
      <c r="I34" s="2230"/>
      <c r="J34" s="3142"/>
    </row>
    <row r="35" ht="15.75" spans="1:10">
      <c r="A35" s="3062"/>
      <c r="B35" s="3063" t="s">
        <v>829</v>
      </c>
      <c r="C35" s="3034" t="e">
        <f ca="1">典型户型修正!B3</f>
        <v>#DIV/0!</v>
      </c>
      <c r="D35" s="3018" t="s">
        <v>637</v>
      </c>
      <c r="E35" s="2230"/>
      <c r="F35" s="2230"/>
      <c r="G35" s="2230"/>
      <c r="H35" s="2230"/>
      <c r="I35" s="2230"/>
      <c r="J35" s="3142"/>
    </row>
    <row r="36" ht="15" spans="1:10">
      <c r="A36" s="3064"/>
      <c r="B36" s="3065" t="s">
        <v>650</v>
      </c>
      <c r="C36" s="3066">
        <f>IF('数据-取费表'!B3="万元",典型户型修正!V25,典型户型修正!U25)</f>
        <v>0</v>
      </c>
      <c r="D36" s="3018" t="str">
        <f>D34</f>
        <v>元</v>
      </c>
      <c r="E36" s="2230"/>
      <c r="F36" s="2230"/>
      <c r="G36" s="2230"/>
      <c r="H36" s="2230"/>
      <c r="I36" s="2230"/>
      <c r="J36" s="3142"/>
    </row>
    <row r="37" ht="15.75" spans="1:10">
      <c r="A37" s="3067"/>
      <c r="B37" s="3068" t="s">
        <v>652</v>
      </c>
      <c r="C37" s="3069">
        <f>IF('数据-取费表'!B3="万元",典型户型修正!Y25,典型户型修正!X25)</f>
        <v>0</v>
      </c>
      <c r="D37" s="3018" t="str">
        <f>D34</f>
        <v>元</v>
      </c>
      <c r="E37" s="2230"/>
      <c r="F37" s="2230"/>
      <c r="G37" s="2230"/>
      <c r="H37" s="2230"/>
      <c r="I37" s="2230"/>
      <c r="J37" s="3142"/>
    </row>
    <row r="38" ht="15.75" spans="1:10">
      <c r="A38" s="1122" t="s">
        <v>654</v>
      </c>
      <c r="B38" s="3065" t="s">
        <v>655</v>
      </c>
      <c r="C38" s="3070"/>
      <c r="D38" s="3071"/>
      <c r="E38" s="3072"/>
      <c r="F38" s="3072"/>
      <c r="G38" s="2230"/>
      <c r="H38" s="2230"/>
      <c r="I38" s="2230"/>
      <c r="J38" s="3142"/>
    </row>
    <row r="39" ht="15.75" spans="1:10">
      <c r="A39" s="1134"/>
      <c r="B39" s="1293" t="s">
        <v>656</v>
      </c>
      <c r="C39" s="3073"/>
      <c r="D39" s="3074"/>
      <c r="E39" s="3074"/>
      <c r="F39" s="3072"/>
      <c r="G39" s="3074"/>
      <c r="H39" s="3074"/>
      <c r="I39" s="3074"/>
      <c r="J39" s="3147"/>
    </row>
    <row r="40" ht="15.75" spans="1:10">
      <c r="A40" s="3075"/>
      <c r="B40" s="3068" t="s">
        <v>657</v>
      </c>
      <c r="C40" s="3076"/>
      <c r="D40" s="3077" t="s">
        <v>658</v>
      </c>
      <c r="E40" s="3074"/>
      <c r="F40" s="3072"/>
      <c r="G40" s="3074"/>
      <c r="H40" s="3074"/>
      <c r="I40" s="3074"/>
      <c r="J40" s="3147"/>
    </row>
    <row r="41" ht="14.25" spans="1:10">
      <c r="A41" s="3030" t="s">
        <v>659</v>
      </c>
      <c r="B41" s="3078" t="s">
        <v>641</v>
      </c>
      <c r="C41" s="3079" t="s">
        <v>642</v>
      </c>
      <c r="D41" s="3079" t="s">
        <v>660</v>
      </c>
      <c r="E41" s="3080" t="s">
        <v>643</v>
      </c>
      <c r="F41" s="3072"/>
      <c r="G41" s="3074"/>
      <c r="H41" s="3074"/>
      <c r="I41" s="3074"/>
      <c r="J41" s="3147"/>
    </row>
    <row r="42" ht="14.25" spans="1:10">
      <c r="A42" s="3081" t="s">
        <v>661</v>
      </c>
      <c r="B42" s="3082"/>
      <c r="C42" s="3083"/>
      <c r="D42" s="3083"/>
      <c r="E42" s="3084"/>
      <c r="F42" s="3072"/>
      <c r="G42" s="3074"/>
      <c r="H42" s="3074"/>
      <c r="I42" s="3074"/>
      <c r="J42" s="3147"/>
    </row>
    <row r="43" ht="14.25" spans="1:10">
      <c r="A43" s="3081" t="s">
        <v>662</v>
      </c>
      <c r="B43" s="3082"/>
      <c r="C43" s="3083"/>
      <c r="D43" s="3083"/>
      <c r="E43" s="3084"/>
      <c r="F43" s="3072"/>
      <c r="G43" s="3074"/>
      <c r="H43" s="3074"/>
      <c r="I43" s="3074"/>
      <c r="J43" s="3147"/>
    </row>
    <row r="44" ht="15" spans="1:10">
      <c r="A44" s="3085"/>
      <c r="B44" s="3086"/>
      <c r="C44" s="3087"/>
      <c r="D44" s="3087"/>
      <c r="E44" s="3088"/>
      <c r="F44" s="3072"/>
      <c r="G44" s="3074"/>
      <c r="H44" s="3074"/>
      <c r="I44" s="3074"/>
      <c r="J44" s="3147"/>
    </row>
    <row r="45" ht="13.5" spans="1:10">
      <c r="A45" s="3089"/>
      <c r="B45" s="3089"/>
      <c r="C45" s="3089"/>
      <c r="D45" s="3089"/>
      <c r="E45" s="3089"/>
      <c r="F45" s="3090"/>
      <c r="G45" s="3090"/>
      <c r="H45" s="3090"/>
      <c r="I45" s="3148"/>
      <c r="J45" s="3149"/>
    </row>
    <row r="46" ht="18.75" spans="1:16">
      <c r="A46" s="3091" t="s">
        <v>663</v>
      </c>
      <c r="B46" s="3092"/>
      <c r="C46" s="3092"/>
      <c r="D46" s="3093"/>
      <c r="E46" s="3093"/>
      <c r="F46" s="3093"/>
      <c r="G46" s="3093"/>
      <c r="H46" s="3093"/>
      <c r="I46" s="3150" t="s">
        <v>664</v>
      </c>
      <c r="J46" s="3151"/>
      <c r="K46" s="3152" t="s">
        <v>665</v>
      </c>
      <c r="L46" s="3153"/>
      <c r="M46" s="3153"/>
      <c r="N46" s="3153"/>
      <c r="O46" s="3153"/>
      <c r="P46" s="3153"/>
    </row>
    <row r="47" ht="14.25" customHeight="1" spans="1:16">
      <c r="A47" s="3094" t="s">
        <v>666</v>
      </c>
      <c r="B47" s="3095"/>
      <c r="C47" s="3096"/>
      <c r="D47" s="2090">
        <f ca="1">ROUND(I104*F47,0)</f>
        <v>0</v>
      </c>
      <c r="E47" s="2179" t="s">
        <v>667</v>
      </c>
      <c r="F47" s="3097">
        <v>1</v>
      </c>
      <c r="G47" s="3098" t="s">
        <v>668</v>
      </c>
      <c r="H47" s="2230"/>
      <c r="I47" s="2230"/>
      <c r="J47" s="3142"/>
      <c r="K47" s="3154" t="s">
        <v>830</v>
      </c>
      <c r="L47" s="3154"/>
      <c r="M47" s="3154"/>
      <c r="N47" s="3154"/>
      <c r="O47" s="3154"/>
      <c r="P47" s="3154"/>
    </row>
    <row r="48" ht="14.25" customHeight="1" spans="1:16">
      <c r="A48" s="3099" t="s">
        <v>670</v>
      </c>
      <c r="B48" s="3100"/>
      <c r="C48" s="3100"/>
      <c r="D48" s="3100"/>
      <c r="E48" s="3100"/>
      <c r="F48" s="3100"/>
      <c r="G48" s="3101"/>
      <c r="H48" s="3102"/>
      <c r="I48" s="2230"/>
      <c r="J48" s="3142"/>
      <c r="K48" s="3155">
        <v>1</v>
      </c>
      <c r="L48" s="3156" t="s">
        <v>831</v>
      </c>
      <c r="M48" s="3156"/>
      <c r="N48" s="3157"/>
      <c r="O48" s="3157"/>
      <c r="P48" s="3157"/>
    </row>
    <row r="49" ht="12" customHeight="1" spans="1:16">
      <c r="A49" s="3103" t="s">
        <v>671</v>
      </c>
      <c r="B49" s="3104"/>
      <c r="C49" s="3105"/>
      <c r="D49" s="2128" t="s">
        <v>672</v>
      </c>
      <c r="E49" s="2078" t="s">
        <v>673</v>
      </c>
      <c r="F49" s="2296" t="s">
        <v>674</v>
      </c>
      <c r="G49" s="3106" t="s">
        <v>675</v>
      </c>
      <c r="H49" s="3102"/>
      <c r="I49" s="2230"/>
      <c r="J49" s="3142"/>
      <c r="K49" s="3155">
        <v>2</v>
      </c>
      <c r="L49" s="3156" t="s">
        <v>832</v>
      </c>
      <c r="M49" s="3156"/>
      <c r="N49" s="3158">
        <f>'数据-取费表'!B2</f>
        <v>38443</v>
      </c>
      <c r="O49" s="3158"/>
      <c r="P49" s="3158"/>
    </row>
    <row r="50" ht="24.75" spans="1:16">
      <c r="A50" s="3107" t="s">
        <v>677</v>
      </c>
      <c r="B50" s="2133"/>
      <c r="C50" s="2133"/>
      <c r="D50" s="2192">
        <f ca="1">IF(H50="情况1",0,IF(H50="情况2",D54,IF(H50="情况3",D55,IF(H50="情况4",D56))))</f>
        <v>0</v>
      </c>
      <c r="E50" s="2133" t="str">
        <f>IF(H50="情况4","(销售额-原购置价)×税（费）率","销售额×税（费）率")</f>
        <v>销售额×税（费）率</v>
      </c>
      <c r="F50" s="3108">
        <f>IF(H50="情况1","免征",'数据-取费表'!E29)</f>
        <v>0.056</v>
      </c>
      <c r="G50" s="3109" t="s">
        <v>678</v>
      </c>
      <c r="H50" s="3110" t="s">
        <v>679</v>
      </c>
      <c r="I50" s="3102"/>
      <c r="J50" s="3159"/>
      <c r="K50" s="3155">
        <v>3</v>
      </c>
      <c r="L50" s="3156" t="s">
        <v>833</v>
      </c>
      <c r="M50" s="3156"/>
      <c r="N50" s="3160">
        <f ca="1">I104</f>
        <v>0</v>
      </c>
      <c r="O50" s="3160"/>
      <c r="P50" s="3160"/>
    </row>
    <row r="51" ht="25.5" customHeight="1" spans="1:16">
      <c r="A51" s="3107" t="s">
        <v>681</v>
      </c>
      <c r="B51" s="2112" t="s">
        <v>682</v>
      </c>
      <c r="C51" s="2112"/>
      <c r="D51" s="3111">
        <v>0</v>
      </c>
      <c r="E51" s="2139" t="s">
        <v>683</v>
      </c>
      <c r="F51" s="3112" t="s">
        <v>121</v>
      </c>
      <c r="G51" s="3113"/>
      <c r="H51" s="3114" t="s">
        <v>834</v>
      </c>
      <c r="I51" s="3161"/>
      <c r="J51" s="3162"/>
      <c r="K51" s="3155">
        <v>4</v>
      </c>
      <c r="L51" s="3156" t="str">
        <f>IF(项目基本情况!F5="房地产抵押价值","房地产抵押价值","抵押担保权已注销时的房地产抵押价值")</f>
        <v>抵押担保权已注销时的房地产抵押价值</v>
      </c>
      <c r="M51" s="3156"/>
      <c r="N51" s="3160" t="str">
        <f ca="1">IF(项目基本情况!F5="房地产抵押价值",I112,I114)</f>
        <v>——</v>
      </c>
      <c r="O51" s="3160"/>
      <c r="P51" s="3160"/>
    </row>
    <row r="52" ht="25.5" customHeight="1" spans="1:16">
      <c r="A52" s="3115"/>
      <c r="B52" s="2112" t="s">
        <v>685</v>
      </c>
      <c r="C52" s="2112"/>
      <c r="D52" s="3116"/>
      <c r="E52" s="2149"/>
      <c r="F52" s="3112"/>
      <c r="G52" s="3117"/>
      <c r="H52" s="3118" t="s">
        <v>686</v>
      </c>
      <c r="I52" s="3161"/>
      <c r="J52" s="3162"/>
      <c r="K52" s="3156" t="s">
        <v>835</v>
      </c>
      <c r="L52" s="3156"/>
      <c r="M52" s="3156"/>
      <c r="N52" s="3156"/>
      <c r="O52" s="3156"/>
      <c r="P52" s="3156"/>
    </row>
    <row r="53" ht="20.45" customHeight="1" spans="1:16">
      <c r="A53" s="3119"/>
      <c r="B53" s="2112" t="s">
        <v>688</v>
      </c>
      <c r="C53" s="2112"/>
      <c r="D53" s="2128"/>
      <c r="E53" s="447"/>
      <c r="F53" s="3112"/>
      <c r="G53" s="3120"/>
      <c r="H53" s="3118" t="s">
        <v>689</v>
      </c>
      <c r="I53" s="3161"/>
      <c r="J53" s="3162"/>
      <c r="K53" s="3156" t="s">
        <v>836</v>
      </c>
      <c r="L53" s="3156" t="s">
        <v>837</v>
      </c>
      <c r="M53" s="3156"/>
      <c r="N53" s="3156" t="s">
        <v>838</v>
      </c>
      <c r="O53" s="3156" t="s">
        <v>839</v>
      </c>
      <c r="P53" s="3156" t="s">
        <v>840</v>
      </c>
    </row>
    <row r="54" ht="24" customHeight="1" spans="1:16">
      <c r="A54" s="3121" t="s">
        <v>695</v>
      </c>
      <c r="B54" s="2112" t="s">
        <v>696</v>
      </c>
      <c r="C54" s="2112"/>
      <c r="D54" s="2128">
        <f ca="1">ROUND(D47*'数据-取费表'!E29/(1+'数据-取费表'!F30),0)</f>
        <v>0</v>
      </c>
      <c r="E54" s="2133" t="s">
        <v>697</v>
      </c>
      <c r="F54" s="3122">
        <f>'数据-取费表'!E29</f>
        <v>0.056</v>
      </c>
      <c r="G54" s="3123"/>
      <c r="H54" s="2230"/>
      <c r="I54" s="3163"/>
      <c r="J54" s="3162"/>
      <c r="K54" s="3155">
        <v>1</v>
      </c>
      <c r="L54" s="3155" t="s">
        <v>841</v>
      </c>
      <c r="M54" s="3155"/>
      <c r="N54" s="3164">
        <f ca="1">D50</f>
        <v>0</v>
      </c>
      <c r="O54" s="3155" t="str">
        <f>E50</f>
        <v>销售额×税（费）率</v>
      </c>
      <c r="P54" s="3165">
        <f>F50</f>
        <v>0.056</v>
      </c>
    </row>
    <row r="55" ht="12" customHeight="1" spans="1:16">
      <c r="A55" s="3121" t="s">
        <v>699</v>
      </c>
      <c r="B55" s="2111" t="s">
        <v>700</v>
      </c>
      <c r="C55" s="3124"/>
      <c r="D55" s="2128">
        <f ca="1">ROUND(D47*'数据-取费表'!E29/(1+'数据-取费表'!F30),0)</f>
        <v>0</v>
      </c>
      <c r="E55" s="2133" t="s">
        <v>697</v>
      </c>
      <c r="F55" s="3122">
        <f>'数据-取费表'!E29</f>
        <v>0.056</v>
      </c>
      <c r="G55" s="3123"/>
      <c r="H55" s="2230"/>
      <c r="I55" s="3163"/>
      <c r="J55" s="3162"/>
      <c r="K55" s="3155">
        <v>2</v>
      </c>
      <c r="L55" s="3155" t="s">
        <v>842</v>
      </c>
      <c r="M55" s="3155"/>
      <c r="N55" s="3164">
        <f ca="1" t="shared" ref="N55:P56" si="1">D57</f>
        <v>0</v>
      </c>
      <c r="O55" s="3155" t="str">
        <f t="shared" si="1"/>
        <v>销售额×税（费）率</v>
      </c>
      <c r="P55" s="3165">
        <f t="shared" si="1"/>
        <v>0.0005</v>
      </c>
    </row>
    <row r="56" ht="12" customHeight="1" spans="1:16">
      <c r="A56" s="3121" t="s">
        <v>702</v>
      </c>
      <c r="B56" s="2111" t="s">
        <v>703</v>
      </c>
      <c r="C56" s="3124"/>
      <c r="D56" s="2128">
        <f ca="1">C70</f>
        <v>0</v>
      </c>
      <c r="E56" s="447" t="s">
        <v>704</v>
      </c>
      <c r="F56" s="3122">
        <f>'数据-取费表'!E29</f>
        <v>0.056</v>
      </c>
      <c r="G56" s="3123"/>
      <c r="H56" s="3125"/>
      <c r="I56" s="3163"/>
      <c r="J56" s="3162"/>
      <c r="K56" s="3155">
        <v>3</v>
      </c>
      <c r="L56" s="3155" t="s">
        <v>843</v>
      </c>
      <c r="M56" s="3155"/>
      <c r="N56" s="3164">
        <f ca="1" t="shared" si="1"/>
        <v>0</v>
      </c>
      <c r="O56" s="3155" t="str">
        <f t="shared" si="1"/>
        <v>增值额×税（费）率</v>
      </c>
      <c r="P56" s="3166" t="str">
        <f t="shared" si="1"/>
        <v>——</v>
      </c>
    </row>
    <row r="57" ht="24" customHeight="1" spans="1:16">
      <c r="A57" s="3121" t="s">
        <v>706</v>
      </c>
      <c r="B57" s="2133"/>
      <c r="C57" s="2133"/>
      <c r="D57" s="2192">
        <f ca="1">IF(H57="个人住宅",0,ROUND(D47*I57,0))</f>
        <v>0</v>
      </c>
      <c r="E57" s="2133" t="s">
        <v>707</v>
      </c>
      <c r="F57" s="3122">
        <f>IF(H57="正常",I57,"免征")</f>
        <v>0.0005</v>
      </c>
      <c r="G57" s="3123"/>
      <c r="H57" s="3110" t="s">
        <v>844</v>
      </c>
      <c r="I57" s="3167">
        <f>'数据-取费表'!E37</f>
        <v>0.0005</v>
      </c>
      <c r="J57" s="3162"/>
      <c r="K57" s="3155">
        <f>IF(H61="非个人房产","",4)</f>
        <v>4</v>
      </c>
      <c r="L57" s="3155" t="str">
        <f>IF(H61="非个人房产","——","个人所得税")</f>
        <v>个人所得税</v>
      </c>
      <c r="M57" s="3155"/>
      <c r="N57" s="3168">
        <f ca="1">D61</f>
        <v>0</v>
      </c>
      <c r="O57" s="3169" t="str">
        <f>E61</f>
        <v>销售额×税（费）率</v>
      </c>
      <c r="P57" s="3170">
        <f>F61</f>
        <v>0.01</v>
      </c>
    </row>
    <row r="58" ht="24.75" spans="1:16">
      <c r="A58" s="3121" t="s">
        <v>709</v>
      </c>
      <c r="B58" s="2133"/>
      <c r="C58" s="2133"/>
      <c r="D58" s="2192">
        <f ca="1">IF(H58="个人住宅",D59,D60)</f>
        <v>0</v>
      </c>
      <c r="E58" s="2133" t="s">
        <v>710</v>
      </c>
      <c r="F58" s="3122" t="str">
        <f>IF(H58="正常",F60,"免征")</f>
        <v>——</v>
      </c>
      <c r="G58" s="3126" t="s">
        <v>711</v>
      </c>
      <c r="H58" s="3127" t="s">
        <v>844</v>
      </c>
      <c r="I58" s="3128"/>
      <c r="J58" s="3162"/>
      <c r="K58" s="3155" t="str">
        <f>IF(项目基本情况!I6="上海银行",IF(K57="",4,K57+1),"")</f>
        <v/>
      </c>
      <c r="L58" s="3171" t="str">
        <f>IF(项目基本情况!I6="上海银行","其他处置费用","")</f>
        <v/>
      </c>
      <c r="M58" s="3172"/>
      <c r="N58" s="3164" t="str">
        <f ca="1">IF(项目基本情况!I6="上海银行",N71,"")</f>
        <v/>
      </c>
      <c r="O58" s="3171" t="str">
        <f>IF(项目基本情况!I6="上海银行","包含处置中涉及的律师、诉讼、拍卖、评估等费用","")</f>
        <v/>
      </c>
      <c r="P58" s="3173"/>
    </row>
    <row r="59" ht="13.5" spans="1:17">
      <c r="A59" s="3121" t="s">
        <v>681</v>
      </c>
      <c r="B59" s="2111" t="s">
        <v>712</v>
      </c>
      <c r="C59" s="3124"/>
      <c r="D59" s="3111">
        <v>0</v>
      </c>
      <c r="E59" s="2139" t="s">
        <v>683</v>
      </c>
      <c r="F59" s="2078"/>
      <c r="G59" s="3123"/>
      <c r="H59" s="3128"/>
      <c r="I59" s="3128"/>
      <c r="J59" s="3162"/>
      <c r="K59" s="3155">
        <f>IF(AND(K57="",K58=""),4,IF(项目基本情况!I6="上海银行",K58+1,K57+1))</f>
        <v>5</v>
      </c>
      <c r="L59" s="3155" t="s">
        <v>845</v>
      </c>
      <c r="M59" s="3174" t="s">
        <v>846</v>
      </c>
      <c r="N59" s="3175"/>
      <c r="O59" s="3176">
        <f ca="1">SUMIF(N54:N58,"&lt;9e307")</f>
        <v>0</v>
      </c>
      <c r="P59" s="3177"/>
      <c r="Q59" s="3189" t="e">
        <f ca="1">O59/N51</f>
        <v>#VALUE!</v>
      </c>
    </row>
    <row r="60" ht="24.75" spans="1:16">
      <c r="A60" s="3121" t="s">
        <v>695</v>
      </c>
      <c r="B60" s="2111" t="s">
        <v>714</v>
      </c>
      <c r="C60" s="2112"/>
      <c r="D60" s="2192">
        <f ca="1">IF(H60="转让取得",C83,C99)</f>
        <v>0</v>
      </c>
      <c r="E60" s="2133" t="s">
        <v>710</v>
      </c>
      <c r="F60" s="2078" t="s">
        <v>121</v>
      </c>
      <c r="G60" s="3123"/>
      <c r="H60" s="3127" t="s">
        <v>715</v>
      </c>
      <c r="I60" s="3128"/>
      <c r="J60" s="3162"/>
      <c r="K60" s="3155"/>
      <c r="L60" s="3155"/>
      <c r="M60" s="3174" t="s">
        <v>847</v>
      </c>
      <c r="N60" s="3178"/>
      <c r="O60" s="3179" t="str">
        <f ca="1">IF(H19="元",NUMBERSTRING(INT(O59),2)&amp;"元整",NUMBERSTRING(INT(O59*10000),2)&amp;"元整")</f>
        <v>零元整</v>
      </c>
      <c r="P60" s="3180"/>
    </row>
    <row r="61" ht="25.5" spans="1:16">
      <c r="A61" s="3129" t="s">
        <v>717</v>
      </c>
      <c r="B61" s="3130"/>
      <c r="C61" s="3130"/>
      <c r="D61" s="3131">
        <f ca="1">IF(H61="非个人房产","——",IF(H61="个人住宅（满五唯一有凭证）",0,IF(H61="个人其他（无凭证）",ROUND(D47*F61,0),ROUND(C69*F61,0))))</f>
        <v>0</v>
      </c>
      <c r="E61" s="3130" t="str">
        <f>IF(H61="非个人房产","——",IF(H61="个人其他（无凭证）","销售额×税（费）率",IF(H61="个人住宅（满五唯一有凭证）","免征","差额计税")))</f>
        <v>销售额×税（费）率</v>
      </c>
      <c r="F61" s="3132">
        <f>IF(OR(H61="非个人房产",H61="个人住宅（满五唯一有凭证）"),"——",IF(H61="个人其他（有凭证）",20%,1%))</f>
        <v>0.01</v>
      </c>
      <c r="G61" s="3133" t="s">
        <v>718</v>
      </c>
      <c r="H61" s="3134" t="s">
        <v>848</v>
      </c>
      <c r="I61" s="3181" t="s">
        <v>720</v>
      </c>
      <c r="J61" s="3162"/>
      <c r="K61" s="3169">
        <f>K59+1</f>
        <v>6</v>
      </c>
      <c r="L61" s="3155" t="s">
        <v>849</v>
      </c>
      <c r="M61" s="3155" t="s">
        <v>846</v>
      </c>
      <c r="N61" s="3182"/>
      <c r="O61" s="3183" t="e">
        <f ca="1">N51-O59</f>
        <v>#VALUE!</v>
      </c>
      <c r="P61" s="3184"/>
    </row>
    <row r="62" ht="12" customHeight="1" spans="1:16">
      <c r="A62" s="3135"/>
      <c r="B62" s="3018"/>
      <c r="C62" s="3018"/>
      <c r="D62" s="3018"/>
      <c r="E62" s="3135"/>
      <c r="F62" s="3128"/>
      <c r="G62" s="3128"/>
      <c r="H62" s="3136"/>
      <c r="I62" s="2230"/>
      <c r="J62" s="3162"/>
      <c r="K62" s="3185"/>
      <c r="L62" s="3155"/>
      <c r="M62" s="3174" t="s">
        <v>847</v>
      </c>
      <c r="N62" s="3178"/>
      <c r="O62" s="3179" t="e">
        <f ca="1">IF(H19="元",NUMBERSTRING(INT(O61),2)&amp;"元整",NUMBERSTRING(INT(O61*10000),2)&amp;"元整")</f>
        <v>#VALUE!</v>
      </c>
      <c r="P62" s="3180"/>
    </row>
    <row r="63" ht="14.25" spans="1:16">
      <c r="A63" s="3137" t="s">
        <v>721</v>
      </c>
      <c r="B63" s="3137"/>
      <c r="C63" s="3137"/>
      <c r="D63" s="3137"/>
      <c r="E63" s="3137"/>
      <c r="F63" s="3128"/>
      <c r="G63" s="3128"/>
      <c r="H63" s="3136"/>
      <c r="I63" s="2230"/>
      <c r="J63" s="3142"/>
      <c r="K63" s="3155">
        <f>K61+1</f>
        <v>7</v>
      </c>
      <c r="L63" s="3155" t="s">
        <v>850</v>
      </c>
      <c r="M63" s="3155"/>
      <c r="N63" s="3186"/>
      <c r="O63" s="3187" t="e">
        <f ca="1">IF(H19="元",ROUND(O61/项目基本情况!C12,0),ROUND(O61*10000/项目基本情况!C12,0))</f>
        <v>#VALUE!</v>
      </c>
      <c r="P63" s="3188"/>
    </row>
    <row r="64" ht="13.5" spans="1:15">
      <c r="A64" s="459" t="s">
        <v>723</v>
      </c>
      <c r="B64" s="425"/>
      <c r="C64" s="425"/>
      <c r="D64" s="425" t="s">
        <v>724</v>
      </c>
      <c r="E64" s="3138" t="s">
        <v>675</v>
      </c>
      <c r="F64" s="3128"/>
      <c r="G64" s="3128"/>
      <c r="H64" s="3136"/>
      <c r="I64" s="2230"/>
      <c r="J64" s="3142"/>
      <c r="K64" s="3003"/>
      <c r="L64" s="3003"/>
      <c r="M64" s="3003"/>
      <c r="N64" s="3003"/>
      <c r="O64" s="3003"/>
    </row>
    <row r="65" ht="13.5" spans="1:15">
      <c r="A65" s="3191">
        <v>1</v>
      </c>
      <c r="B65" s="3192" t="s">
        <v>725</v>
      </c>
      <c r="C65" s="3193">
        <f ca="1">ROUND((C66+C67)/(1+'数据-取费表'!F30),0)</f>
        <v>0</v>
      </c>
      <c r="D65" s="3192"/>
      <c r="E65" s="3194"/>
      <c r="F65" s="3128"/>
      <c r="G65" s="3128"/>
      <c r="H65" s="3136"/>
      <c r="I65" s="2230"/>
      <c r="J65" s="3142"/>
      <c r="K65" s="3260" t="s">
        <v>851</v>
      </c>
      <c r="L65" s="3260" t="s">
        <v>852</v>
      </c>
      <c r="M65" s="3260" t="e">
        <f ca="1">IF(N51&gt;10000,N51*0.5%,IF(AND(N51&gt;1000,N51&lt;=10000),N51*1%,IF(AND(N51&gt;100,N51&lt;=1000),N51*3%,IF(AND(N51&gt;10,N51&lt;=100),N51*5%,N51*8%))))</f>
        <v>#VALUE!</v>
      </c>
      <c r="N65" s="2078" t="e">
        <f ca="1">ROUND(M65,1)</f>
        <v>#VALUE!</v>
      </c>
      <c r="O65" s="3306"/>
    </row>
    <row r="66" ht="13.5" spans="1:15">
      <c r="A66" s="3195" t="s">
        <v>728</v>
      </c>
      <c r="B66" s="410" t="s">
        <v>729</v>
      </c>
      <c r="C66" s="3196">
        <f ca="1">D47</f>
        <v>0</v>
      </c>
      <c r="D66" s="410" t="s">
        <v>121</v>
      </c>
      <c r="E66" s="3197"/>
      <c r="F66" s="3128"/>
      <c r="G66" s="3128"/>
      <c r="H66" s="3136"/>
      <c r="I66" s="2230"/>
      <c r="J66" s="3142"/>
      <c r="K66" s="3260"/>
      <c r="L66" s="3260" t="s">
        <v>853</v>
      </c>
      <c r="M66" s="3260"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3306" t="s">
        <v>854</v>
      </c>
    </row>
    <row r="67" ht="13.5" spans="1:15">
      <c r="A67" s="3195" t="s">
        <v>732</v>
      </c>
      <c r="B67" s="410" t="s">
        <v>733</v>
      </c>
      <c r="C67" s="3198"/>
      <c r="D67" s="410"/>
      <c r="E67" s="3197"/>
      <c r="F67" s="3128"/>
      <c r="G67" s="3128"/>
      <c r="H67" s="3136"/>
      <c r="I67" s="2230"/>
      <c r="J67" s="3142"/>
      <c r="K67" s="3260"/>
      <c r="L67" s="3260" t="s">
        <v>855</v>
      </c>
      <c r="M67" s="3260" t="e">
        <f ca="1">IF(N51&gt;1000,N51*0.1%,IF(AND(N51&gt;500,N51&lt;=1000),N51*0.5%,IF(AND(N51&gt;50,N51&lt;=500),N51*1%,IF(AND(N51&gt;1,N51&lt;=50),N51*1.5%))))</f>
        <v>#VALUE!</v>
      </c>
      <c r="N67" s="2078" t="e">
        <f ca="1" t="shared" si="2"/>
        <v>#VALUE!</v>
      </c>
      <c r="O67" s="3306" t="s">
        <v>854</v>
      </c>
    </row>
    <row r="68" ht="13.5" spans="1:15">
      <c r="A68" s="3199" t="s">
        <v>735</v>
      </c>
      <c r="B68" s="516" t="s">
        <v>736</v>
      </c>
      <c r="C68" s="3200"/>
      <c r="D68" s="516" t="s">
        <v>121</v>
      </c>
      <c r="E68" s="3201" t="s">
        <v>737</v>
      </c>
      <c r="F68" s="3128"/>
      <c r="G68" s="3128"/>
      <c r="H68" s="3136"/>
      <c r="I68" s="2230"/>
      <c r="J68" s="3142"/>
      <c r="K68" s="3260"/>
      <c r="L68" s="3260" t="s">
        <v>856</v>
      </c>
      <c r="M68" s="3260" t="e">
        <f ca="1">N51*0.5%</f>
        <v>#VALUE!</v>
      </c>
      <c r="N68" s="2078" t="e">
        <f ca="1">IF(M68&gt;0.5,0.5,ROUND(M68,0))</f>
        <v>#VALUE!</v>
      </c>
      <c r="O68" s="3306" t="s">
        <v>857</v>
      </c>
    </row>
    <row r="69" ht="13.5" spans="1:15">
      <c r="A69" s="3199" t="s">
        <v>740</v>
      </c>
      <c r="B69" s="516" t="s">
        <v>741</v>
      </c>
      <c r="C69" s="3202">
        <f ca="1">C65-C68</f>
        <v>0</v>
      </c>
      <c r="D69" s="410" t="s">
        <v>121</v>
      </c>
      <c r="E69" s="3197"/>
      <c r="F69" s="3128"/>
      <c r="G69" s="3128"/>
      <c r="H69" s="3136"/>
      <c r="I69" s="2230"/>
      <c r="J69" s="3142"/>
      <c r="K69" s="3260"/>
      <c r="L69" s="3260" t="s">
        <v>858</v>
      </c>
      <c r="M69" s="3260"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3306"/>
    </row>
    <row r="70" ht="14.25" spans="1:15">
      <c r="A70" s="3203" t="s">
        <v>743</v>
      </c>
      <c r="B70" s="537" t="s">
        <v>744</v>
      </c>
      <c r="C70" s="3204">
        <f ca="1">IF(C69&lt;=0,0,ROUND(C69*D70,0))</f>
        <v>0</v>
      </c>
      <c r="D70" s="631">
        <f>'数据-取费表'!E29</f>
        <v>0.056</v>
      </c>
      <c r="E70" s="3205"/>
      <c r="F70" s="3128"/>
      <c r="G70" s="3128"/>
      <c r="H70" s="3136"/>
      <c r="I70" s="2230"/>
      <c r="J70" s="3142"/>
      <c r="K70" s="3260"/>
      <c r="L70" s="3260" t="s">
        <v>859</v>
      </c>
      <c r="M70" s="3260" t="e">
        <f ca="1">IF(N51&gt;10000,N51*0.5%,IF(AND(N51&gt;5000,N51&lt;=10000),N51*1%,IF(AND(N51&gt;1000,N51&lt;=5000),N51*2%,IF(AND(N51&gt;200,N51&lt;=1000),N51*3%,N51*5%))))</f>
        <v>#VALUE!</v>
      </c>
      <c r="N70" s="2078" t="e">
        <f ca="1">ROUND(M70,1)</f>
        <v>#VALUE!</v>
      </c>
      <c r="O70" s="3306"/>
    </row>
    <row r="71" s="3001" customFormat="1" ht="7.5" customHeight="1" spans="1:36">
      <c r="A71" s="3206"/>
      <c r="B71" s="507"/>
      <c r="C71" s="3207"/>
      <c r="D71" s="558"/>
      <c r="E71" s="3089"/>
      <c r="F71" s="3135"/>
      <c r="G71" s="3135"/>
      <c r="H71" s="3089"/>
      <c r="I71" s="3018"/>
      <c r="J71" s="3142"/>
      <c r="K71" s="3260"/>
      <c r="L71" s="3260" t="s">
        <v>860</v>
      </c>
      <c r="M71" s="3260"/>
      <c r="N71" s="2078" t="e">
        <f ca="1">ROUND(SUM(N65:N70),0)</f>
        <v>#VALUE!</v>
      </c>
      <c r="O71" s="3307" t="e">
        <f ca="1">N71/N51</f>
        <v>#VALUE!</v>
      </c>
      <c r="P71" s="1712"/>
      <c r="Q71" s="1712"/>
      <c r="R71" s="1712"/>
      <c r="S71" s="1712"/>
      <c r="T71" s="1712"/>
      <c r="U71" s="1712"/>
      <c r="V71" s="1712"/>
      <c r="W71" s="1712"/>
      <c r="X71" s="1712"/>
      <c r="Y71" s="1712"/>
      <c r="Z71" s="1712"/>
      <c r="AA71" s="1712"/>
      <c r="AB71" s="3003"/>
      <c r="AC71" s="3003"/>
      <c r="AD71" s="3003"/>
      <c r="AE71" s="3003"/>
      <c r="AF71" s="3003"/>
      <c r="AG71" s="3003"/>
      <c r="AH71" s="3003"/>
      <c r="AI71" s="3003"/>
      <c r="AJ71" s="3003"/>
    </row>
    <row r="72" s="3002" customFormat="1" ht="15" spans="1:36">
      <c r="A72" s="3208" t="s">
        <v>746</v>
      </c>
      <c r="B72" s="507"/>
      <c r="C72" s="507"/>
      <c r="D72" s="507"/>
      <c r="E72" s="507"/>
      <c r="F72" s="507"/>
      <c r="G72" s="507"/>
      <c r="H72" s="507"/>
      <c r="I72" s="3308"/>
      <c r="J72" s="3309"/>
      <c r="K72" s="367"/>
      <c r="L72" s="367"/>
      <c r="M72" s="367"/>
      <c r="N72" s="367"/>
      <c r="O72" s="367"/>
      <c r="P72" s="367"/>
      <c r="Q72" s="367"/>
      <c r="R72" s="367"/>
      <c r="S72" s="367"/>
      <c r="T72" s="367"/>
      <c r="U72" s="367"/>
      <c r="V72" s="367"/>
      <c r="W72" s="367"/>
      <c r="X72" s="367"/>
      <c r="Y72" s="367"/>
      <c r="Z72" s="367"/>
      <c r="AA72" s="367"/>
      <c r="AB72" s="3315"/>
      <c r="AC72" s="3315"/>
      <c r="AD72" s="3315"/>
      <c r="AE72" s="3315"/>
      <c r="AF72" s="3315"/>
      <c r="AG72" s="3315"/>
      <c r="AH72" s="3315"/>
      <c r="AI72" s="3315"/>
      <c r="AJ72" s="3315"/>
    </row>
    <row r="73" s="3002" customFormat="1" ht="14.25" spans="1:36">
      <c r="A73" s="459" t="s">
        <v>723</v>
      </c>
      <c r="B73" s="425"/>
      <c r="C73" s="425"/>
      <c r="D73" s="425" t="s">
        <v>724</v>
      </c>
      <c r="E73" s="3209" t="s">
        <v>675</v>
      </c>
      <c r="F73" s="3210"/>
      <c r="G73" s="3210"/>
      <c r="H73" s="3211"/>
      <c r="I73" s="3310"/>
      <c r="J73" s="3311"/>
      <c r="K73" s="367"/>
      <c r="L73" s="367"/>
      <c r="M73" s="367"/>
      <c r="N73" s="367"/>
      <c r="O73" s="367"/>
      <c r="P73" s="367"/>
      <c r="Q73" s="367"/>
      <c r="R73" s="367"/>
      <c r="S73" s="367"/>
      <c r="T73" s="367"/>
      <c r="U73" s="367"/>
      <c r="V73" s="367"/>
      <c r="W73" s="367"/>
      <c r="X73" s="367"/>
      <c r="Y73" s="367"/>
      <c r="Z73" s="367"/>
      <c r="AA73" s="367"/>
      <c r="AB73" s="3315"/>
      <c r="AC73" s="3315"/>
      <c r="AD73" s="3315"/>
      <c r="AE73" s="3315"/>
      <c r="AF73" s="3315"/>
      <c r="AG73" s="3315"/>
      <c r="AH73" s="3315"/>
      <c r="AI73" s="3315"/>
      <c r="AJ73" s="3315"/>
    </row>
    <row r="74" s="3002" customFormat="1" ht="14.25" spans="1:36">
      <c r="A74" s="3212">
        <v>1</v>
      </c>
      <c r="B74" s="516" t="s">
        <v>747</v>
      </c>
      <c r="C74" s="3202">
        <f ca="1">ROUND(D47/(1+'数据-取费表'!F30),0)</f>
        <v>0</v>
      </c>
      <c r="D74" s="410" t="s">
        <v>121</v>
      </c>
      <c r="E74" s="2111"/>
      <c r="F74" s="2112"/>
      <c r="G74" s="2112"/>
      <c r="H74" s="3213"/>
      <c r="I74" s="3310"/>
      <c r="J74" s="3311"/>
      <c r="K74" s="367"/>
      <c r="L74" s="367"/>
      <c r="M74" s="367"/>
      <c r="N74" s="367"/>
      <c r="O74" s="367"/>
      <c r="P74" s="367"/>
      <c r="Q74" s="367"/>
      <c r="R74" s="367"/>
      <c r="S74" s="367"/>
      <c r="T74" s="367"/>
      <c r="U74" s="367"/>
      <c r="V74" s="367"/>
      <c r="W74" s="367"/>
      <c r="X74" s="367"/>
      <c r="Y74" s="367"/>
      <c r="Z74" s="367"/>
      <c r="AA74" s="367"/>
      <c r="AB74" s="3315"/>
      <c r="AC74" s="3315"/>
      <c r="AD74" s="3315"/>
      <c r="AE74" s="3315"/>
      <c r="AF74" s="3315"/>
      <c r="AG74" s="3315"/>
      <c r="AH74" s="3315"/>
      <c r="AI74" s="3315"/>
      <c r="AJ74" s="3315"/>
    </row>
    <row r="75" s="3002" customFormat="1" ht="14.25" spans="1:36">
      <c r="A75" s="3214">
        <v>2</v>
      </c>
      <c r="B75" s="2296" t="s">
        <v>749</v>
      </c>
      <c r="C75" s="3202">
        <f ca="1">C76+C80</f>
        <v>0</v>
      </c>
      <c r="D75" s="410" t="s">
        <v>121</v>
      </c>
      <c r="E75" s="2111"/>
      <c r="F75" s="2112"/>
      <c r="G75" s="2112"/>
      <c r="H75" s="3213"/>
      <c r="I75" s="3310"/>
      <c r="J75" s="3311"/>
      <c r="K75" s="367"/>
      <c r="L75" s="367"/>
      <c r="M75" s="367"/>
      <c r="N75" s="367"/>
      <c r="O75" s="367"/>
      <c r="P75" s="367"/>
      <c r="Q75" s="367"/>
      <c r="R75" s="367"/>
      <c r="S75" s="367"/>
      <c r="T75" s="367"/>
      <c r="U75" s="367"/>
      <c r="V75" s="367"/>
      <c r="W75" s="367"/>
      <c r="X75" s="367"/>
      <c r="Y75" s="367"/>
      <c r="Z75" s="367"/>
      <c r="AA75" s="367"/>
      <c r="AB75" s="3315"/>
      <c r="AC75" s="3315"/>
      <c r="AD75" s="3315"/>
      <c r="AE75" s="3315"/>
      <c r="AF75" s="3315"/>
      <c r="AG75" s="3315"/>
      <c r="AH75" s="3315"/>
      <c r="AI75" s="3315"/>
      <c r="AJ75" s="3315"/>
    </row>
    <row r="76" s="3002" customFormat="1" ht="14.25" spans="1:36">
      <c r="A76" s="3195" t="s">
        <v>750</v>
      </c>
      <c r="B76" s="410" t="s">
        <v>751</v>
      </c>
      <c r="C76" s="410">
        <f>ROUND(IF(G79="2016年5月1日后购买",C77/(1+'数据-取费表'!F30)+C78+C79,C77+C78+C79),0)</f>
        <v>0</v>
      </c>
      <c r="D76" s="410" t="s">
        <v>121</v>
      </c>
      <c r="E76" s="2111"/>
      <c r="F76" s="2112"/>
      <c r="G76" s="2112"/>
      <c r="H76" s="3213"/>
      <c r="I76" s="3310"/>
      <c r="J76" s="3311"/>
      <c r="K76" s="367"/>
      <c r="L76" s="367"/>
      <c r="M76" s="367"/>
      <c r="N76" s="367"/>
      <c r="O76" s="367"/>
      <c r="P76" s="367"/>
      <c r="Q76" s="367"/>
      <c r="R76" s="367"/>
      <c r="S76" s="367"/>
      <c r="T76" s="367"/>
      <c r="U76" s="367"/>
      <c r="V76" s="367"/>
      <c r="W76" s="367"/>
      <c r="X76" s="367"/>
      <c r="Y76" s="367"/>
      <c r="Z76" s="367"/>
      <c r="AA76" s="367"/>
      <c r="AB76" s="3315"/>
      <c r="AC76" s="3315"/>
      <c r="AD76" s="3315"/>
      <c r="AE76" s="3315"/>
      <c r="AF76" s="3315"/>
      <c r="AG76" s="3315"/>
      <c r="AH76" s="3315"/>
      <c r="AI76" s="3315"/>
      <c r="AJ76" s="3315"/>
    </row>
    <row r="77" s="3002" customFormat="1" ht="14.25" spans="1:36">
      <c r="A77" s="3195" t="s">
        <v>752</v>
      </c>
      <c r="B77" s="410" t="s">
        <v>753</v>
      </c>
      <c r="C77" s="540"/>
      <c r="D77" s="410" t="s">
        <v>121</v>
      </c>
      <c r="E77" s="3215" t="s">
        <v>754</v>
      </c>
      <c r="F77" s="3216" t="s">
        <v>755</v>
      </c>
      <c r="G77" s="3215" t="s">
        <v>756</v>
      </c>
      <c r="H77" s="3217"/>
      <c r="I77" s="544"/>
      <c r="J77" s="3312"/>
      <c r="K77" s="367"/>
      <c r="L77" s="367"/>
      <c r="M77" s="367"/>
      <c r="N77" s="367"/>
      <c r="O77" s="367"/>
      <c r="P77" s="367"/>
      <c r="Q77" s="367"/>
      <c r="R77" s="367"/>
      <c r="S77" s="367"/>
      <c r="T77" s="367"/>
      <c r="U77" s="367"/>
      <c r="V77" s="367"/>
      <c r="W77" s="367"/>
      <c r="X77" s="367"/>
      <c r="Y77" s="367"/>
      <c r="Z77" s="367"/>
      <c r="AA77" s="367"/>
      <c r="AB77" s="3315"/>
      <c r="AC77" s="3315"/>
      <c r="AD77" s="3315"/>
      <c r="AE77" s="3315"/>
      <c r="AF77" s="3315"/>
      <c r="AG77" s="3315"/>
      <c r="AH77" s="3315"/>
      <c r="AI77" s="3315"/>
      <c r="AJ77" s="3315"/>
    </row>
    <row r="78" s="3002" customFormat="1" ht="24.75" customHeight="1" spans="1:36">
      <c r="A78" s="3195" t="s">
        <v>757</v>
      </c>
      <c r="B78" s="432" t="s">
        <v>758</v>
      </c>
      <c r="C78" s="410">
        <f>IF(F77="购房发票",ROUND(C77*H77*D78,0),0)</f>
        <v>0</v>
      </c>
      <c r="D78" s="3218">
        <v>0.05</v>
      </c>
      <c r="E78" s="2111" t="s">
        <v>759</v>
      </c>
      <c r="F78" s="2112"/>
      <c r="G78" s="2112"/>
      <c r="H78" s="3219"/>
      <c r="I78" s="3310"/>
      <c r="J78" s="3311"/>
      <c r="K78" s="367"/>
      <c r="L78" s="367"/>
      <c r="M78" s="367"/>
      <c r="N78" s="367"/>
      <c r="O78" s="367"/>
      <c r="P78" s="367"/>
      <c r="Q78" s="367"/>
      <c r="R78" s="367"/>
      <c r="S78" s="367"/>
      <c r="T78" s="367"/>
      <c r="U78" s="367"/>
      <c r="V78" s="367"/>
      <c r="W78" s="367"/>
      <c r="X78" s="367"/>
      <c r="Y78" s="367"/>
      <c r="Z78" s="367"/>
      <c r="AA78" s="367"/>
      <c r="AB78" s="3315"/>
      <c r="AC78" s="3315"/>
      <c r="AD78" s="3315"/>
      <c r="AE78" s="3315"/>
      <c r="AF78" s="3315"/>
      <c r="AG78" s="3315"/>
      <c r="AH78" s="3315"/>
      <c r="AI78" s="3315"/>
      <c r="AJ78" s="3315"/>
    </row>
    <row r="79" s="3002" customFormat="1" ht="24.75" customHeight="1" spans="1:36">
      <c r="A79" s="3195" t="s">
        <v>760</v>
      </c>
      <c r="B79" s="410" t="s">
        <v>761</v>
      </c>
      <c r="C79" s="410">
        <f>ROUND(IF(G79="个人住宅",0,IF(G79="2016年5月1日前购买",C77*D79,C77*D79/(1+'数据-取费表'!F30))),0)</f>
        <v>0</v>
      </c>
      <c r="D79" s="3220">
        <f>'数据-取费表'!E36+'数据-取费表'!E37</f>
        <v>0.0305</v>
      </c>
      <c r="E79" s="2192" t="s">
        <v>762</v>
      </c>
      <c r="F79" s="1289"/>
      <c r="G79" s="3221" t="s">
        <v>763</v>
      </c>
      <c r="H79" s="3219" t="str">
        <f>IF(G79="个人买卖住房","免征印花税"," ")</f>
        <v> </v>
      </c>
      <c r="I79" s="3310"/>
      <c r="J79" s="3311"/>
      <c r="K79" s="367"/>
      <c r="L79" s="367"/>
      <c r="M79" s="367"/>
      <c r="N79" s="367"/>
      <c r="O79" s="367"/>
      <c r="P79" s="367"/>
      <c r="Q79" s="367"/>
      <c r="R79" s="367"/>
      <c r="S79" s="367"/>
      <c r="T79" s="367"/>
      <c r="U79" s="367"/>
      <c r="V79" s="367"/>
      <c r="W79" s="367"/>
      <c r="X79" s="367"/>
      <c r="Y79" s="367"/>
      <c r="Z79" s="367"/>
      <c r="AA79" s="367"/>
      <c r="AB79" s="3315"/>
      <c r="AC79" s="3315"/>
      <c r="AD79" s="3315"/>
      <c r="AE79" s="3315"/>
      <c r="AF79" s="3315"/>
      <c r="AG79" s="3315"/>
      <c r="AH79" s="3315"/>
      <c r="AI79" s="3315"/>
      <c r="AJ79" s="3315"/>
    </row>
    <row r="80" s="3002" customFormat="1" ht="24.75" customHeight="1" spans="1:36">
      <c r="A80" s="3195" t="s">
        <v>764</v>
      </c>
      <c r="B80" s="410" t="s">
        <v>765</v>
      </c>
      <c r="C80" s="3222">
        <f ca="1">ROUND(D47*D80/(1+'数据-取费表'!F30),0)</f>
        <v>0</v>
      </c>
      <c r="D80" s="3223">
        <f>'数据-取费表'!E31</f>
        <v>0.006</v>
      </c>
      <c r="E80" s="3224" t="s">
        <v>766</v>
      </c>
      <c r="F80" s="3225"/>
      <c r="G80" s="3225"/>
      <c r="H80" s="3226"/>
      <c r="I80" s="3231"/>
      <c r="J80" s="3313"/>
      <c r="K80" s="367"/>
      <c r="L80" s="367"/>
      <c r="M80" s="367"/>
      <c r="N80" s="367"/>
      <c r="O80" s="367"/>
      <c r="P80" s="367"/>
      <c r="Q80" s="367"/>
      <c r="R80" s="367"/>
      <c r="S80" s="367"/>
      <c r="T80" s="367"/>
      <c r="U80" s="367"/>
      <c r="V80" s="367"/>
      <c r="W80" s="367"/>
      <c r="X80" s="367"/>
      <c r="Y80" s="367"/>
      <c r="Z80" s="367"/>
      <c r="AA80" s="367"/>
      <c r="AB80" s="3315"/>
      <c r="AC80" s="3315"/>
      <c r="AD80" s="3315"/>
      <c r="AE80" s="3315"/>
      <c r="AF80" s="3315"/>
      <c r="AG80" s="3315"/>
      <c r="AH80" s="3315"/>
      <c r="AI80" s="3315"/>
      <c r="AJ80" s="3315"/>
    </row>
    <row r="81" s="3002" customFormat="1" ht="14.25" spans="1:36">
      <c r="A81" s="3199" t="s">
        <v>740</v>
      </c>
      <c r="B81" s="516" t="s">
        <v>767</v>
      </c>
      <c r="C81" s="3202">
        <f ca="1">C74-C75</f>
        <v>0</v>
      </c>
      <c r="D81" s="410" t="s">
        <v>121</v>
      </c>
      <c r="E81" s="2111"/>
      <c r="F81" s="2112"/>
      <c r="G81" s="2112"/>
      <c r="H81" s="3213"/>
      <c r="I81" s="3310"/>
      <c r="J81" s="3311"/>
      <c r="K81" s="367"/>
      <c r="L81" s="367"/>
      <c r="M81" s="367"/>
      <c r="N81" s="367"/>
      <c r="O81" s="367"/>
      <c r="P81" s="367"/>
      <c r="Q81" s="367"/>
      <c r="R81" s="367"/>
      <c r="S81" s="367"/>
      <c r="T81" s="367"/>
      <c r="U81" s="367"/>
      <c r="V81" s="367"/>
      <c r="W81" s="367"/>
      <c r="X81" s="367"/>
      <c r="Y81" s="367"/>
      <c r="Z81" s="367"/>
      <c r="AA81" s="367"/>
      <c r="AB81" s="3315"/>
      <c r="AC81" s="3315"/>
      <c r="AD81" s="3315"/>
      <c r="AE81" s="3315"/>
      <c r="AF81" s="3315"/>
      <c r="AG81" s="3315"/>
      <c r="AH81" s="3315"/>
      <c r="AI81" s="3315"/>
      <c r="AJ81" s="3315"/>
    </row>
    <row r="82" s="3002" customFormat="1" ht="14.25" spans="1:36">
      <c r="A82" s="3199" t="s">
        <v>743</v>
      </c>
      <c r="B82" s="516" t="s">
        <v>768</v>
      </c>
      <c r="C82" s="3227">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3213"/>
      <c r="I82" s="3310"/>
      <c r="J82" s="3311"/>
      <c r="K82" s="367"/>
      <c r="L82" s="367"/>
      <c r="M82" s="367"/>
      <c r="N82" s="367"/>
      <c r="O82" s="367"/>
      <c r="P82" s="367"/>
      <c r="Q82" s="367"/>
      <c r="R82" s="367"/>
      <c r="S82" s="367"/>
      <c r="T82" s="367"/>
      <c r="U82" s="367"/>
      <c r="V82" s="367"/>
      <c r="W82" s="367"/>
      <c r="X82" s="367"/>
      <c r="Y82" s="367"/>
      <c r="Z82" s="367"/>
      <c r="AA82" s="367"/>
      <c r="AB82" s="3315"/>
      <c r="AC82" s="3315"/>
      <c r="AD82" s="3315"/>
      <c r="AE82" s="3315"/>
      <c r="AF82" s="3315"/>
      <c r="AG82" s="3315"/>
      <c r="AH82" s="3315"/>
      <c r="AI82" s="3315"/>
      <c r="AJ82" s="3315"/>
    </row>
    <row r="83" s="3002" customFormat="1" ht="15" spans="1:36">
      <c r="A83" s="3203" t="s">
        <v>769</v>
      </c>
      <c r="B83" s="537" t="s">
        <v>770</v>
      </c>
      <c r="C83" s="3228">
        <f ca="1">ROUND(IF(C81&lt;=0,0,IF(C82&gt;=200%,C81*60%-C75*35%,IF(C82&gt;=100%,C81*50%-C75*15%,IF(C82&gt;=50%,C81*40%-C75*5%,IF(C82&lt;50%,C81*30%,0))))),0)</f>
        <v>0</v>
      </c>
      <c r="D83" s="456" t="s">
        <v>121</v>
      </c>
      <c r="E83" s="313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3229"/>
      <c r="G83" s="3229"/>
      <c r="H83" s="3230"/>
      <c r="I83" s="3310"/>
      <c r="J83" s="3311"/>
      <c r="K83" s="367"/>
      <c r="L83" s="367"/>
      <c r="M83" s="367"/>
      <c r="N83" s="367"/>
      <c r="O83" s="367"/>
      <c r="P83" s="367"/>
      <c r="Q83" s="367"/>
      <c r="R83" s="367"/>
      <c r="S83" s="367"/>
      <c r="T83" s="367"/>
      <c r="U83" s="367"/>
      <c r="V83" s="367"/>
      <c r="W83" s="367"/>
      <c r="X83" s="367"/>
      <c r="Y83" s="367"/>
      <c r="Z83" s="367"/>
      <c r="AA83" s="367"/>
      <c r="AB83" s="3315"/>
      <c r="AC83" s="3315"/>
      <c r="AD83" s="3315"/>
      <c r="AE83" s="3315"/>
      <c r="AF83" s="3315"/>
      <c r="AG83" s="3315"/>
      <c r="AH83" s="3315"/>
      <c r="AI83" s="3315"/>
      <c r="AJ83" s="3315"/>
    </row>
    <row r="84" s="3002" customFormat="1" ht="7.5" customHeight="1" spans="1:36">
      <c r="A84" s="544"/>
      <c r="B84" s="544"/>
      <c r="C84" s="544"/>
      <c r="D84" s="544"/>
      <c r="E84" s="544"/>
      <c r="F84" s="544"/>
      <c r="G84" s="544"/>
      <c r="H84" s="3231"/>
      <c r="I84" s="3231"/>
      <c r="J84" s="3313"/>
      <c r="K84" s="367"/>
      <c r="L84" s="367"/>
      <c r="M84" s="367"/>
      <c r="N84" s="367"/>
      <c r="O84" s="367"/>
      <c r="P84" s="367"/>
      <c r="Q84" s="367"/>
      <c r="R84" s="367"/>
      <c r="S84" s="367"/>
      <c r="T84" s="367"/>
      <c r="U84" s="367"/>
      <c r="V84" s="367"/>
      <c r="W84" s="367"/>
      <c r="X84" s="367"/>
      <c r="Y84" s="367"/>
      <c r="Z84" s="367"/>
      <c r="AA84" s="367"/>
      <c r="AB84" s="3315"/>
      <c r="AC84" s="3315"/>
      <c r="AD84" s="3315"/>
      <c r="AE84" s="3315"/>
      <c r="AF84" s="3315"/>
      <c r="AG84" s="3315"/>
      <c r="AH84" s="3315"/>
      <c r="AI84" s="3315"/>
      <c r="AJ84" s="3315"/>
    </row>
    <row r="85" s="3002" customFormat="1" ht="15" spans="1:36">
      <c r="A85" s="3208" t="s">
        <v>771</v>
      </c>
      <c r="B85" s="507"/>
      <c r="C85" s="507"/>
      <c r="D85" s="507"/>
      <c r="E85" s="507"/>
      <c r="F85" s="507"/>
      <c r="G85" s="507"/>
      <c r="H85" s="507"/>
      <c r="I85" s="544"/>
      <c r="J85" s="3312"/>
      <c r="K85" s="367"/>
      <c r="L85" s="367"/>
      <c r="M85" s="367"/>
      <c r="N85" s="367"/>
      <c r="O85" s="367"/>
      <c r="P85" s="367"/>
      <c r="Q85" s="367"/>
      <c r="R85" s="367"/>
      <c r="S85" s="367"/>
      <c r="T85" s="367"/>
      <c r="U85" s="367"/>
      <c r="V85" s="367"/>
      <c r="W85" s="367"/>
      <c r="X85" s="367"/>
      <c r="Y85" s="367"/>
      <c r="Z85" s="367"/>
      <c r="AA85" s="367"/>
      <c r="AB85" s="3315"/>
      <c r="AC85" s="3315"/>
      <c r="AD85" s="3315"/>
      <c r="AE85" s="3315"/>
      <c r="AF85" s="3315"/>
      <c r="AG85" s="3315"/>
      <c r="AH85" s="3315"/>
      <c r="AI85" s="3315"/>
      <c r="AJ85" s="3315"/>
    </row>
    <row r="86" s="3002" customFormat="1" ht="14.25" spans="1:36">
      <c r="A86" s="459" t="s">
        <v>723</v>
      </c>
      <c r="B86" s="425"/>
      <c r="C86" s="425"/>
      <c r="D86" s="425" t="s">
        <v>724</v>
      </c>
      <c r="E86" s="3209" t="s">
        <v>675</v>
      </c>
      <c r="F86" s="3210"/>
      <c r="G86" s="3210"/>
      <c r="H86" s="3232"/>
      <c r="I86" s="544"/>
      <c r="J86" s="3312"/>
      <c r="K86" s="367"/>
      <c r="L86" s="367"/>
      <c r="M86" s="367"/>
      <c r="N86" s="367"/>
      <c r="O86" s="367"/>
      <c r="P86" s="367"/>
      <c r="Q86" s="367"/>
      <c r="R86" s="367"/>
      <c r="S86" s="367"/>
      <c r="T86" s="367"/>
      <c r="U86" s="367"/>
      <c r="V86" s="367"/>
      <c r="W86" s="367"/>
      <c r="X86" s="367"/>
      <c r="Y86" s="367"/>
      <c r="Z86" s="367"/>
      <c r="AA86" s="367"/>
      <c r="AB86" s="3315"/>
      <c r="AC86" s="3315"/>
      <c r="AD86" s="3315"/>
      <c r="AE86" s="3315"/>
      <c r="AF86" s="3315"/>
      <c r="AG86" s="3315"/>
      <c r="AH86" s="3315"/>
      <c r="AI86" s="3315"/>
      <c r="AJ86" s="3315"/>
    </row>
    <row r="87" s="3002" customFormat="1" ht="14.25" spans="1:36">
      <c r="A87" s="3212">
        <v>1</v>
      </c>
      <c r="B87" s="516" t="s">
        <v>747</v>
      </c>
      <c r="C87" s="3202">
        <f ca="1">ROUND(D47/(1+'数据-取费表'!F30),0)</f>
        <v>0</v>
      </c>
      <c r="D87" s="410" t="s">
        <v>121</v>
      </c>
      <c r="E87" s="2111"/>
      <c r="F87" s="2112"/>
      <c r="G87" s="2112"/>
      <c r="H87" s="3233"/>
      <c r="I87" s="544"/>
      <c r="J87" s="3312"/>
      <c r="K87" s="367"/>
      <c r="L87" s="367"/>
      <c r="M87" s="367"/>
      <c r="N87" s="367"/>
      <c r="O87" s="367"/>
      <c r="P87" s="367"/>
      <c r="Q87" s="367"/>
      <c r="R87" s="367"/>
      <c r="S87" s="367"/>
      <c r="T87" s="367"/>
      <c r="U87" s="367"/>
      <c r="V87" s="367"/>
      <c r="W87" s="367"/>
      <c r="X87" s="367"/>
      <c r="Y87" s="367"/>
      <c r="Z87" s="367"/>
      <c r="AA87" s="367"/>
      <c r="AB87" s="3315"/>
      <c r="AC87" s="3315"/>
      <c r="AD87" s="3315"/>
      <c r="AE87" s="3315"/>
      <c r="AF87" s="3315"/>
      <c r="AG87" s="3315"/>
      <c r="AH87" s="3315"/>
      <c r="AI87" s="3315"/>
      <c r="AJ87" s="3315"/>
    </row>
    <row r="88" s="3002" customFormat="1" ht="14.25" spans="1:36">
      <c r="A88" s="3214">
        <v>2</v>
      </c>
      <c r="B88" s="2296" t="s">
        <v>749</v>
      </c>
      <c r="C88" s="3202">
        <f ca="1">IF(H90="仅含出让金",C89+C92+C93+C94+C95+C96,C89+C93+C94+C95+C96)</f>
        <v>0</v>
      </c>
      <c r="D88" s="3234"/>
      <c r="E88" s="2111"/>
      <c r="F88" s="2112"/>
      <c r="G88" s="2112"/>
      <c r="H88" s="3233"/>
      <c r="I88" s="544"/>
      <c r="J88" s="3312"/>
      <c r="K88" s="367"/>
      <c r="L88" s="367"/>
      <c r="M88" s="367"/>
      <c r="N88" s="367"/>
      <c r="O88" s="367"/>
      <c r="P88" s="367"/>
      <c r="Q88" s="367"/>
      <c r="R88" s="367"/>
      <c r="S88" s="367"/>
      <c r="T88" s="367"/>
      <c r="U88" s="367"/>
      <c r="V88" s="367"/>
      <c r="W88" s="367"/>
      <c r="X88" s="367"/>
      <c r="Y88" s="367"/>
      <c r="Z88" s="367"/>
      <c r="AA88" s="367"/>
      <c r="AB88" s="3315"/>
      <c r="AC88" s="3315"/>
      <c r="AD88" s="3315"/>
      <c r="AE88" s="3315"/>
      <c r="AF88" s="3315"/>
      <c r="AG88" s="3315"/>
      <c r="AH88" s="3315"/>
      <c r="AI88" s="3315"/>
      <c r="AJ88" s="3315"/>
    </row>
    <row r="89" s="3002" customFormat="1" ht="14.25" spans="1:36">
      <c r="A89" s="3195" t="s">
        <v>750</v>
      </c>
      <c r="B89" s="410" t="s">
        <v>772</v>
      </c>
      <c r="C89" s="3222">
        <f>C90+C91</f>
        <v>0</v>
      </c>
      <c r="D89" s="3223"/>
      <c r="E89" s="3224"/>
      <c r="F89" s="3225"/>
      <c r="G89" s="3225"/>
      <c r="H89" s="3226"/>
      <c r="I89" s="544"/>
      <c r="J89" s="3312"/>
      <c r="K89" s="367"/>
      <c r="L89" s="367"/>
      <c r="M89" s="367"/>
      <c r="N89" s="367"/>
      <c r="O89" s="367"/>
      <c r="P89" s="367"/>
      <c r="Q89" s="367"/>
      <c r="R89" s="367"/>
      <c r="S89" s="367"/>
      <c r="T89" s="367"/>
      <c r="U89" s="367"/>
      <c r="V89" s="367"/>
      <c r="W89" s="367"/>
      <c r="X89" s="367"/>
      <c r="Y89" s="367"/>
      <c r="Z89" s="367"/>
      <c r="AA89" s="367"/>
      <c r="AB89" s="3315"/>
      <c r="AC89" s="3315"/>
      <c r="AD89" s="3315"/>
      <c r="AE89" s="3315"/>
      <c r="AF89" s="3315"/>
      <c r="AG89" s="3315"/>
      <c r="AH89" s="3315"/>
      <c r="AI89" s="3315"/>
      <c r="AJ89" s="3315"/>
    </row>
    <row r="90" s="3002" customFormat="1" ht="14.25" spans="1:36">
      <c r="A90" s="3195" t="s">
        <v>752</v>
      </c>
      <c r="B90" s="410" t="s">
        <v>773</v>
      </c>
      <c r="C90" s="3235"/>
      <c r="D90" s="3223"/>
      <c r="E90" s="3167" t="s">
        <v>774</v>
      </c>
      <c r="F90" s="3225"/>
      <c r="G90" s="3236" t="s">
        <v>775</v>
      </c>
      <c r="H90" s="3237"/>
      <c r="I90" s="544"/>
      <c r="J90" s="3312"/>
      <c r="K90" s="3314" t="s">
        <v>776</v>
      </c>
      <c r="L90" s="3315"/>
      <c r="M90" s="3315"/>
      <c r="N90" s="3315"/>
      <c r="O90" s="3315"/>
      <c r="P90" s="3315"/>
      <c r="Q90" s="3315"/>
      <c r="R90" s="3315"/>
      <c r="S90" s="3315"/>
      <c r="T90" s="367"/>
      <c r="U90" s="367"/>
      <c r="V90" s="367"/>
      <c r="W90" s="367"/>
      <c r="X90" s="367"/>
      <c r="Y90" s="367"/>
      <c r="Z90" s="367"/>
      <c r="AA90" s="367"/>
      <c r="AB90" s="3315"/>
      <c r="AC90" s="3315"/>
      <c r="AD90" s="3315"/>
      <c r="AE90" s="3315"/>
      <c r="AF90" s="3315"/>
      <c r="AG90" s="3315"/>
      <c r="AH90" s="3315"/>
      <c r="AI90" s="3315"/>
      <c r="AJ90" s="3315"/>
    </row>
    <row r="91" s="3002" customFormat="1" ht="14.25" spans="1:36">
      <c r="A91" s="3195" t="s">
        <v>757</v>
      </c>
      <c r="B91" s="410" t="s">
        <v>761</v>
      </c>
      <c r="C91" s="3222">
        <f>ROUND(C90*D91,0)</f>
        <v>0</v>
      </c>
      <c r="D91" s="3223">
        <f>'数据-取费表'!E36+'数据-取费表'!E37</f>
        <v>0.0305</v>
      </c>
      <c r="E91" s="3167" t="s">
        <v>777</v>
      </c>
      <c r="F91" s="3225"/>
      <c r="G91" s="3225"/>
      <c r="H91" s="3226"/>
      <c r="I91" s="544"/>
      <c r="J91" s="3312"/>
      <c r="K91" s="367"/>
      <c r="L91" s="367"/>
      <c r="M91" s="367"/>
      <c r="N91" s="367"/>
      <c r="O91" s="367"/>
      <c r="P91" s="367"/>
      <c r="Q91" s="367"/>
      <c r="R91" s="367"/>
      <c r="S91" s="367"/>
      <c r="T91" s="367"/>
      <c r="U91" s="367"/>
      <c r="V91" s="367"/>
      <c r="W91" s="367"/>
      <c r="X91" s="367"/>
      <c r="Y91" s="367"/>
      <c r="Z91" s="367"/>
      <c r="AA91" s="367"/>
      <c r="AB91" s="3315"/>
      <c r="AC91" s="3315"/>
      <c r="AD91" s="3315"/>
      <c r="AE91" s="3315"/>
      <c r="AF91" s="3315"/>
      <c r="AG91" s="3315"/>
      <c r="AH91" s="3315"/>
      <c r="AI91" s="3315"/>
      <c r="AJ91" s="3315"/>
    </row>
    <row r="92" s="3002" customFormat="1" ht="14.25" spans="1:36">
      <c r="A92" s="3195" t="s">
        <v>764</v>
      </c>
      <c r="B92" s="410" t="s">
        <v>778</v>
      </c>
      <c r="C92" s="3235"/>
      <c r="D92" s="3223"/>
      <c r="E92" s="3167" t="str">
        <f>IF(H90="-","土地取得成本中已包含该笔费用"," ")</f>
        <v> </v>
      </c>
      <c r="F92" s="3225"/>
      <c r="G92" s="3238" t="s">
        <v>779</v>
      </c>
      <c r="H92" s="3239"/>
      <c r="I92" s="544"/>
      <c r="J92" s="3312"/>
      <c r="K92" s="3314" t="s">
        <v>780</v>
      </c>
      <c r="L92" s="3315"/>
      <c r="M92" s="3315"/>
      <c r="N92" s="3315"/>
      <c r="O92" s="3315"/>
      <c r="P92" s="3315"/>
      <c r="Q92" s="3315"/>
      <c r="R92" s="3315"/>
      <c r="S92" s="3315"/>
      <c r="T92" s="367"/>
      <c r="U92" s="367"/>
      <c r="V92" s="367"/>
      <c r="W92" s="367"/>
      <c r="X92" s="367"/>
      <c r="Y92" s="367"/>
      <c r="Z92" s="367"/>
      <c r="AA92" s="367"/>
      <c r="AB92" s="3315"/>
      <c r="AC92" s="3315"/>
      <c r="AD92" s="3315"/>
      <c r="AE92" s="3315"/>
      <c r="AF92" s="3315"/>
      <c r="AG92" s="3315"/>
      <c r="AH92" s="3315"/>
      <c r="AI92" s="3315"/>
      <c r="AJ92" s="3315"/>
    </row>
    <row r="93" s="3002" customFormat="1" ht="30.75" customHeight="1" spans="1:36">
      <c r="A93" s="3195" t="s">
        <v>781</v>
      </c>
      <c r="B93" s="410" t="s">
        <v>782</v>
      </c>
      <c r="C93" s="3222">
        <f>IF(H93="——",成本法!C33,I93)</f>
        <v>0</v>
      </c>
      <c r="D93" s="3223"/>
      <c r="E93" s="3224" t="s">
        <v>783</v>
      </c>
      <c r="F93" s="3225"/>
      <c r="G93" s="3225"/>
      <c r="H93" s="3240" t="s">
        <v>784</v>
      </c>
      <c r="I93" s="3316"/>
      <c r="J93" s="3317"/>
      <c r="K93" s="367"/>
      <c r="L93" s="367"/>
      <c r="M93" s="367"/>
      <c r="N93" s="367"/>
      <c r="O93" s="367"/>
      <c r="P93" s="367"/>
      <c r="Q93" s="367"/>
      <c r="R93" s="367"/>
      <c r="S93" s="367"/>
      <c r="T93" s="367"/>
      <c r="U93" s="367"/>
      <c r="V93" s="367"/>
      <c r="W93" s="367"/>
      <c r="X93" s="367"/>
      <c r="Y93" s="367"/>
      <c r="Z93" s="367"/>
      <c r="AA93" s="367"/>
      <c r="AB93" s="3315"/>
      <c r="AC93" s="3315"/>
      <c r="AD93" s="3315"/>
      <c r="AE93" s="3315"/>
      <c r="AF93" s="3315"/>
      <c r="AG93" s="3315"/>
      <c r="AH93" s="3315"/>
      <c r="AI93" s="3315"/>
      <c r="AJ93" s="3315"/>
    </row>
    <row r="94" s="3002" customFormat="1" ht="25.5" customHeight="1" spans="1:36">
      <c r="A94" s="3195" t="s">
        <v>785</v>
      </c>
      <c r="B94" s="410" t="s">
        <v>786</v>
      </c>
      <c r="C94" s="3222">
        <f>ROUND((C89+C92+C93)*D94,0)</f>
        <v>0</v>
      </c>
      <c r="D94" s="3223">
        <v>0.1</v>
      </c>
      <c r="E94" s="3224" t="s">
        <v>787</v>
      </c>
      <c r="F94" s="3225"/>
      <c r="G94" s="3225"/>
      <c r="H94" s="3226"/>
      <c r="I94" s="544"/>
      <c r="J94" s="3312"/>
      <c r="K94" s="3318" t="s">
        <v>788</v>
      </c>
      <c r="L94" s="3315"/>
      <c r="M94" s="3315"/>
      <c r="N94" s="3315"/>
      <c r="O94" s="3315"/>
      <c r="P94" s="3315"/>
      <c r="Q94" s="367"/>
      <c r="R94" s="367"/>
      <c r="S94" s="367"/>
      <c r="T94" s="367"/>
      <c r="U94" s="367"/>
      <c r="V94" s="367"/>
      <c r="W94" s="367"/>
      <c r="X94" s="367"/>
      <c r="Y94" s="367"/>
      <c r="Z94" s="367"/>
      <c r="AA94" s="367"/>
      <c r="AB94" s="3315"/>
      <c r="AC94" s="3315"/>
      <c r="AD94" s="3315"/>
      <c r="AE94" s="3315"/>
      <c r="AF94" s="3315"/>
      <c r="AG94" s="3315"/>
      <c r="AH94" s="3315"/>
      <c r="AI94" s="3315"/>
      <c r="AJ94" s="3315"/>
    </row>
    <row r="95" s="3002" customFormat="1" ht="25.5" customHeight="1" spans="1:36">
      <c r="A95" s="3195" t="s">
        <v>789</v>
      </c>
      <c r="B95" s="410" t="s">
        <v>765</v>
      </c>
      <c r="C95" s="3222">
        <f ca="1">ROUND(D47*D95/(1+'数据-取费表'!F30),0)</f>
        <v>0</v>
      </c>
      <c r="D95" s="3223">
        <f>'数据-取费表'!E31</f>
        <v>0.006</v>
      </c>
      <c r="E95" s="3224" t="s">
        <v>766</v>
      </c>
      <c r="F95" s="3225"/>
      <c r="G95" s="3225"/>
      <c r="H95" s="3226"/>
      <c r="I95" s="544"/>
      <c r="J95" s="3312"/>
      <c r="K95" s="367"/>
      <c r="L95" s="367"/>
      <c r="M95" s="367"/>
      <c r="N95" s="367"/>
      <c r="O95" s="367"/>
      <c r="P95" s="367"/>
      <c r="Q95" s="367"/>
      <c r="R95" s="367"/>
      <c r="S95" s="367"/>
      <c r="T95" s="367"/>
      <c r="U95" s="367"/>
      <c r="V95" s="367"/>
      <c r="W95" s="367"/>
      <c r="X95" s="367"/>
      <c r="Y95" s="367"/>
      <c r="Z95" s="367"/>
      <c r="AA95" s="367"/>
      <c r="AB95" s="3315"/>
      <c r="AC95" s="3315"/>
      <c r="AD95" s="3315"/>
      <c r="AE95" s="3315"/>
      <c r="AF95" s="3315"/>
      <c r="AG95" s="3315"/>
      <c r="AH95" s="3315"/>
      <c r="AI95" s="3315"/>
      <c r="AJ95" s="3315"/>
    </row>
    <row r="96" s="3002" customFormat="1" ht="25.5" customHeight="1" spans="1:36">
      <c r="A96" s="3195" t="s">
        <v>790</v>
      </c>
      <c r="B96" s="410" t="s">
        <v>791</v>
      </c>
      <c r="C96" s="3222">
        <f>ROUND((C89+C92+C93)*D96,0)</f>
        <v>0</v>
      </c>
      <c r="D96" s="3223">
        <v>0.2</v>
      </c>
      <c r="E96" s="3224" t="s">
        <v>792</v>
      </c>
      <c r="F96" s="3225"/>
      <c r="G96" s="3225"/>
      <c r="H96" s="3226"/>
      <c r="I96" s="544"/>
      <c r="J96" s="3312"/>
      <c r="K96" s="367"/>
      <c r="L96" s="367"/>
      <c r="M96" s="367"/>
      <c r="N96" s="367"/>
      <c r="O96" s="367"/>
      <c r="P96" s="367"/>
      <c r="Q96" s="367"/>
      <c r="R96" s="367"/>
      <c r="S96" s="367"/>
      <c r="T96" s="367"/>
      <c r="U96" s="367"/>
      <c r="V96" s="367"/>
      <c r="W96" s="367"/>
      <c r="X96" s="367"/>
      <c r="Y96" s="367"/>
      <c r="Z96" s="367"/>
      <c r="AA96" s="367"/>
      <c r="AB96" s="3315"/>
      <c r="AC96" s="3315"/>
      <c r="AD96" s="3315"/>
      <c r="AE96" s="3315"/>
      <c r="AF96" s="3315"/>
      <c r="AG96" s="3315"/>
      <c r="AH96" s="3315"/>
      <c r="AI96" s="3315"/>
      <c r="AJ96" s="3315"/>
    </row>
    <row r="97" s="3002" customFormat="1" ht="14.25" spans="1:36">
      <c r="A97" s="3199" t="s">
        <v>740</v>
      </c>
      <c r="B97" s="516" t="s">
        <v>767</v>
      </c>
      <c r="C97" s="3202">
        <f ca="1">ROUND(C87-C88,0)</f>
        <v>0</v>
      </c>
      <c r="D97" s="410" t="s">
        <v>121</v>
      </c>
      <c r="E97" s="2111"/>
      <c r="F97" s="2112"/>
      <c r="G97" s="2112"/>
      <c r="H97" s="3233"/>
      <c r="I97" s="544"/>
      <c r="J97" s="3312"/>
      <c r="K97" s="367"/>
      <c r="L97" s="367"/>
      <c r="M97" s="367"/>
      <c r="N97" s="367"/>
      <c r="O97" s="367"/>
      <c r="P97" s="367"/>
      <c r="Q97" s="367"/>
      <c r="R97" s="367"/>
      <c r="S97" s="367"/>
      <c r="T97" s="367"/>
      <c r="U97" s="367"/>
      <c r="V97" s="367"/>
      <c r="W97" s="367"/>
      <c r="X97" s="367"/>
      <c r="Y97" s="367"/>
      <c r="Z97" s="367"/>
      <c r="AA97" s="367"/>
      <c r="AB97" s="3315"/>
      <c r="AC97" s="3315"/>
      <c r="AD97" s="3315"/>
      <c r="AE97" s="3315"/>
      <c r="AF97" s="3315"/>
      <c r="AG97" s="3315"/>
      <c r="AH97" s="3315"/>
      <c r="AI97" s="3315"/>
      <c r="AJ97" s="3315"/>
    </row>
    <row r="98" s="3002" customFormat="1" ht="14.25" spans="1:36">
      <c r="A98" s="3199" t="s">
        <v>743</v>
      </c>
      <c r="B98" s="516" t="s">
        <v>768</v>
      </c>
      <c r="C98" s="3227">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3233"/>
      <c r="I98" s="544"/>
      <c r="J98" s="3312"/>
      <c r="K98" s="367"/>
      <c r="L98" s="367"/>
      <c r="M98" s="367"/>
      <c r="N98" s="367"/>
      <c r="O98" s="367"/>
      <c r="P98" s="367"/>
      <c r="Q98" s="367"/>
      <c r="R98" s="367"/>
      <c r="S98" s="367"/>
      <c r="T98" s="367"/>
      <c r="U98" s="367"/>
      <c r="V98" s="367"/>
      <c r="W98" s="367"/>
      <c r="X98" s="367"/>
      <c r="Y98" s="367"/>
      <c r="Z98" s="367"/>
      <c r="AA98" s="367"/>
      <c r="AB98" s="3315"/>
      <c r="AC98" s="3315"/>
      <c r="AD98" s="3315"/>
      <c r="AE98" s="3315"/>
      <c r="AF98" s="3315"/>
      <c r="AG98" s="3315"/>
      <c r="AH98" s="3315"/>
      <c r="AI98" s="3315"/>
      <c r="AJ98" s="3315"/>
    </row>
    <row r="99" s="3002" customFormat="1" ht="15" spans="1:36">
      <c r="A99" s="3241" t="s">
        <v>769</v>
      </c>
      <c r="B99" s="537" t="s">
        <v>770</v>
      </c>
      <c r="C99" s="3242">
        <f ca="1">ROUND(IF(C97&lt;=0,0,IF(C98&gt;=200%,C97*60%-C88*35%,IF(C98&gt;=100%,C97*50%-C88*15%,IF(C98&gt;=50%,C97*40%-C88*5%,IF(C98&lt;50%,C97*30%,0))))),0)</f>
        <v>0</v>
      </c>
      <c r="D99" s="3243" t="s">
        <v>121</v>
      </c>
      <c r="E99" s="313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3229"/>
      <c r="G99" s="3229"/>
      <c r="H99" s="3244"/>
      <c r="I99" s="3319"/>
      <c r="J99" s="3320"/>
      <c r="K99" s="367"/>
      <c r="L99" s="367"/>
      <c r="M99" s="367"/>
      <c r="N99" s="367"/>
      <c r="O99" s="367"/>
      <c r="P99" s="367"/>
      <c r="Q99" s="367"/>
      <c r="R99" s="367"/>
      <c r="S99" s="367"/>
      <c r="T99" s="367"/>
      <c r="U99" s="367"/>
      <c r="V99" s="367"/>
      <c r="W99" s="367"/>
      <c r="X99" s="367"/>
      <c r="Y99" s="367"/>
      <c r="Z99" s="367"/>
      <c r="AA99" s="367"/>
      <c r="AB99" s="3315"/>
      <c r="AC99" s="3315"/>
      <c r="AD99" s="3315"/>
      <c r="AE99" s="3315"/>
      <c r="AF99" s="3315"/>
      <c r="AG99" s="3315"/>
      <c r="AH99" s="3315"/>
      <c r="AI99" s="3315"/>
      <c r="AJ99" s="3315"/>
    </row>
    <row r="100" customHeight="1" spans="1:9">
      <c r="A100" s="3091" t="s">
        <v>793</v>
      </c>
      <c r="B100" s="3007"/>
      <c r="C100" s="3007"/>
      <c r="D100" s="3007"/>
      <c r="E100" s="3245"/>
      <c r="F100" s="3245"/>
      <c r="G100" s="3245"/>
      <c r="H100" s="3246"/>
      <c r="I100" s="3007"/>
    </row>
    <row r="101" ht="15" spans="1:10">
      <c r="A101" s="3247" t="s">
        <v>794</v>
      </c>
      <c r="B101" s="3248"/>
      <c r="C101" s="3248"/>
      <c r="D101" s="3249"/>
      <c r="E101" s="3007"/>
      <c r="F101" s="3250" t="s">
        <v>861</v>
      </c>
      <c r="G101" s="3251"/>
      <c r="H101" s="3251"/>
      <c r="I101" s="3321"/>
      <c r="J101" s="3322"/>
    </row>
    <row r="102" ht="15" spans="1:10">
      <c r="A102" s="3252" t="s">
        <v>796</v>
      </c>
      <c r="B102" s="3253"/>
      <c r="C102" s="3254">
        <f>C4</f>
        <v>0</v>
      </c>
      <c r="D102" s="3255">
        <f>D4</f>
        <v>0</v>
      </c>
      <c r="E102" s="3007"/>
      <c r="F102" s="3256" t="s">
        <v>797</v>
      </c>
      <c r="G102" s="3257"/>
      <c r="H102" s="3258" t="s">
        <v>798</v>
      </c>
      <c r="I102" s="3323"/>
      <c r="J102" s="3324"/>
    </row>
    <row r="103" ht="13.5" spans="1:10">
      <c r="A103" s="3259" t="s">
        <v>862</v>
      </c>
      <c r="B103" s="518" t="str">
        <f>IF(H19="元","总价（元）","总价（万元）")</f>
        <v>总价（元）</v>
      </c>
      <c r="C103" s="3260" t="e">
        <f ca="1">C19</f>
        <v>#REF!</v>
      </c>
      <c r="D103" s="3261" t="e">
        <f ca="1">D19</f>
        <v>#REF!</v>
      </c>
      <c r="E103" s="3007"/>
      <c r="F103" s="3262"/>
      <c r="G103" s="3263"/>
      <c r="H103" s="3264">
        <f>典型户型修正!B25</f>
        <v>0</v>
      </c>
      <c r="I103" s="3323"/>
      <c r="J103" s="3324"/>
    </row>
    <row r="104" ht="13.5" spans="1:10">
      <c r="A104" s="3259"/>
      <c r="B104" s="518" t="s">
        <v>800</v>
      </c>
      <c r="C104" s="3265" t="e">
        <f ca="1">C20</f>
        <v>#REF!</v>
      </c>
      <c r="D104" s="3266" t="e">
        <f ca="1">D20</f>
        <v>#REF!</v>
      </c>
      <c r="E104" s="3007"/>
      <c r="F104" s="3214" t="s">
        <v>801</v>
      </c>
      <c r="G104" s="2296"/>
      <c r="H104" s="3267" t="str">
        <f>C110</f>
        <v>总价（元）</v>
      </c>
      <c r="I104" s="3284">
        <f ca="1">H125</f>
        <v>0</v>
      </c>
      <c r="J104" s="3324"/>
    </row>
    <row r="105" ht="13.5" spans="1:10">
      <c r="A105" s="3259" t="s">
        <v>863</v>
      </c>
      <c r="B105" s="519" t="str">
        <f>B103</f>
        <v>总价（元）</v>
      </c>
      <c r="C105" s="2192" t="e">
        <f ca="1">ROUND(IF('数据-取费表'!B4="总价",G19,IF(H19="元",G20*'数据-取费表'!E5,G20*'数据-取费表'!E5/10000)),0)</f>
        <v>#REF!</v>
      </c>
      <c r="D105" s="3268"/>
      <c r="E105" s="3007"/>
      <c r="F105" s="3214"/>
      <c r="G105" s="2296"/>
      <c r="H105" s="3267" t="s">
        <v>800</v>
      </c>
      <c r="I105" s="3197" t="e">
        <f ca="1">I125</f>
        <v>#DIV/0!</v>
      </c>
      <c r="J105" s="3141"/>
    </row>
    <row r="106" ht="13.5" spans="1:10">
      <c r="A106" s="3259"/>
      <c r="B106" s="518" t="s">
        <v>800</v>
      </c>
      <c r="C106" s="3089" t="e">
        <f ca="1">ROUND(IF('数据-取费表'!B4="楼面单价",G20,IF(H19="元",G19/'数据-取费表'!E5,G19*10000/'数据-取费表'!E5)),0)</f>
        <v>#REF!</v>
      </c>
      <c r="D106" s="3268"/>
      <c r="E106" s="3007"/>
      <c r="F106" s="3214"/>
      <c r="G106" s="2296"/>
      <c r="H106" s="3267"/>
      <c r="I106" s="3325"/>
      <c r="J106" s="3326"/>
    </row>
    <row r="107" ht="13.5" spans="1:10">
      <c r="A107" s="3269" t="s">
        <v>864</v>
      </c>
      <c r="B107" s="3270" t="str">
        <f>B103</f>
        <v>总价（元）</v>
      </c>
      <c r="C107" s="3271">
        <f ca="1">H125</f>
        <v>0</v>
      </c>
      <c r="D107" s="3272"/>
      <c r="E107" s="3007"/>
      <c r="F107" s="3273" t="s">
        <v>804</v>
      </c>
      <c r="G107" s="3274"/>
      <c r="H107" s="3275" t="str">
        <f>C112</f>
        <v>总额（元）</v>
      </c>
      <c r="I107" s="3284">
        <f>SUMIF(I108:I110,"&lt;9E307")</f>
        <v>0</v>
      </c>
      <c r="J107" s="3324"/>
    </row>
    <row r="108" ht="15" spans="1:17">
      <c r="A108" s="567"/>
      <c r="B108" s="3276" t="s">
        <v>800</v>
      </c>
      <c r="C108" s="3277" t="e">
        <f ca="1">I125</f>
        <v>#DIV/0!</v>
      </c>
      <c r="D108" s="3278"/>
      <c r="E108" s="3007"/>
      <c r="F108" s="3279" t="s">
        <v>805</v>
      </c>
      <c r="G108" s="3280"/>
      <c r="H108" s="3275" t="str">
        <f>C113</f>
        <v>总额（元）</v>
      </c>
      <c r="I108" s="3327">
        <f>IF(D38="同一抵押权人同一抵押物续贷",C38&amp;"（续贷，未扣减，详见特别提示）",C38)</f>
        <v>0</v>
      </c>
      <c r="J108" s="3141"/>
      <c r="L108" s="3328" t="str">
        <f>IF(D125=0,"本次评估不存在"&amp;A125&amp;"。","本次评估"&amp;A125&amp;"为"&amp;D125&amp;"元人民币。")</f>
        <v>本次评估不存在北京市房地产。</v>
      </c>
      <c r="M108" s="3007"/>
      <c r="N108" s="3007"/>
      <c r="O108" s="3007"/>
      <c r="P108" s="3007"/>
      <c r="Q108" s="3007"/>
    </row>
    <row r="109" ht="15" spans="1:10">
      <c r="A109" s="3281" t="s">
        <v>803</v>
      </c>
      <c r="B109" s="3282"/>
      <c r="C109" s="3282"/>
      <c r="D109" s="3283"/>
      <c r="E109" s="3007"/>
      <c r="F109" s="3279" t="s">
        <v>806</v>
      </c>
      <c r="G109" s="3280"/>
      <c r="H109" s="3275" t="str">
        <f>C114</f>
        <v>总额（元）</v>
      </c>
      <c r="I109" s="3197">
        <f>C39</f>
        <v>0</v>
      </c>
      <c r="J109" s="3141"/>
    </row>
    <row r="110" ht="13.5" spans="1:10">
      <c r="A110" s="3214" t="s">
        <v>865</v>
      </c>
      <c r="B110" s="2296"/>
      <c r="C110" s="3267" t="str">
        <f>B103</f>
        <v>总价（元）</v>
      </c>
      <c r="D110" s="3284">
        <f ca="1">H125</f>
        <v>0</v>
      </c>
      <c r="E110" s="3007"/>
      <c r="F110" s="3279" t="s">
        <v>807</v>
      </c>
      <c r="G110" s="3280"/>
      <c r="H110" s="3275" t="str">
        <f>C115</f>
        <v>总额（元）</v>
      </c>
      <c r="I110" s="3197">
        <f>C40</f>
        <v>0</v>
      </c>
      <c r="J110" s="3141"/>
    </row>
    <row r="111" ht="13.5" spans="1:10">
      <c r="A111" s="3214"/>
      <c r="B111" s="2296"/>
      <c r="C111" s="3267" t="s">
        <v>800</v>
      </c>
      <c r="D111" s="3197" t="e">
        <f ca="1">I125</f>
        <v>#DIV/0!</v>
      </c>
      <c r="E111" s="3007"/>
      <c r="F111" s="3214"/>
      <c r="G111" s="2296"/>
      <c r="H111" s="552"/>
      <c r="I111" s="3329"/>
      <c r="J111" s="3330"/>
    </row>
    <row r="112" ht="28.5" customHeight="1" spans="1:10">
      <c r="A112" s="3285" t="s">
        <v>804</v>
      </c>
      <c r="B112" s="3286"/>
      <c r="C112" s="3275" t="str">
        <f>IF(H19="元","总额（元）","总额（万元）")</f>
        <v>总额（元）</v>
      </c>
      <c r="D112" s="3284">
        <f>IF(D38="正常操作",I108+I109+I110,I109+I110)</f>
        <v>0</v>
      </c>
      <c r="E112" s="3007"/>
      <c r="F112" s="3287" t="str">
        <f>IF(项目基本情况!F5="已注销","——","3.房地产抵押价值")</f>
        <v>3.房地产抵押价值</v>
      </c>
      <c r="G112" s="3096"/>
      <c r="H112" s="3089" t="str">
        <f>C116</f>
        <v>总价（元）</v>
      </c>
      <c r="I112" s="3284">
        <f ca="1">IF(F112="——","——",I104-I107)</f>
        <v>0</v>
      </c>
      <c r="J112" s="3324"/>
    </row>
    <row r="113" ht="13.5" spans="1:10">
      <c r="A113" s="3279" t="s">
        <v>805</v>
      </c>
      <c r="B113" s="3280"/>
      <c r="C113" s="3275" t="str">
        <f>C112</f>
        <v>总额（元）</v>
      </c>
      <c r="D113" s="3197">
        <f>IF(D38="同一抵押权人同一抵押物续贷",C38&amp;"（未扣减，详见特别提示）",C38)</f>
        <v>0</v>
      </c>
      <c r="E113" s="3007"/>
      <c r="F113" s="3288"/>
      <c r="G113" s="3105"/>
      <c r="H113" s="3267" t="s">
        <v>800</v>
      </c>
      <c r="I113" s="3331" t="e">
        <f ca="1">D117</f>
        <v>#DIV/0!</v>
      </c>
      <c r="J113" s="3332"/>
    </row>
    <row r="114" ht="13.5" spans="1:10">
      <c r="A114" s="3279" t="s">
        <v>806</v>
      </c>
      <c r="B114" s="3280"/>
      <c r="C114" s="3275" t="str">
        <f>C112</f>
        <v>总额（元）</v>
      </c>
      <c r="D114" s="3197">
        <f>C39</f>
        <v>0</v>
      </c>
      <c r="E114" s="3007"/>
      <c r="F114" s="3287" t="str">
        <f>IF(项目基本情况!F5="已注销及未注销","4.抵押担保权已注销时的房地产抵押价值",IF(项目基本情况!F5="已注销","3.抵押担保权已注销时的房地产抵押价值","——"))</f>
        <v>——</v>
      </c>
      <c r="G114" s="3096"/>
      <c r="H114" s="3089" t="str">
        <f>C118</f>
        <v>总价（元）</v>
      </c>
      <c r="I114" s="3284" t="str">
        <f ca="1">IF(F114="——","——",I104-I109-I110)</f>
        <v>——</v>
      </c>
      <c r="J114" s="3324"/>
    </row>
    <row r="115" ht="13.5" spans="1:10">
      <c r="A115" s="3279" t="s">
        <v>807</v>
      </c>
      <c r="B115" s="3280"/>
      <c r="C115" s="3275" t="str">
        <f>C112</f>
        <v>总额（元）</v>
      </c>
      <c r="D115" s="3197">
        <f>C40</f>
        <v>0</v>
      </c>
      <c r="E115" s="3007"/>
      <c r="F115" s="3288"/>
      <c r="G115" s="3105"/>
      <c r="H115" s="3267" t="s">
        <v>800</v>
      </c>
      <c r="I115" s="3197" t="str">
        <f ca="1">D119</f>
        <v>——</v>
      </c>
      <c r="J115" s="3141"/>
    </row>
    <row r="116" ht="13.5" spans="1:10">
      <c r="A116" s="3214" t="str">
        <f>IF(项目基本情况!F5="已注销","——","3.房地产抵押价值")</f>
        <v>3.房地产抵押价值</v>
      </c>
      <c r="B116" s="2296"/>
      <c r="C116" s="3267" t="str">
        <f>B103</f>
        <v>总价（元）</v>
      </c>
      <c r="D116" s="3284">
        <f ca="1">IF(A116="——","——",D110-D112)</f>
        <v>0</v>
      </c>
      <c r="E116" s="3007"/>
      <c r="F116" s="3287" t="str">
        <f>IF(项目基本情况!G5="抵押净值",IF(OR(项目基本情况!F5="已注销",项目基本情况!F5="房地产抵押价值"),"4.抵押净值","5.抵押净值"),"——")</f>
        <v>——</v>
      </c>
      <c r="G116" s="3096"/>
      <c r="H116" s="3267" t="str">
        <f>C120</f>
        <v>总价（元）</v>
      </c>
      <c r="I116" s="3284" t="str">
        <f ca="1">IF(F116="——","——",O61)</f>
        <v>——</v>
      </c>
      <c r="J116" s="3324"/>
    </row>
    <row r="117" ht="14.25" spans="1:10">
      <c r="A117" s="3214"/>
      <c r="B117" s="2296"/>
      <c r="C117" s="3267" t="s">
        <v>800</v>
      </c>
      <c r="D117" s="3197" t="e">
        <f ca="1">ROUND(IF(D116=D110,D111,IF(H19="元",D116/B125,D116*10000/B125)),0)</f>
        <v>#DIV/0!</v>
      </c>
      <c r="E117" s="3007"/>
      <c r="F117" s="3289"/>
      <c r="G117" s="3290"/>
      <c r="H117" s="3291" t="s">
        <v>800</v>
      </c>
      <c r="I117" s="3295" t="str">
        <f ca="1">D121</f>
        <v>——</v>
      </c>
      <c r="J117" s="3141"/>
    </row>
    <row r="118" ht="15.75" spans="1:16">
      <c r="A118" s="3214" t="str">
        <f>IF(项目基本情况!F5="已注销及未注销","4.抵押担保权已注销时的房地产抵押价值",IF(项目基本情况!F5="已注销","3.抵押担保权已注销时的房地产抵押价值","——"))</f>
        <v>——</v>
      </c>
      <c r="B118" s="2296"/>
      <c r="C118" s="3267" t="str">
        <f>B103</f>
        <v>总价（元）</v>
      </c>
      <c r="D118" s="3284" t="str">
        <f ca="1">IF(A118="——","——",D110-D114-D115)</f>
        <v>——</v>
      </c>
      <c r="E118" s="3007"/>
      <c r="F118" s="3292"/>
      <c r="G118" s="3292"/>
      <c r="H118" s="3293"/>
      <c r="I118" s="3293"/>
      <c r="J118" s="3333"/>
      <c r="O118" s="1709"/>
      <c r="P118" s="1709"/>
    </row>
    <row r="119" s="3003" customFormat="1" ht="12.75" spans="1:27">
      <c r="A119" s="3214"/>
      <c r="B119" s="2296"/>
      <c r="C119" s="3267" t="s">
        <v>800</v>
      </c>
      <c r="D119" s="3197" t="str">
        <f ca="1">IF(A118="——","——",IF(H19="元",ROUND(D118/B125,0),ROUND(D118*10000/B125,0)))</f>
        <v>——</v>
      </c>
      <c r="E119" s="3007"/>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3334"/>
      <c r="K119" s="1712"/>
      <c r="L119" s="1712"/>
      <c r="M119" s="1712"/>
      <c r="N119" s="1712"/>
      <c r="O119" s="1709"/>
      <c r="P119" s="1709"/>
      <c r="Q119" s="1712"/>
      <c r="R119" s="1712"/>
      <c r="S119" s="1712"/>
      <c r="T119" s="1712"/>
      <c r="U119" s="1712"/>
      <c r="V119" s="1712"/>
      <c r="W119" s="1712"/>
      <c r="X119" s="1712"/>
      <c r="Y119" s="1712"/>
      <c r="Z119" s="1712"/>
      <c r="AA119" s="1712"/>
    </row>
    <row r="120" s="3003" customFormat="1" ht="12.75" spans="1:27">
      <c r="A120" s="3214" t="str">
        <f>IF(项目基本情况!G5="抵押净值",IF(OR(项目基本情况!F5="已注销",项目基本情况!F5="房地产抵押价值"),"4.抵押净值","5.抵押净值"),"——")</f>
        <v>——</v>
      </c>
      <c r="B120" s="2296"/>
      <c r="C120" s="3267" t="str">
        <f>B103</f>
        <v>总价（元）</v>
      </c>
      <c r="D120" s="3284" t="str">
        <f ca="1">IF(A120="——","——",O61)</f>
        <v>——</v>
      </c>
      <c r="E120" s="3007"/>
      <c r="F120" s="699"/>
      <c r="G120" s="699"/>
      <c r="H120" s="699"/>
      <c r="I120" s="699"/>
      <c r="J120" s="3334"/>
      <c r="K120" s="1712"/>
      <c r="L120" s="1712"/>
      <c r="M120" s="1712"/>
      <c r="N120" s="1712"/>
      <c r="O120" s="1709"/>
      <c r="P120" s="1709"/>
      <c r="Q120" s="1712"/>
      <c r="R120" s="1712"/>
      <c r="S120" s="1712"/>
      <c r="T120" s="1712"/>
      <c r="U120" s="1712"/>
      <c r="V120" s="1712"/>
      <c r="W120" s="1712"/>
      <c r="X120" s="1712"/>
      <c r="Y120" s="1712"/>
      <c r="Z120" s="1712"/>
      <c r="AA120" s="1712"/>
    </row>
    <row r="121" s="3003" customFormat="1" ht="13.5" spans="1:27">
      <c r="A121" s="3294"/>
      <c r="B121" s="3228"/>
      <c r="C121" s="3291" t="s">
        <v>800</v>
      </c>
      <c r="D121" s="3295" t="str">
        <f ca="1">IF(D120=D110,D111,IF(A120="——","——",O63))</f>
        <v>——</v>
      </c>
      <c r="E121" s="3007"/>
      <c r="F121" s="699"/>
      <c r="G121" s="699"/>
      <c r="H121" s="699"/>
      <c r="I121" s="699"/>
      <c r="J121" s="3334"/>
      <c r="K121" s="1712"/>
      <c r="L121" s="1712"/>
      <c r="M121" s="1712"/>
      <c r="N121" s="1712"/>
      <c r="O121" s="1709"/>
      <c r="P121" s="1709"/>
      <c r="Q121" s="1712"/>
      <c r="R121" s="1712"/>
      <c r="S121" s="1712"/>
      <c r="T121" s="1712"/>
      <c r="U121" s="1712"/>
      <c r="V121" s="1712"/>
      <c r="W121" s="1712"/>
      <c r="X121" s="1712"/>
      <c r="Y121" s="1712"/>
      <c r="Z121" s="1712"/>
      <c r="AA121" s="1712"/>
    </row>
    <row r="122" s="3003" customFormat="1" ht="15" spans="1:27">
      <c r="A122" s="3296" t="s">
        <v>808</v>
      </c>
      <c r="B122" s="3297"/>
      <c r="C122" s="3297"/>
      <c r="D122" s="3297"/>
      <c r="E122" s="3297"/>
      <c r="F122" s="3297"/>
      <c r="G122" s="3297"/>
      <c r="H122" s="3297"/>
      <c r="I122" s="3297"/>
      <c r="J122" s="3335"/>
      <c r="K122" s="1712"/>
      <c r="L122" s="1712"/>
      <c r="M122" s="1712"/>
      <c r="N122" s="1712"/>
      <c r="O122" s="1712"/>
      <c r="P122" s="1712"/>
      <c r="Q122" s="1712"/>
      <c r="R122" s="1712"/>
      <c r="S122" s="1712"/>
      <c r="T122" s="1712"/>
      <c r="U122" s="1712"/>
      <c r="V122" s="1712"/>
      <c r="W122" s="1712"/>
      <c r="X122" s="1712"/>
      <c r="Y122" s="1712"/>
      <c r="Z122" s="1712"/>
      <c r="AA122" s="1712"/>
    </row>
    <row r="123" s="3003" customFormat="1" ht="12.75" spans="1:27">
      <c r="A123" s="3121" t="s">
        <v>809</v>
      </c>
      <c r="B123" s="2139" t="s">
        <v>357</v>
      </c>
      <c r="C123" s="2139" t="s">
        <v>810</v>
      </c>
      <c r="D123" s="3298" t="s">
        <v>811</v>
      </c>
      <c r="E123" s="3299"/>
      <c r="F123" s="2133" t="s">
        <v>653</v>
      </c>
      <c r="G123" s="2133"/>
      <c r="H123" s="2133" t="s">
        <v>812</v>
      </c>
      <c r="I123" s="3197"/>
      <c r="J123" s="3141"/>
      <c r="K123" s="1712"/>
      <c r="L123" s="1712"/>
      <c r="M123" s="1712"/>
      <c r="N123" s="1712"/>
      <c r="O123" s="1712"/>
      <c r="P123" s="1712"/>
      <c r="Q123" s="1712"/>
      <c r="R123" s="1712"/>
      <c r="S123" s="1712"/>
      <c r="T123" s="1712"/>
      <c r="U123" s="1712"/>
      <c r="V123" s="1712"/>
      <c r="W123" s="1712"/>
      <c r="X123" s="1712"/>
      <c r="Y123" s="1712"/>
      <c r="Z123" s="1712"/>
      <c r="AA123" s="1712"/>
    </row>
    <row r="124" s="3003" customFormat="1" ht="12.75" spans="1:27">
      <c r="A124" s="3121"/>
      <c r="B124" s="447"/>
      <c r="C124" s="447"/>
      <c r="D124" s="2133" t="s">
        <v>813</v>
      </c>
      <c r="E124" s="2133" t="s">
        <v>814</v>
      </c>
      <c r="F124" s="2133" t="s">
        <v>813</v>
      </c>
      <c r="G124" s="2133" t="s">
        <v>814</v>
      </c>
      <c r="H124" s="2133" t="s">
        <v>813</v>
      </c>
      <c r="I124" s="3197" t="s">
        <v>814</v>
      </c>
      <c r="J124" s="3141"/>
      <c r="K124" s="1712"/>
      <c r="L124" s="1712"/>
      <c r="M124" s="1712"/>
      <c r="N124" s="1712"/>
      <c r="O124" s="1712"/>
      <c r="P124" s="1712"/>
      <c r="Q124" s="1712"/>
      <c r="R124" s="1712"/>
      <c r="S124" s="1712"/>
      <c r="T124" s="1712"/>
      <c r="U124" s="1712"/>
      <c r="V124" s="1712"/>
      <c r="W124" s="1712"/>
      <c r="X124" s="1712"/>
      <c r="Y124" s="1712"/>
      <c r="Z124" s="1712"/>
      <c r="AA124" s="1712"/>
    </row>
    <row r="125" s="3003" customFormat="1" ht="12.75" spans="1:27">
      <c r="A125" s="3121" t="str">
        <f>项目基本情况!I1</f>
        <v>北京市房地产</v>
      </c>
      <c r="B125" s="2133">
        <f>典型户型修正!B25</f>
        <v>0</v>
      </c>
      <c r="C125" s="3300"/>
      <c r="D125" s="2133">
        <f>C36</f>
        <v>0</v>
      </c>
      <c r="E125" s="2133" t="e">
        <f>ROUND(IF(H19="元",D125/B125,D125*10000/B125),0)</f>
        <v>#DIV/0!</v>
      </c>
      <c r="F125" s="2133">
        <f>C37</f>
        <v>0</v>
      </c>
      <c r="G125" s="2133" t="e">
        <f>ROUND(IF(H19="元",F125/B125,F125*10000/B125),0)</f>
        <v>#DIV/0!</v>
      </c>
      <c r="H125" s="2133">
        <f ca="1">C34</f>
        <v>0</v>
      </c>
      <c r="I125" s="3197" t="e">
        <f ca="1">C35</f>
        <v>#DIV/0!</v>
      </c>
      <c r="J125" s="3141"/>
      <c r="K125" s="1712"/>
      <c r="L125" s="1712"/>
      <c r="M125" s="1712"/>
      <c r="N125" s="1712"/>
      <c r="O125" s="1712"/>
      <c r="P125" s="1712"/>
      <c r="Q125" s="1712"/>
      <c r="R125" s="1712"/>
      <c r="S125" s="1712"/>
      <c r="T125" s="1712"/>
      <c r="U125" s="1712"/>
      <c r="V125" s="1712"/>
      <c r="W125" s="1712"/>
      <c r="X125" s="1712"/>
      <c r="Y125" s="1712"/>
      <c r="Z125" s="1712"/>
      <c r="AA125" s="1712"/>
    </row>
    <row r="126" s="3003" customFormat="1" ht="12.75" spans="1:27">
      <c r="A126" s="3121" t="s">
        <v>815</v>
      </c>
      <c r="B126" s="2133"/>
      <c r="C126" s="2133"/>
      <c r="D126" s="3301" t="str">
        <f>IF(H19="元",NUMBERSTRING(INT(D125),2)&amp;"元整",NUMBERSTRING(INT(D125*10000),2)&amp;"元整")</f>
        <v>零元整</v>
      </c>
      <c r="E126" s="3302"/>
      <c r="F126" s="3301" t="str">
        <f>IF(H19="元",NUMBERSTRING(INT(F125),2)&amp;"元整",NUMBERSTRING(INT(F125*10000),2)&amp;"元整")</f>
        <v>零元整</v>
      </c>
      <c r="G126" s="3302"/>
      <c r="H126" s="3301" t="str">
        <f ca="1">IF(H19="元",NUMBERSTRING(INT(H125),2)&amp;"元整",NUMBERSTRING(INT(H125*10000),2)&amp;"元整")</f>
        <v>零元整</v>
      </c>
      <c r="I126" s="3336"/>
      <c r="J126" s="3337"/>
      <c r="K126" s="1712"/>
      <c r="L126" s="1712"/>
      <c r="M126" s="1712"/>
      <c r="N126" s="1712"/>
      <c r="O126" s="1712"/>
      <c r="P126" s="1712"/>
      <c r="Q126" s="1712"/>
      <c r="R126" s="1712"/>
      <c r="S126" s="1712"/>
      <c r="T126" s="1712"/>
      <c r="U126" s="1712"/>
      <c r="V126" s="1712"/>
      <c r="W126" s="1712"/>
      <c r="X126" s="1712"/>
      <c r="Y126" s="1712"/>
      <c r="Z126" s="1712"/>
      <c r="AA126" s="1712"/>
    </row>
    <row r="127" s="3003" customFormat="1" ht="12.75" spans="1:27">
      <c r="A127" s="3256" t="str">
        <f>IF(项目基本情况!D5="房地产市场价值","——",MID(A112,3,LEN(A112)-2))</f>
        <v>估价师所知悉的法定优先受偿款</v>
      </c>
      <c r="B127" s="3258"/>
      <c r="C127" s="3257"/>
      <c r="D127" s="3264">
        <f>I107</f>
        <v>0</v>
      </c>
      <c r="E127" s="3258"/>
      <c r="F127" s="3258"/>
      <c r="G127" s="3258"/>
      <c r="H127" s="3258"/>
      <c r="I127" s="3323"/>
      <c r="J127" s="3324"/>
      <c r="K127" s="1712"/>
      <c r="L127" s="1712"/>
      <c r="M127" s="1712"/>
      <c r="N127" s="1712"/>
      <c r="O127" s="1712"/>
      <c r="P127" s="1712"/>
      <c r="Q127" s="1712"/>
      <c r="R127" s="1712"/>
      <c r="S127" s="1712"/>
      <c r="T127" s="1712"/>
      <c r="U127" s="1712"/>
      <c r="V127" s="1712"/>
      <c r="W127" s="1712"/>
      <c r="X127" s="1712"/>
      <c r="Y127" s="1712"/>
      <c r="Z127" s="1712"/>
      <c r="AA127" s="1712"/>
    </row>
    <row r="128" s="3003" customFormat="1" ht="12.75" spans="1:27">
      <c r="A128" s="3303" t="s">
        <v>815</v>
      </c>
      <c r="B128" s="2112"/>
      <c r="C128" s="3124"/>
      <c r="D128" s="3304">
        <f>H111</f>
        <v>0</v>
      </c>
      <c r="E128" s="3305"/>
      <c r="F128" s="3305"/>
      <c r="G128" s="3305"/>
      <c r="H128" s="3305"/>
      <c r="I128" s="3338"/>
      <c r="J128" s="3339"/>
      <c r="K128" s="1712"/>
      <c r="L128" s="1712"/>
      <c r="M128" s="1712"/>
      <c r="N128" s="1712"/>
      <c r="O128" s="1712"/>
      <c r="P128" s="1712"/>
      <c r="Q128" s="1712"/>
      <c r="R128" s="1712"/>
      <c r="S128" s="1712"/>
      <c r="T128" s="1712"/>
      <c r="U128" s="1712"/>
      <c r="V128" s="1712"/>
      <c r="W128" s="1712"/>
      <c r="X128" s="1712"/>
      <c r="Y128" s="1712"/>
      <c r="Z128" s="1712"/>
      <c r="AA128" s="1712"/>
    </row>
    <row r="129" s="3003" customFormat="1" ht="12.75" spans="1:27">
      <c r="A129" s="3214" t="str">
        <f>IF(项目基本情况!D5="房地产市场价值","——",MID(A116,3,LEN(A116)-2))</f>
        <v>房地产抵押价值</v>
      </c>
      <c r="B129" s="2296"/>
      <c r="C129" s="2296"/>
      <c r="D129" s="3264">
        <f ca="1">I112</f>
        <v>0</v>
      </c>
      <c r="E129" s="3258"/>
      <c r="F129" s="3258"/>
      <c r="G129" s="3258"/>
      <c r="H129" s="3258"/>
      <c r="I129" s="3323"/>
      <c r="J129" s="3324"/>
      <c r="K129" s="1712"/>
      <c r="L129" s="1712"/>
      <c r="M129" s="1712"/>
      <c r="N129" s="1712"/>
      <c r="O129" s="1712"/>
      <c r="P129" s="1712"/>
      <c r="Q129" s="1712"/>
      <c r="R129" s="1712"/>
      <c r="S129" s="1712"/>
      <c r="T129" s="1712"/>
      <c r="U129" s="1712"/>
      <c r="V129" s="1712"/>
      <c r="W129" s="1712"/>
      <c r="X129" s="1712"/>
      <c r="Y129" s="1712"/>
      <c r="Z129" s="1712"/>
      <c r="AA129" s="1712"/>
    </row>
    <row r="130" s="3003" customFormat="1" ht="12.75" spans="1:27">
      <c r="A130" s="3121" t="s">
        <v>815</v>
      </c>
      <c r="B130" s="2133"/>
      <c r="C130" s="2133"/>
      <c r="D130" s="3304" t="e">
        <f ca="1">I113</f>
        <v>#DIV/0!</v>
      </c>
      <c r="E130" s="3305"/>
      <c r="F130" s="3305"/>
      <c r="G130" s="3305"/>
      <c r="H130" s="3305"/>
      <c r="I130" s="3338"/>
      <c r="J130" s="3339"/>
      <c r="K130" s="1712"/>
      <c r="L130" s="1712"/>
      <c r="M130" s="1712"/>
      <c r="N130" s="1712"/>
      <c r="O130" s="1712"/>
      <c r="P130" s="1712"/>
      <c r="Q130" s="1712"/>
      <c r="R130" s="1712"/>
      <c r="S130" s="1712"/>
      <c r="T130" s="1712"/>
      <c r="U130" s="1712"/>
      <c r="V130" s="1712"/>
      <c r="W130" s="1712"/>
      <c r="X130" s="1712"/>
      <c r="Y130" s="1712"/>
      <c r="Z130" s="1712"/>
      <c r="AA130" s="1712"/>
    </row>
    <row r="131" s="3003" customFormat="1" ht="13.5" spans="1:27">
      <c r="A131" s="3214" t="str">
        <f>IF(项目基本情况!D5="房地产市场价值","——",MID(A118,3,LEN(A118)-2))</f>
        <v/>
      </c>
      <c r="B131" s="2296"/>
      <c r="C131" s="2296"/>
      <c r="D131" s="3094" t="str">
        <f ca="1">I114</f>
        <v>——</v>
      </c>
      <c r="E131" s="3095"/>
      <c r="F131" s="3095"/>
      <c r="G131" s="3095"/>
      <c r="H131" s="3095"/>
      <c r="I131" s="3362"/>
      <c r="J131" s="3324"/>
      <c r="K131" s="1712"/>
      <c r="L131" s="1712"/>
      <c r="M131" s="1712"/>
      <c r="N131" s="1712"/>
      <c r="O131" s="1712"/>
      <c r="P131" s="1712"/>
      <c r="Q131" s="1712"/>
      <c r="R131" s="1712"/>
      <c r="S131" s="1712"/>
      <c r="T131" s="1712"/>
      <c r="U131" s="1712"/>
      <c r="V131" s="1712"/>
      <c r="W131" s="1712"/>
      <c r="X131" s="1712"/>
      <c r="Y131" s="1712"/>
      <c r="Z131" s="1712"/>
      <c r="AA131" s="1712"/>
    </row>
    <row r="132" s="3003" customFormat="1" ht="14.25" spans="1:27">
      <c r="A132" s="3121" t="s">
        <v>815</v>
      </c>
      <c r="B132" s="2133"/>
      <c r="C132" s="2111"/>
      <c r="D132" s="3340" t="str">
        <f ca="1">I115</f>
        <v>——</v>
      </c>
      <c r="E132" s="3340"/>
      <c r="F132" s="3340"/>
      <c r="G132" s="3340"/>
      <c r="H132" s="3340"/>
      <c r="I132" s="3340"/>
      <c r="J132" s="3339"/>
      <c r="K132" s="1712"/>
      <c r="L132" s="1712"/>
      <c r="M132" s="1712"/>
      <c r="N132" s="1712"/>
      <c r="O132" s="1712"/>
      <c r="P132" s="1712"/>
      <c r="Q132" s="1712"/>
      <c r="R132" s="1712"/>
      <c r="S132" s="1712"/>
      <c r="T132" s="1712"/>
      <c r="U132" s="1712"/>
      <c r="V132" s="1712"/>
      <c r="W132" s="1712"/>
      <c r="X132" s="1712"/>
      <c r="Y132" s="1712"/>
      <c r="Z132" s="1712"/>
      <c r="AA132" s="1712"/>
    </row>
    <row r="133" s="3003" customFormat="1" ht="14.25" spans="1:27">
      <c r="A133" s="3214" t="str">
        <f>IF(项目基本情况!D5="房地产市场价值","——",MID(F116,3,LEN(F116)-2))</f>
        <v/>
      </c>
      <c r="B133" s="2296"/>
      <c r="C133" s="3264"/>
      <c r="D133" s="3341" t="str">
        <f ca="1">I116</f>
        <v>——</v>
      </c>
      <c r="E133" s="3341"/>
      <c r="F133" s="3341"/>
      <c r="G133" s="3341"/>
      <c r="H133" s="3341"/>
      <c r="I133" s="3341"/>
      <c r="J133" s="3324"/>
      <c r="K133" s="1712"/>
      <c r="L133" s="1712"/>
      <c r="M133" s="1712"/>
      <c r="N133" s="1712"/>
      <c r="O133" s="1712"/>
      <c r="P133" s="1712"/>
      <c r="Q133" s="1712"/>
      <c r="R133" s="1712"/>
      <c r="S133" s="1712"/>
      <c r="T133" s="1712"/>
      <c r="U133" s="1712"/>
      <c r="V133" s="1712"/>
      <c r="W133" s="1712"/>
      <c r="X133" s="1712"/>
      <c r="Y133" s="1712"/>
      <c r="Z133" s="1712"/>
      <c r="AA133" s="1712"/>
    </row>
    <row r="134" s="3003" customFormat="1" ht="14.25" spans="1:27">
      <c r="A134" s="3129" t="s">
        <v>815</v>
      </c>
      <c r="B134" s="3130"/>
      <c r="C134" s="3130"/>
      <c r="D134" s="3342">
        <f>H118</f>
        <v>0</v>
      </c>
      <c r="E134" s="3343"/>
      <c r="F134" s="3343"/>
      <c r="G134" s="3343"/>
      <c r="H134" s="3343"/>
      <c r="I134" s="3363"/>
      <c r="J134" s="3339"/>
      <c r="K134" s="1712"/>
      <c r="L134" s="1712"/>
      <c r="M134" s="1712"/>
      <c r="N134" s="1712"/>
      <c r="O134" s="1712"/>
      <c r="P134" s="1712"/>
      <c r="Q134" s="1712"/>
      <c r="R134" s="1712"/>
      <c r="S134" s="1712"/>
      <c r="T134" s="1712"/>
      <c r="U134" s="1712"/>
      <c r="V134" s="1712"/>
      <c r="W134" s="1712"/>
      <c r="X134" s="1712"/>
      <c r="Y134" s="1712"/>
      <c r="Z134" s="1712"/>
      <c r="AA134" s="1712"/>
    </row>
    <row r="135" s="3003" customFormat="1" ht="12.75" spans="1:27">
      <c r="A135" s="3089" t="str">
        <f>IF(H19="元","单位：平方米、元、元/平方米（币种：人民币）","单位：平方米、万元、元/平方米（币种：人民币）")</f>
        <v>单位：平方米、元、元/平方米（币种：人民币）</v>
      </c>
      <c r="B135" s="3089"/>
      <c r="C135" s="3089"/>
      <c r="D135" s="3089"/>
      <c r="E135" s="3089"/>
      <c r="F135" s="3089"/>
      <c r="G135" s="3089"/>
      <c r="H135" s="3089"/>
      <c r="I135" s="3089"/>
      <c r="J135" s="3364"/>
      <c r="K135" s="1712"/>
      <c r="L135" s="1712"/>
      <c r="M135" s="1712"/>
      <c r="N135" s="1712"/>
      <c r="O135" s="1712"/>
      <c r="P135" s="1712"/>
      <c r="Q135" s="1712"/>
      <c r="R135" s="1712"/>
      <c r="S135" s="1712"/>
      <c r="T135" s="1712"/>
      <c r="U135" s="1712"/>
      <c r="V135" s="1712"/>
      <c r="W135" s="1712"/>
      <c r="X135" s="1712"/>
      <c r="Y135" s="1712"/>
      <c r="Z135" s="1712"/>
      <c r="AA135" s="1712"/>
    </row>
    <row r="136" s="3003" customFormat="1" ht="13.5" spans="1:27">
      <c r="A136" s="3344" t="str">
        <f>IF(B33="总价","（以上估价结果中楼面单价为总价除以建筑面积得出）","（以上估价结果中总价为楼面单价乘以建筑面积得出）")</f>
        <v>（以上估价结果中总价为楼面单价乘以建筑面积得出）</v>
      </c>
      <c r="B136" s="3344"/>
      <c r="C136" s="3344"/>
      <c r="D136" s="3344"/>
      <c r="E136" s="3344"/>
      <c r="F136" s="3344"/>
      <c r="G136" s="3344"/>
      <c r="H136" s="3344"/>
      <c r="I136" s="3344"/>
      <c r="J136" s="3330"/>
      <c r="K136" s="1712"/>
      <c r="L136" s="1712"/>
      <c r="M136" s="1712"/>
      <c r="N136" s="1712"/>
      <c r="O136" s="1712"/>
      <c r="P136" s="1712"/>
      <c r="Q136" s="1712"/>
      <c r="R136" s="1712"/>
      <c r="S136" s="1712"/>
      <c r="T136" s="1712"/>
      <c r="U136" s="1712"/>
      <c r="V136" s="1712"/>
      <c r="W136" s="1712"/>
      <c r="X136" s="1712"/>
      <c r="Y136" s="1712"/>
      <c r="Z136" s="1712"/>
      <c r="AA136" s="1712"/>
    </row>
    <row r="137" s="3003" customFormat="1" customHeight="1" spans="1:27">
      <c r="A137" s="3345" t="s">
        <v>816</v>
      </c>
      <c r="B137" s="3346"/>
      <c r="C137" s="3347" t="s">
        <v>817</v>
      </c>
      <c r="D137" s="3348"/>
      <c r="E137" s="3348"/>
      <c r="F137" s="3348"/>
      <c r="G137" s="3348"/>
      <c r="H137" s="3349"/>
      <c r="I137" s="3365"/>
      <c r="J137" s="3366"/>
      <c r="K137" s="1712"/>
      <c r="L137" s="1712"/>
      <c r="M137" s="1712"/>
      <c r="N137" s="1712"/>
      <c r="O137" s="1712"/>
      <c r="P137" s="1712"/>
      <c r="Q137" s="1712"/>
      <c r="R137" s="1712"/>
      <c r="S137" s="1712"/>
      <c r="T137" s="1712"/>
      <c r="U137" s="1712"/>
      <c r="V137" s="1712"/>
      <c r="W137" s="1712"/>
      <c r="X137" s="1712"/>
      <c r="Y137" s="1712"/>
      <c r="Z137" s="1712"/>
      <c r="AA137" s="1712"/>
    </row>
    <row r="138" s="3003" customFormat="1" customHeight="1" spans="1:27">
      <c r="A138" s="3350">
        <v>1</v>
      </c>
      <c r="B138" s="3351"/>
      <c r="C138" s="3351"/>
      <c r="D138" s="3348"/>
      <c r="E138" s="3348"/>
      <c r="F138" s="3348"/>
      <c r="G138" s="3348"/>
      <c r="H138" s="3349"/>
      <c r="I138" s="3365"/>
      <c r="J138" s="3366"/>
      <c r="K138" s="1712"/>
      <c r="L138" s="1712"/>
      <c r="M138" s="1712"/>
      <c r="N138" s="1712"/>
      <c r="O138" s="1712"/>
      <c r="P138" s="1712"/>
      <c r="Q138" s="1712"/>
      <c r="R138" s="1712"/>
      <c r="S138" s="1712"/>
      <c r="T138" s="1712"/>
      <c r="U138" s="1712"/>
      <c r="V138" s="1712"/>
      <c r="W138" s="1712"/>
      <c r="X138" s="1712"/>
      <c r="Y138" s="1712"/>
      <c r="Z138" s="1712"/>
      <c r="AA138" s="1712"/>
    </row>
    <row r="139" s="3003" customFormat="1" customHeight="1" spans="1:27">
      <c r="A139" s="3350">
        <v>2</v>
      </c>
      <c r="B139" s="3351"/>
      <c r="C139" s="3351"/>
      <c r="D139" s="3348"/>
      <c r="E139" s="3348"/>
      <c r="F139" s="3348"/>
      <c r="G139" s="3348"/>
      <c r="H139" s="3349"/>
      <c r="I139" s="3365"/>
      <c r="J139" s="3366"/>
      <c r="K139" s="1712"/>
      <c r="L139" s="1712"/>
      <c r="M139" s="1712"/>
      <c r="N139" s="1712"/>
      <c r="O139" s="1712"/>
      <c r="P139" s="1712"/>
      <c r="Q139" s="1712"/>
      <c r="R139" s="1712"/>
      <c r="S139" s="1712"/>
      <c r="T139" s="1712"/>
      <c r="U139" s="1712"/>
      <c r="V139" s="1712"/>
      <c r="W139" s="1712"/>
      <c r="X139" s="1712"/>
      <c r="Y139" s="1712"/>
      <c r="Z139" s="1712"/>
      <c r="AA139" s="1712"/>
    </row>
    <row r="140" s="3003" customFormat="1" customHeight="1" spans="1:27">
      <c r="A140" s="3350">
        <v>3</v>
      </c>
      <c r="B140" s="3351"/>
      <c r="C140" s="3351"/>
      <c r="D140" s="3348"/>
      <c r="E140" s="3348"/>
      <c r="F140" s="1709"/>
      <c r="G140" s="1709"/>
      <c r="H140" s="1709"/>
      <c r="I140" s="1709"/>
      <c r="J140" s="3367"/>
      <c r="K140" s="1712"/>
      <c r="L140" s="1712"/>
      <c r="M140" s="1712"/>
      <c r="N140" s="1712"/>
      <c r="O140" s="1712"/>
      <c r="P140" s="1712"/>
      <c r="Q140" s="1712"/>
      <c r="R140" s="1712"/>
      <c r="S140" s="1712"/>
      <c r="T140" s="1712"/>
      <c r="U140" s="1712"/>
      <c r="V140" s="1712"/>
      <c r="W140" s="1712"/>
      <c r="X140" s="1712"/>
      <c r="Y140" s="1712"/>
      <c r="Z140" s="1712"/>
      <c r="AA140" s="1712"/>
    </row>
    <row r="141" s="3003" customFormat="1" customHeight="1" spans="1:27">
      <c r="A141" s="3352"/>
      <c r="B141" s="3353"/>
      <c r="C141" s="3353"/>
      <c r="D141" s="3354"/>
      <c r="E141" s="3354"/>
      <c r="F141" s="3354"/>
      <c r="G141" s="3354"/>
      <c r="H141" s="3355"/>
      <c r="I141" s="3368"/>
      <c r="J141" s="3366"/>
      <c r="K141" s="1712"/>
      <c r="L141" s="1712"/>
      <c r="M141" s="1712"/>
      <c r="N141" s="1712"/>
      <c r="O141" s="1712"/>
      <c r="P141" s="1712"/>
      <c r="Q141" s="1712"/>
      <c r="R141" s="1712"/>
      <c r="S141" s="1712"/>
      <c r="T141" s="1712"/>
      <c r="U141" s="1712"/>
      <c r="V141" s="1712"/>
      <c r="W141" s="1712"/>
      <c r="X141" s="1712"/>
      <c r="Y141" s="1712"/>
      <c r="Z141" s="1712"/>
      <c r="AA141" s="1712"/>
    </row>
    <row r="142" s="3003" customFormat="1" customHeight="1" spans="1:27">
      <c r="A142" s="3351"/>
      <c r="B142" s="3351"/>
      <c r="C142" s="3351"/>
      <c r="D142" s="3348"/>
      <c r="E142" s="3348"/>
      <c r="F142" s="3348"/>
      <c r="G142" s="3348"/>
      <c r="H142" s="3349"/>
      <c r="I142" s="1712"/>
      <c r="J142" s="3367"/>
      <c r="K142" s="1712"/>
      <c r="L142" s="1712"/>
      <c r="M142" s="1712"/>
      <c r="N142" s="1712"/>
      <c r="O142" s="1712"/>
      <c r="P142" s="1712"/>
      <c r="Q142" s="1712"/>
      <c r="R142" s="1712"/>
      <c r="S142" s="1712"/>
      <c r="T142" s="1712"/>
      <c r="U142" s="1712"/>
      <c r="V142" s="1712"/>
      <c r="W142" s="1712"/>
      <c r="X142" s="1712"/>
      <c r="Y142" s="1712"/>
      <c r="Z142" s="1712"/>
      <c r="AA142" s="1712"/>
    </row>
    <row r="143" s="3003" customFormat="1" customHeight="1" spans="1:27">
      <c r="A143" s="1712"/>
      <c r="B143" s="1712"/>
      <c r="C143" s="1712"/>
      <c r="D143" s="1712"/>
      <c r="E143" s="1712"/>
      <c r="F143" s="3356" t="s">
        <v>818</v>
      </c>
      <c r="G143" s="3357"/>
      <c r="H143" s="3357"/>
      <c r="I143" s="3369" t="s">
        <v>819</v>
      </c>
      <c r="J143" s="3370"/>
      <c r="K143" s="1712"/>
      <c r="L143" s="1712"/>
      <c r="M143" s="1712"/>
      <c r="N143" s="1712"/>
      <c r="O143" s="1712"/>
      <c r="P143" s="1712"/>
      <c r="Q143" s="1712"/>
      <c r="R143" s="1712"/>
      <c r="S143" s="1712"/>
      <c r="T143" s="1712"/>
      <c r="U143" s="1712"/>
      <c r="V143" s="1712"/>
      <c r="W143" s="1712"/>
      <c r="X143" s="1712"/>
      <c r="Y143" s="1712"/>
      <c r="Z143" s="1712"/>
      <c r="AA143" s="1712"/>
    </row>
    <row r="144" s="3003" customFormat="1" customHeight="1" spans="1:27">
      <c r="A144" s="1712"/>
      <c r="B144" s="3358" t="s">
        <v>820</v>
      </c>
      <c r="C144" s="1712"/>
      <c r="D144" s="1712"/>
      <c r="E144" s="1712"/>
      <c r="F144" s="1712"/>
      <c r="G144" s="1712"/>
      <c r="H144" s="1712"/>
      <c r="I144" s="1712"/>
      <c r="J144" s="3367"/>
      <c r="K144" s="1712"/>
      <c r="L144" s="1712"/>
      <c r="M144" s="1712"/>
      <c r="N144" s="1712"/>
      <c r="O144" s="1712"/>
      <c r="P144" s="1712"/>
      <c r="Q144" s="1712"/>
      <c r="R144" s="1712"/>
      <c r="S144" s="1712"/>
      <c r="T144" s="1712"/>
      <c r="U144" s="1712"/>
      <c r="V144" s="1712"/>
      <c r="W144" s="1712"/>
      <c r="X144" s="1712"/>
      <c r="Y144" s="1712"/>
      <c r="Z144" s="1712"/>
      <c r="AA144" s="1712"/>
    </row>
    <row r="145" s="3003" customFormat="1" customHeight="1" spans="1:27">
      <c r="A145" s="1712"/>
      <c r="B145" s="1712"/>
      <c r="C145" s="1712"/>
      <c r="D145" s="1712"/>
      <c r="E145" s="1712"/>
      <c r="F145" s="1712"/>
      <c r="G145" s="1712"/>
      <c r="H145" s="1712"/>
      <c r="I145" s="1712"/>
      <c r="J145" s="3367"/>
      <c r="K145" s="1712"/>
      <c r="L145" s="1712"/>
      <c r="M145" s="1712"/>
      <c r="N145" s="1712"/>
      <c r="O145" s="1712"/>
      <c r="P145" s="1712"/>
      <c r="Q145" s="1712"/>
      <c r="R145" s="1712"/>
      <c r="S145" s="1712"/>
      <c r="T145" s="1712"/>
      <c r="U145" s="1712"/>
      <c r="V145" s="1712"/>
      <c r="W145" s="1712"/>
      <c r="X145" s="1712"/>
      <c r="Y145" s="1712"/>
      <c r="Z145" s="1712"/>
      <c r="AA145" s="1712"/>
    </row>
    <row r="146" s="3003" customFormat="1" customHeight="1" spans="1:27">
      <c r="A146" s="1712"/>
      <c r="B146" s="3357"/>
      <c r="C146" s="3357"/>
      <c r="D146" s="3357"/>
      <c r="E146" s="3357"/>
      <c r="F146" s="3357"/>
      <c r="G146" s="3357"/>
      <c r="H146" s="3357"/>
      <c r="I146" s="3369" t="s">
        <v>821</v>
      </c>
      <c r="J146" s="3370"/>
      <c r="K146" s="1712"/>
      <c r="L146" s="1712"/>
      <c r="M146" s="1712"/>
      <c r="N146" s="1712"/>
      <c r="O146" s="1712"/>
      <c r="P146" s="1712"/>
      <c r="Q146" s="1712"/>
      <c r="R146" s="1712"/>
      <c r="S146" s="1712"/>
      <c r="T146" s="1712"/>
      <c r="U146" s="1712"/>
      <c r="V146" s="1712"/>
      <c r="W146" s="1712"/>
      <c r="X146" s="1712"/>
      <c r="Y146" s="1712"/>
      <c r="Z146" s="1712"/>
      <c r="AA146" s="1712"/>
    </row>
    <row r="147" s="3003" customFormat="1" customHeight="1" spans="1:27">
      <c r="A147" s="1712"/>
      <c r="B147" s="3358" t="s">
        <v>822</v>
      </c>
      <c r="C147" s="1712"/>
      <c r="D147" s="1712"/>
      <c r="E147" s="1712"/>
      <c r="F147" s="1712"/>
      <c r="G147" s="1712"/>
      <c r="H147" s="1712"/>
      <c r="I147" s="1712"/>
      <c r="J147" s="3367"/>
      <c r="K147" s="1712"/>
      <c r="L147" s="1712"/>
      <c r="M147" s="1712"/>
      <c r="N147" s="1712"/>
      <c r="O147" s="1712"/>
      <c r="P147" s="1712"/>
      <c r="Q147" s="1712"/>
      <c r="R147" s="1712"/>
      <c r="S147" s="1712"/>
      <c r="T147" s="1712"/>
      <c r="U147" s="1712"/>
      <c r="V147" s="1712"/>
      <c r="W147" s="1712"/>
      <c r="X147" s="1712"/>
      <c r="Y147" s="1712"/>
      <c r="Z147" s="1712"/>
      <c r="AA147" s="1712"/>
    </row>
    <row r="148" s="3003" customFormat="1" customHeight="1" spans="1:27">
      <c r="A148" s="1712"/>
      <c r="B148" s="3358"/>
      <c r="C148" s="1712"/>
      <c r="D148" s="1712"/>
      <c r="E148" s="1712"/>
      <c r="F148" s="1712"/>
      <c r="G148" s="1712"/>
      <c r="H148" s="1712"/>
      <c r="I148" s="1712"/>
      <c r="J148" s="3367"/>
      <c r="K148" s="1712"/>
      <c r="L148" s="1712"/>
      <c r="M148" s="1712"/>
      <c r="N148" s="1712"/>
      <c r="O148" s="1712"/>
      <c r="P148" s="1712"/>
      <c r="Q148" s="1712"/>
      <c r="R148" s="1712"/>
      <c r="S148" s="1712"/>
      <c r="T148" s="1712"/>
      <c r="U148" s="1712"/>
      <c r="V148" s="1712"/>
      <c r="W148" s="1712"/>
      <c r="X148" s="1712"/>
      <c r="Y148" s="1712"/>
      <c r="Z148" s="1712"/>
      <c r="AA148" s="1712"/>
    </row>
    <row r="149" s="3003" customFormat="1" customHeight="1" spans="1:27">
      <c r="A149" s="1712"/>
      <c r="B149" s="3357"/>
      <c r="C149" s="3357"/>
      <c r="D149" s="3357"/>
      <c r="E149" s="3357"/>
      <c r="F149" s="3357"/>
      <c r="G149" s="3357"/>
      <c r="H149" s="3357"/>
      <c r="I149" s="3369" t="s">
        <v>821</v>
      </c>
      <c r="J149" s="3370"/>
      <c r="K149" s="1712"/>
      <c r="L149" s="1712"/>
      <c r="M149" s="1712"/>
      <c r="N149" s="1712"/>
      <c r="O149" s="1712"/>
      <c r="P149" s="1712"/>
      <c r="Q149" s="1712"/>
      <c r="R149" s="1712"/>
      <c r="S149" s="1712"/>
      <c r="T149" s="1712"/>
      <c r="U149" s="1712"/>
      <c r="V149" s="1712"/>
      <c r="W149" s="1712"/>
      <c r="X149" s="1712"/>
      <c r="Y149" s="1712"/>
      <c r="Z149" s="1712"/>
      <c r="AA149" s="1712"/>
    </row>
    <row r="150" s="3003" customFormat="1" customHeight="1" spans="1:27">
      <c r="A150" s="1712"/>
      <c r="B150" s="3358"/>
      <c r="C150" s="3359"/>
      <c r="D150" s="3360"/>
      <c r="E150" s="3360"/>
      <c r="F150" s="3361"/>
      <c r="G150" s="1712"/>
      <c r="H150" s="1712"/>
      <c r="I150" s="1712"/>
      <c r="J150" s="3367"/>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3358"/>
      <c r="C151" s="3359"/>
      <c r="D151" s="3360"/>
      <c r="E151" s="3360"/>
      <c r="J151" s="3367"/>
    </row>
    <row r="152" s="1712" customFormat="1" customHeight="1" spans="10:10">
      <c r="J152" s="3367"/>
    </row>
    <row r="153" s="1712" customFormat="1" customHeight="1" spans="10:10">
      <c r="J153" s="3367"/>
    </row>
    <row r="154" s="1712" customFormat="1" customHeight="1" spans="10:10">
      <c r="J154" s="3367"/>
    </row>
    <row r="155" s="1712" customFormat="1" customHeight="1" spans="10:10">
      <c r="J155" s="3367"/>
    </row>
    <row r="156" s="1712" customFormat="1" customHeight="1" spans="10:10">
      <c r="J156" s="3367"/>
    </row>
    <row r="157" s="1712" customFormat="1" customHeight="1" spans="10:10">
      <c r="J157" s="3367"/>
    </row>
    <row r="158" s="1712" customFormat="1" customHeight="1" spans="10:10">
      <c r="J158" s="3367"/>
    </row>
    <row r="159" s="1712" customFormat="1" customHeight="1" spans="10:10">
      <c r="J159" s="3367"/>
    </row>
    <row r="160" s="1712" customFormat="1" customHeight="1" spans="10:10">
      <c r="J160" s="3367"/>
    </row>
    <row r="161" s="1712" customFormat="1" customHeight="1" spans="10:10">
      <c r="J161" s="3367"/>
    </row>
    <row r="162" s="1712" customFormat="1" customHeight="1" spans="10:10">
      <c r="J162" s="3367"/>
    </row>
    <row r="163" s="1712" customFormat="1" customHeight="1" spans="10:10">
      <c r="J163" s="3367"/>
    </row>
    <row r="164" s="1712" customFormat="1" customHeight="1" spans="10:10">
      <c r="J164" s="3367"/>
    </row>
    <row r="165" s="1712" customFormat="1" customHeight="1" spans="10:10">
      <c r="J165" s="3367"/>
    </row>
    <row r="166" s="1712" customFormat="1" customHeight="1" spans="10:10">
      <c r="J166" s="3367"/>
    </row>
    <row r="167" s="1712" customFormat="1" customHeight="1" spans="10:10">
      <c r="J167" s="3367"/>
    </row>
    <row r="168" s="1712" customFormat="1" customHeight="1" spans="10:10">
      <c r="J168" s="3367"/>
    </row>
    <row r="169" s="1712" customFormat="1" customHeight="1" spans="10:10">
      <c r="J169" s="3367"/>
    </row>
    <row r="170" s="1712" customFormat="1" customHeight="1" spans="10:10">
      <c r="J170" s="3367"/>
    </row>
    <row r="171" s="1712" customFormat="1" customHeight="1" spans="10:10">
      <c r="J171" s="3367"/>
    </row>
    <row r="172" s="1712" customFormat="1" customHeight="1" spans="10:10">
      <c r="J172" s="3367"/>
    </row>
    <row r="173" s="1712" customFormat="1" customHeight="1" spans="10:10">
      <c r="J173" s="3367"/>
    </row>
    <row r="174" s="1712" customFormat="1" customHeight="1" spans="10:10">
      <c r="J174" s="3367"/>
    </row>
    <row r="175" s="1712" customFormat="1" customHeight="1" spans="10:10">
      <c r="J175" s="3367"/>
    </row>
    <row r="176" s="1712" customFormat="1" customHeight="1" spans="10:10">
      <c r="J176" s="3367"/>
    </row>
    <row r="177" s="1712" customFormat="1" customHeight="1" spans="10:10">
      <c r="J177" s="3367"/>
    </row>
    <row r="178" s="1712" customFormat="1" customHeight="1" spans="10:10">
      <c r="J178" s="3367"/>
    </row>
    <row r="179" s="1712" customFormat="1" customHeight="1" spans="10:10">
      <c r="J179" s="3367"/>
    </row>
    <row r="180" s="1712" customFormat="1" customHeight="1" spans="10:10">
      <c r="J180" s="3367"/>
    </row>
    <row r="181" s="1712" customFormat="1" customHeight="1" spans="10:10">
      <c r="J181" s="3367"/>
    </row>
    <row r="182" s="1712" customFormat="1" customHeight="1" spans="10:10">
      <c r="J182" s="3367"/>
    </row>
    <row r="183" s="1712" customFormat="1" customHeight="1" spans="10:10">
      <c r="J183" s="3367"/>
    </row>
    <row r="184" s="1712" customFormat="1" customHeight="1" spans="10:10">
      <c r="J184" s="3367"/>
    </row>
    <row r="185" s="1712" customFormat="1" customHeight="1" spans="10:10">
      <c r="J185" s="3367"/>
    </row>
    <row r="186" s="1712" customFormat="1" customHeight="1" spans="10:10">
      <c r="J186" s="3367"/>
    </row>
    <row r="187" s="1712" customFormat="1" customHeight="1" spans="10:10">
      <c r="J187" s="3367"/>
    </row>
    <row r="188" s="1712" customFormat="1" customHeight="1" spans="10:10">
      <c r="J188" s="3367"/>
    </row>
    <row r="189" s="1712" customFormat="1" customHeight="1" spans="10:10">
      <c r="J189" s="3367"/>
    </row>
    <row r="190" s="1712" customFormat="1" customHeight="1" spans="10:10">
      <c r="J190" s="3367"/>
    </row>
    <row r="191" s="1712" customFormat="1" customHeight="1" spans="10:10">
      <c r="J191" s="3367"/>
    </row>
    <row r="192" s="1712" customFormat="1" customHeight="1" spans="10:10">
      <c r="J192" s="3367"/>
    </row>
    <row r="193" s="1712" customFormat="1" customHeight="1" spans="10:10">
      <c r="J193" s="3367"/>
    </row>
    <row r="194" s="1712" customFormat="1" customHeight="1" spans="10:10">
      <c r="J194" s="3367"/>
    </row>
    <row r="195" s="1712" customFormat="1" customHeight="1" spans="10:10">
      <c r="J195" s="3367"/>
    </row>
    <row r="196" s="1712" customFormat="1" customHeight="1" spans="10:10">
      <c r="J196" s="3367"/>
    </row>
    <row r="197" s="1712" customFormat="1" customHeight="1" spans="10:10">
      <c r="J197" s="3367"/>
    </row>
    <row r="198" s="1712" customFormat="1" customHeight="1" spans="10:10">
      <c r="J198" s="3367"/>
    </row>
    <row r="199" s="1712" customFormat="1" customHeight="1" spans="10:10">
      <c r="J199" s="3367"/>
    </row>
    <row r="200" s="1712" customFormat="1" customHeight="1" spans="10:10">
      <c r="J200" s="3367"/>
    </row>
    <row r="201" s="1712" customFormat="1" customHeight="1" spans="10:10">
      <c r="J201" s="3367"/>
    </row>
    <row r="202" s="1712" customFormat="1" customHeight="1" spans="10:10">
      <c r="J202" s="3367"/>
    </row>
    <row r="203" s="1712" customFormat="1" customHeight="1" spans="10:10">
      <c r="J203" s="3367"/>
    </row>
    <row r="204" s="1712" customFormat="1" customHeight="1" spans="10:10">
      <c r="J204" s="3367"/>
    </row>
    <row r="205" s="1712" customFormat="1" customHeight="1" spans="10:10">
      <c r="J205" s="3367"/>
    </row>
    <row r="206" s="1712" customFormat="1" customHeight="1" spans="10:10">
      <c r="J206" s="3367"/>
    </row>
    <row r="207" s="1712" customFormat="1" customHeight="1" spans="10:10">
      <c r="J207" s="3367"/>
    </row>
    <row r="208" s="1712" customFormat="1" customHeight="1" spans="10:10">
      <c r="J208" s="3367"/>
    </row>
    <row r="209" s="1712" customFormat="1" customHeight="1" spans="10:10">
      <c r="J209" s="3367"/>
    </row>
    <row r="210" s="1712" customFormat="1" customHeight="1" spans="10:10">
      <c r="J210" s="3367"/>
    </row>
    <row r="211" s="1712" customFormat="1" customHeight="1" spans="10:10">
      <c r="J211" s="3367"/>
    </row>
    <row r="212" s="1712" customFormat="1" customHeight="1" spans="10:10">
      <c r="J212" s="3367"/>
    </row>
    <row r="213" s="1712" customFormat="1" customHeight="1" spans="10:10">
      <c r="J213" s="3367"/>
    </row>
    <row r="214" s="1712" customFormat="1" customHeight="1" spans="10:10">
      <c r="J214" s="3367"/>
    </row>
    <row r="215" s="1712" customFormat="1" customHeight="1" spans="10:10">
      <c r="J215" s="3367"/>
    </row>
    <row r="216" s="1712" customFormat="1" customHeight="1" spans="10:10">
      <c r="J216" s="3367"/>
    </row>
    <row r="217" s="1712" customFormat="1" customHeight="1" spans="10:10">
      <c r="J217" s="3367"/>
    </row>
    <row r="218" s="1712" customFormat="1" customHeight="1" spans="10:10">
      <c r="J218" s="3367"/>
    </row>
    <row r="219" s="1712" customFormat="1" customHeight="1" spans="10:10">
      <c r="J219" s="3367"/>
    </row>
    <row r="220" s="1712" customFormat="1" customHeight="1" spans="10:10">
      <c r="J220" s="3367"/>
    </row>
    <row r="221" s="1712" customFormat="1" customHeight="1" spans="10:10">
      <c r="J221" s="3367"/>
    </row>
    <row r="222" s="1712" customFormat="1" customHeight="1" spans="10:10">
      <c r="J222" s="3367"/>
    </row>
    <row r="223" s="1712" customFormat="1" customHeight="1" spans="10:10">
      <c r="J223" s="3367"/>
    </row>
    <row r="224" s="1712" customFormat="1" customHeight="1" spans="10:10">
      <c r="J224" s="3367"/>
    </row>
    <row r="225" s="1712" customFormat="1" customHeight="1" spans="10:10">
      <c r="J225" s="3367"/>
    </row>
    <row r="226" s="1712" customFormat="1" customHeight="1" spans="10:10">
      <c r="J226" s="3367"/>
    </row>
    <row r="227" s="1712" customFormat="1" customHeight="1" spans="10:10">
      <c r="J227" s="3367"/>
    </row>
    <row r="228" s="1712" customFormat="1" customHeight="1" spans="10:10">
      <c r="J228" s="3367"/>
    </row>
    <row r="229" s="1712" customFormat="1" customHeight="1" spans="10:10">
      <c r="J229" s="3367"/>
    </row>
    <row r="230" s="1712" customFormat="1" customHeight="1" spans="10:10">
      <c r="J230" s="3367"/>
    </row>
    <row r="231" s="1712" customFormat="1" customHeight="1" spans="10:10">
      <c r="J231" s="3367"/>
    </row>
    <row r="232" s="1712" customFormat="1" customHeight="1" spans="10:10">
      <c r="J232" s="3367"/>
    </row>
    <row r="233" s="1712" customFormat="1" customHeight="1" spans="10:10">
      <c r="J233" s="3367"/>
    </row>
    <row r="234" s="1712" customFormat="1" customHeight="1" spans="10:10">
      <c r="J234" s="3367"/>
    </row>
    <row r="235" s="1712" customFormat="1" customHeight="1" spans="10:10">
      <c r="J235" s="3367"/>
    </row>
    <row r="236" s="1712" customFormat="1" customHeight="1" spans="10:10">
      <c r="J236" s="3367"/>
    </row>
    <row r="237" s="1712" customFormat="1" customHeight="1" spans="10:10">
      <c r="J237" s="3367"/>
    </row>
    <row r="238" s="1712" customFormat="1" customHeight="1" spans="10:10">
      <c r="J238" s="3367"/>
    </row>
    <row r="239" s="1712" customFormat="1" customHeight="1" spans="10:10">
      <c r="J239" s="3367"/>
    </row>
    <row r="240" s="1712" customFormat="1" customHeight="1" spans="10:10">
      <c r="J240" s="3367"/>
    </row>
    <row r="241" s="1712" customFormat="1" customHeight="1" spans="10:10">
      <c r="J241" s="3367"/>
    </row>
    <row r="242" s="1712" customFormat="1" customHeight="1" spans="10:10">
      <c r="J242" s="3367"/>
    </row>
    <row r="243" s="1712" customFormat="1" customHeight="1" spans="10:10">
      <c r="J243" s="3367"/>
    </row>
    <row r="244" s="1712" customFormat="1" customHeight="1" spans="10:10">
      <c r="J244" s="3367"/>
    </row>
    <row r="245" s="1712" customFormat="1" customHeight="1" spans="10:10">
      <c r="J245" s="3367"/>
    </row>
    <row r="246" s="1712" customFormat="1" customHeight="1" spans="10:10">
      <c r="J246" s="3367"/>
    </row>
    <row r="247" s="1712" customFormat="1" customHeight="1" spans="10:10">
      <c r="J247" s="3367"/>
    </row>
    <row r="248" s="1712" customFormat="1" customHeight="1" spans="10:10">
      <c r="J248" s="3367"/>
    </row>
    <row r="249" s="1712" customFormat="1" customHeight="1" spans="10:10">
      <c r="J249" s="3367"/>
    </row>
    <row r="250" s="1712" customFormat="1" customHeight="1" spans="10:10">
      <c r="J250" s="3367"/>
    </row>
    <row r="251" s="1712" customFormat="1" customHeight="1" spans="10:10">
      <c r="J251" s="3367"/>
    </row>
    <row r="252" s="1712" customFormat="1" customHeight="1" spans="10:10">
      <c r="J252" s="3367"/>
    </row>
    <row r="253" s="1712" customFormat="1" customHeight="1" spans="10:10">
      <c r="J253" s="3367"/>
    </row>
    <row r="254" s="1712" customFormat="1" customHeight="1" spans="10:10">
      <c r="J254" s="3367"/>
    </row>
    <row r="255" s="1712" customFormat="1" customHeight="1" spans="10:10">
      <c r="J255" s="3367"/>
    </row>
    <row r="256" s="1712" customFormat="1" customHeight="1" spans="10:10">
      <c r="J256" s="3367"/>
    </row>
    <row r="257" s="1712" customFormat="1" customHeight="1" spans="10:10">
      <c r="J257" s="3367"/>
    </row>
    <row r="258" s="1712" customFormat="1" customHeight="1" spans="10:10">
      <c r="J258" s="3367"/>
    </row>
    <row r="259" s="1712" customFormat="1" customHeight="1" spans="10:10">
      <c r="J259" s="3367"/>
    </row>
    <row r="260" s="1712" customFormat="1" customHeight="1" spans="10:10">
      <c r="J260" s="3367"/>
    </row>
    <row r="261" s="1712" customFormat="1" customHeight="1" spans="10:10">
      <c r="J261" s="3367"/>
    </row>
    <row r="262" s="1712" customFormat="1" customHeight="1" spans="10:10">
      <c r="J262" s="3367"/>
    </row>
    <row r="263" s="1712" customFormat="1" customHeight="1" spans="10:10">
      <c r="J263" s="3367"/>
    </row>
    <row r="264" s="1712" customFormat="1" customHeight="1" spans="10:10">
      <c r="J264" s="3367"/>
    </row>
    <row r="265" s="1712" customFormat="1" customHeight="1" spans="10:10">
      <c r="J265" s="3367"/>
    </row>
    <row r="266" s="1712" customFormat="1" customHeight="1" spans="10:10">
      <c r="J266" s="3367"/>
    </row>
    <row r="267" s="1712" customFormat="1" customHeight="1" spans="10:10">
      <c r="J267" s="3367"/>
    </row>
    <row r="268" s="1712" customFormat="1" customHeight="1" spans="10:10">
      <c r="J268" s="3367"/>
    </row>
    <row r="269" s="1712" customFormat="1" customHeight="1" spans="10:10">
      <c r="J269" s="3367"/>
    </row>
    <row r="270" s="1712" customFormat="1" customHeight="1" spans="10:10">
      <c r="J270" s="3367"/>
    </row>
    <row r="271" s="1712" customFormat="1" customHeight="1" spans="10:10">
      <c r="J271" s="3367"/>
    </row>
    <row r="272" s="1712" customFormat="1" customHeight="1" spans="10:10">
      <c r="J272" s="3367"/>
    </row>
    <row r="273" s="1712" customFormat="1" customHeight="1" spans="10:10">
      <c r="J273" s="3367"/>
    </row>
    <row r="274" s="1712" customFormat="1" customHeight="1" spans="10:10">
      <c r="J274" s="3367"/>
    </row>
    <row r="275" s="1712" customFormat="1" customHeight="1" spans="10:10">
      <c r="J275" s="3367"/>
    </row>
    <row r="276" s="1712" customFormat="1" customHeight="1" spans="10:10">
      <c r="J276" s="3367"/>
    </row>
    <row r="277" s="1712" customFormat="1" customHeight="1" spans="10:10">
      <c r="J277" s="3367"/>
    </row>
    <row r="278" s="1712" customFormat="1" customHeight="1" spans="10:10">
      <c r="J278" s="3367"/>
    </row>
    <row r="279" s="1712" customFormat="1" customHeight="1" spans="10:10">
      <c r="J279" s="3367"/>
    </row>
    <row r="280" s="1712" customFormat="1" customHeight="1" spans="10:10">
      <c r="J280" s="3367"/>
    </row>
    <row r="281" s="1712" customFormat="1" customHeight="1" spans="10:10">
      <c r="J281" s="3367"/>
    </row>
    <row r="282" s="1712" customFormat="1" customHeight="1" spans="10:10">
      <c r="J282" s="3367"/>
    </row>
    <row r="283" s="1712" customFormat="1" customHeight="1" spans="10:10">
      <c r="J283" s="3367"/>
    </row>
    <row r="284" s="1712" customFormat="1" customHeight="1" spans="10:10">
      <c r="J284" s="3367"/>
    </row>
    <row r="285" s="1712" customFormat="1" customHeight="1" spans="10:10">
      <c r="J285" s="3367"/>
    </row>
    <row r="286" s="1712" customFormat="1" customHeight="1" spans="10:10">
      <c r="J286" s="3367"/>
    </row>
    <row r="287" s="1712" customFormat="1" customHeight="1" spans="10:10">
      <c r="J287" s="3367"/>
    </row>
    <row r="288" s="1712" customFormat="1" customHeight="1" spans="10:10">
      <c r="J288" s="3367"/>
    </row>
    <row r="289" s="1712" customFormat="1" customHeight="1" spans="10:10">
      <c r="J289" s="3367"/>
    </row>
    <row r="290" s="1712" customFormat="1" customHeight="1" spans="10:10">
      <c r="J290" s="3367"/>
    </row>
    <row r="291" s="1712" customFormat="1" customHeight="1" spans="10:10">
      <c r="J291" s="3367"/>
    </row>
    <row r="292" s="1712" customFormat="1" customHeight="1" spans="10:10">
      <c r="J292" s="3367"/>
    </row>
    <row r="293" s="1712" customFormat="1" customHeight="1" spans="10:10">
      <c r="J293" s="3367"/>
    </row>
    <row r="294" s="1712" customFormat="1" customHeight="1" spans="10:10">
      <c r="J294" s="3367"/>
    </row>
    <row r="295" s="1712" customFormat="1" customHeight="1" spans="10:10">
      <c r="J295" s="3367"/>
    </row>
    <row r="296" s="1712" customFormat="1" customHeight="1" spans="10:10">
      <c r="J296" s="3367"/>
    </row>
    <row r="297" s="1712" customFormat="1" customHeight="1" spans="10:10">
      <c r="J297" s="3367"/>
    </row>
    <row r="298" s="1712" customFormat="1" customHeight="1" spans="10:10">
      <c r="J298" s="3367"/>
    </row>
    <row r="299" s="1712" customFormat="1" customHeight="1" spans="10:10">
      <c r="J299" s="3367"/>
    </row>
    <row r="300" s="1712" customFormat="1" customHeight="1" spans="10:10">
      <c r="J300" s="3367"/>
    </row>
    <row r="301" s="1712" customFormat="1" customHeight="1" spans="10:10">
      <c r="J301" s="3367"/>
    </row>
    <row r="302" s="1712" customFormat="1" customHeight="1" spans="10:10">
      <c r="J302" s="3367"/>
    </row>
    <row r="303" s="1712" customFormat="1" customHeight="1" spans="10:10">
      <c r="J303" s="3367"/>
    </row>
    <row r="304" s="1712" customFormat="1" customHeight="1" spans="10:10">
      <c r="J304" s="3367"/>
    </row>
    <row r="305" s="1712" customFormat="1" customHeight="1" spans="10:10">
      <c r="J305" s="3367"/>
    </row>
    <row r="306" s="1712" customFormat="1" customHeight="1" spans="10:10">
      <c r="J306" s="3367"/>
    </row>
    <row r="307" s="1712" customFormat="1" customHeight="1" spans="10:10">
      <c r="J307" s="3367"/>
    </row>
    <row r="308" s="1712" customFormat="1" customHeight="1" spans="10:10">
      <c r="J308" s="3367"/>
    </row>
    <row r="309" s="1712" customFormat="1" customHeight="1" spans="10:10">
      <c r="J309" s="3367"/>
    </row>
    <row r="310" s="1712" customFormat="1" customHeight="1" spans="10:10">
      <c r="J310" s="3367"/>
    </row>
    <row r="311" s="1712" customFormat="1" customHeight="1" spans="10:10">
      <c r="J311" s="3367"/>
    </row>
    <row r="312" s="1712" customFormat="1" customHeight="1" spans="10:10">
      <c r="J312" s="3367"/>
    </row>
    <row r="313" s="1712" customFormat="1" customHeight="1" spans="10:10">
      <c r="J313" s="3367"/>
    </row>
    <row r="314" s="1712" customFormat="1" customHeight="1" spans="10:10">
      <c r="J314" s="3367"/>
    </row>
    <row r="315" s="1712" customFormat="1" customHeight="1" spans="10:10">
      <c r="J315" s="3367"/>
    </row>
    <row r="316" s="1712" customFormat="1" customHeight="1" spans="10:10">
      <c r="J316" s="3367"/>
    </row>
    <row r="317" s="1712" customFormat="1" customHeight="1" spans="10:10">
      <c r="J317" s="3367"/>
    </row>
    <row r="318" s="1712" customFormat="1" customHeight="1" spans="10:10">
      <c r="J318" s="3367"/>
    </row>
    <row r="319" s="1712" customFormat="1" customHeight="1" spans="10:10">
      <c r="J319" s="3367"/>
    </row>
    <row r="320" s="1712" customFormat="1" customHeight="1" spans="10:10">
      <c r="J320" s="3367"/>
    </row>
    <row r="321" s="1712" customFormat="1" customHeight="1" spans="10:10">
      <c r="J321" s="3367"/>
    </row>
    <row r="322" s="1712" customFormat="1" customHeight="1" spans="10:10">
      <c r="J322" s="3367"/>
    </row>
    <row r="323" s="1712" customFormat="1" customHeight="1" spans="10:10">
      <c r="J323" s="3367"/>
    </row>
    <row r="324" s="1712" customFormat="1" customHeight="1" spans="10:10">
      <c r="J324" s="3367"/>
    </row>
    <row r="325" s="1712" customFormat="1" customHeight="1" spans="10:10">
      <c r="J325" s="3367"/>
    </row>
    <row r="326" s="1712" customFormat="1" customHeight="1" spans="10:10">
      <c r="J326" s="3367"/>
    </row>
    <row r="327" s="1712" customFormat="1" customHeight="1" spans="10:10">
      <c r="J327" s="3367"/>
    </row>
    <row r="328" s="1712" customFormat="1" customHeight="1" spans="10:10">
      <c r="J328" s="3367"/>
    </row>
    <row r="329" s="1712" customFormat="1" customHeight="1" spans="10:10">
      <c r="J329" s="3367"/>
    </row>
    <row r="330" s="1712" customFormat="1" customHeight="1" spans="10:10">
      <c r="J330" s="3367"/>
    </row>
    <row r="331" s="1712" customFormat="1" customHeight="1" spans="10:10">
      <c r="J331" s="3367"/>
    </row>
    <row r="332" s="1712" customFormat="1" customHeight="1" spans="10:10">
      <c r="J332" s="3367"/>
    </row>
    <row r="333" s="1712" customFormat="1" customHeight="1" spans="10:10">
      <c r="J333" s="3367"/>
    </row>
    <row r="334" s="1712" customFormat="1" customHeight="1" spans="10:10">
      <c r="J334" s="3367"/>
    </row>
    <row r="335" s="1712" customFormat="1" customHeight="1" spans="10:10">
      <c r="J335" s="3367"/>
    </row>
    <row r="336" s="1712" customFormat="1" customHeight="1" spans="10:10">
      <c r="J336" s="3367"/>
    </row>
    <row r="337" s="1712" customFormat="1" customHeight="1" spans="10:10">
      <c r="J337" s="3367"/>
    </row>
    <row r="338" s="1712" customFormat="1" customHeight="1" spans="10:10">
      <c r="J338" s="3367"/>
    </row>
    <row r="339" s="1712" customFormat="1" customHeight="1" spans="10:10">
      <c r="J339" s="3367"/>
    </row>
    <row r="340" s="1712" customFormat="1" customHeight="1" spans="10:10">
      <c r="J340" s="3367"/>
    </row>
    <row r="341" s="1712" customFormat="1" customHeight="1" spans="10:10">
      <c r="J341" s="3367"/>
    </row>
    <row r="342" s="1712" customFormat="1" customHeight="1" spans="10:10">
      <c r="J342" s="3367"/>
    </row>
    <row r="343" s="1712" customFormat="1" customHeight="1" spans="10:10">
      <c r="J343" s="3367"/>
    </row>
    <row r="344" s="1712" customFormat="1" customHeight="1" spans="10:10">
      <c r="J344" s="3367"/>
    </row>
    <row r="345" s="1712" customFormat="1" customHeight="1" spans="10:10">
      <c r="J345" s="3367"/>
    </row>
    <row r="346" s="1712" customFormat="1" customHeight="1" spans="10:10">
      <c r="J346" s="3367"/>
    </row>
    <row r="347" s="1712" customFormat="1" customHeight="1" spans="10:10">
      <c r="J347" s="3367"/>
    </row>
    <row r="348" s="1712" customFormat="1" customHeight="1" spans="10:10">
      <c r="J348" s="3367"/>
    </row>
    <row r="349" s="1712" customFormat="1" customHeight="1" spans="10:10">
      <c r="J349" s="3367"/>
    </row>
    <row r="350" s="1712" customFormat="1" customHeight="1" spans="10:10">
      <c r="J350" s="3367"/>
    </row>
    <row r="351" s="1712" customFormat="1" customHeight="1" spans="10:10">
      <c r="J351" s="3367"/>
    </row>
    <row r="352" s="1712" customFormat="1" customHeight="1" spans="10:10">
      <c r="J352" s="3367"/>
    </row>
    <row r="353" s="1712" customFormat="1" customHeight="1" spans="10:10">
      <c r="J353" s="3367"/>
    </row>
    <row r="354" s="1712" customFormat="1" customHeight="1" spans="10:10">
      <c r="J354" s="3367"/>
    </row>
    <row r="355" s="1712" customFormat="1" customHeight="1" spans="10:10">
      <c r="J355" s="3367"/>
    </row>
    <row r="356" s="1712" customFormat="1" customHeight="1" spans="10:10">
      <c r="J356" s="3367"/>
    </row>
    <row r="357" s="1712" customFormat="1" customHeight="1" spans="10:10">
      <c r="J357" s="3367"/>
    </row>
    <row r="358" s="1712" customFormat="1" customHeight="1" spans="10:10">
      <c r="J358" s="3367"/>
    </row>
    <row r="359" s="1712" customFormat="1" customHeight="1" spans="10:10">
      <c r="J359" s="3367"/>
    </row>
    <row r="360" s="1712" customFormat="1" customHeight="1" spans="10:10">
      <c r="J360" s="3367"/>
    </row>
    <row r="361" s="1712" customFormat="1" customHeight="1" spans="10:10">
      <c r="J361" s="3367"/>
    </row>
    <row r="362" s="1712" customFormat="1" customHeight="1" spans="10:10">
      <c r="J362" s="3367"/>
    </row>
    <row r="363" s="1712" customFormat="1" customHeight="1" spans="10:10">
      <c r="J363" s="3367"/>
    </row>
    <row r="364" s="1712" customFormat="1" customHeight="1" spans="10:10">
      <c r="J364" s="3367"/>
    </row>
    <row r="365" s="1712" customFormat="1" customHeight="1" spans="10:10">
      <c r="J365" s="3367"/>
    </row>
    <row r="366" s="1712" customFormat="1" customHeight="1" spans="10:10">
      <c r="J366" s="3367"/>
    </row>
    <row r="367" s="1712" customFormat="1" customHeight="1" spans="10:10">
      <c r="J367" s="3367"/>
    </row>
    <row r="368" s="1712" customFormat="1" customHeight="1" spans="10:10">
      <c r="J368" s="3367"/>
    </row>
    <row r="369" s="1712" customFormat="1" customHeight="1" spans="10:10">
      <c r="J369" s="3367"/>
    </row>
    <row r="370" s="1712" customFormat="1" customHeight="1" spans="10:10">
      <c r="J370" s="3367"/>
    </row>
    <row r="371" s="1712" customFormat="1" customHeight="1" spans="10:10">
      <c r="J371" s="3367"/>
    </row>
    <row r="372" s="1712" customFormat="1" customHeight="1" spans="10:10">
      <c r="J372" s="3367"/>
    </row>
    <row r="373" s="1712" customFormat="1" customHeight="1" spans="10:10">
      <c r="J373" s="3367"/>
    </row>
    <row r="374" s="1712" customFormat="1" customHeight="1" spans="10:10">
      <c r="J374" s="3367"/>
    </row>
    <row r="375" s="1712" customFormat="1" customHeight="1" spans="10:10">
      <c r="J375" s="3367"/>
    </row>
    <row r="376" s="1712" customFormat="1" customHeight="1" spans="10:10">
      <c r="J376" s="3367"/>
    </row>
    <row r="377" s="1712" customFormat="1" customHeight="1" spans="10:10">
      <c r="J377" s="3367"/>
    </row>
    <row r="378" s="1712" customFormat="1" customHeight="1" spans="10:10">
      <c r="J378" s="3367"/>
    </row>
    <row r="379" s="1712" customFormat="1" customHeight="1" spans="10:10">
      <c r="J379" s="3367"/>
    </row>
    <row r="380" s="1712" customFormat="1" customHeight="1" spans="10:10">
      <c r="J380" s="3367"/>
    </row>
    <row r="381" s="1712" customFormat="1" customHeight="1" spans="10:10">
      <c r="J381" s="3367"/>
    </row>
    <row r="382" s="1712" customFormat="1" customHeight="1" spans="10:10">
      <c r="J382" s="3367"/>
    </row>
    <row r="383" s="3003" customFormat="1" customHeight="1" spans="10:27">
      <c r="J383" s="3005"/>
      <c r="K383" s="1712"/>
      <c r="L383" s="1712"/>
      <c r="M383" s="1712"/>
      <c r="N383" s="1712"/>
      <c r="O383" s="1712"/>
      <c r="P383" s="1712"/>
      <c r="Q383" s="1712"/>
      <c r="R383" s="1712"/>
      <c r="S383" s="1712"/>
      <c r="T383" s="1712"/>
      <c r="U383" s="1712"/>
      <c r="V383" s="1712"/>
      <c r="W383" s="1712"/>
      <c r="X383" s="1712"/>
      <c r="Y383" s="1712"/>
      <c r="Z383" s="1712"/>
      <c r="AA383" s="1712"/>
    </row>
    <row r="384" s="3003" customFormat="1" customHeight="1" spans="10:27">
      <c r="J384" s="3005"/>
      <c r="K384" s="1712"/>
      <c r="L384" s="1712"/>
      <c r="M384" s="1712"/>
      <c r="N384" s="1712"/>
      <c r="O384" s="1712"/>
      <c r="P384" s="1712"/>
      <c r="Q384" s="1712"/>
      <c r="R384" s="1712"/>
      <c r="S384" s="1712"/>
      <c r="T384" s="1712"/>
      <c r="U384" s="1712"/>
      <c r="V384" s="1712"/>
      <c r="W384" s="1712"/>
      <c r="X384" s="1712"/>
      <c r="Y384" s="1712"/>
      <c r="Z384" s="1712"/>
      <c r="AA384" s="1712"/>
    </row>
    <row r="385" s="3003" customFormat="1" customHeight="1" spans="10:27">
      <c r="J385" s="3005"/>
      <c r="K385" s="1712"/>
      <c r="L385" s="1712"/>
      <c r="M385" s="1712"/>
      <c r="N385" s="1712"/>
      <c r="O385" s="1712"/>
      <c r="P385" s="1712"/>
      <c r="Q385" s="1712"/>
      <c r="R385" s="1712"/>
      <c r="S385" s="1712"/>
      <c r="T385" s="1712"/>
      <c r="U385" s="1712"/>
      <c r="V385" s="1712"/>
      <c r="W385" s="1712"/>
      <c r="X385" s="1712"/>
      <c r="Y385" s="1712"/>
      <c r="Z385" s="1712"/>
      <c r="AA385" s="1712"/>
    </row>
    <row r="386" s="3003" customFormat="1" customHeight="1" spans="10:27">
      <c r="J386" s="3005"/>
      <c r="K386" s="1712"/>
      <c r="L386" s="1712"/>
      <c r="M386" s="1712"/>
      <c r="N386" s="1712"/>
      <c r="O386" s="1712"/>
      <c r="P386" s="1712"/>
      <c r="Q386" s="1712"/>
      <c r="R386" s="1712"/>
      <c r="S386" s="1712"/>
      <c r="T386" s="1712"/>
      <c r="U386" s="1712"/>
      <c r="V386" s="1712"/>
      <c r="W386" s="1712"/>
      <c r="X386" s="1712"/>
      <c r="Y386" s="1712"/>
      <c r="Z386" s="1712"/>
      <c r="AA386" s="1712"/>
    </row>
    <row r="387" s="3003" customFormat="1" customHeight="1" spans="10:27">
      <c r="J387" s="3005"/>
      <c r="K387" s="1712"/>
      <c r="L387" s="1712"/>
      <c r="M387" s="1712"/>
      <c r="N387" s="1712"/>
      <c r="O387" s="1712"/>
      <c r="P387" s="1712"/>
      <c r="Q387" s="1712"/>
      <c r="R387" s="1712"/>
      <c r="S387" s="1712"/>
      <c r="T387" s="1712"/>
      <c r="U387" s="1712"/>
      <c r="V387" s="1712"/>
      <c r="W387" s="1712"/>
      <c r="X387" s="1712"/>
      <c r="Y387" s="1712"/>
      <c r="Z387" s="1712"/>
      <c r="AA387" s="1712"/>
    </row>
    <row r="388" s="3003" customFormat="1" customHeight="1" spans="10:27">
      <c r="J388" s="3005"/>
      <c r="K388" s="1712"/>
      <c r="L388" s="1712"/>
      <c r="M388" s="1712"/>
      <c r="N388" s="1712"/>
      <c r="O388" s="1712"/>
      <c r="P388" s="1712"/>
      <c r="Q388" s="1712"/>
      <c r="R388" s="1712"/>
      <c r="S388" s="1712"/>
      <c r="T388" s="1712"/>
      <c r="U388" s="1712"/>
      <c r="V388" s="1712"/>
      <c r="W388" s="1712"/>
      <c r="X388" s="1712"/>
      <c r="Y388" s="1712"/>
      <c r="Z388" s="1712"/>
      <c r="AA388" s="1712"/>
    </row>
    <row r="389" s="3003" customFormat="1" customHeight="1" spans="10:27">
      <c r="J389" s="3005"/>
      <c r="K389" s="1712"/>
      <c r="L389" s="1712"/>
      <c r="M389" s="1712"/>
      <c r="N389" s="1712"/>
      <c r="O389" s="1712"/>
      <c r="P389" s="1712"/>
      <c r="Q389" s="1712"/>
      <c r="R389" s="1712"/>
      <c r="S389" s="1712"/>
      <c r="T389" s="1712"/>
      <c r="U389" s="1712"/>
      <c r="V389" s="1712"/>
      <c r="W389" s="1712"/>
      <c r="X389" s="1712"/>
      <c r="Y389" s="1712"/>
      <c r="Z389" s="1712"/>
      <c r="AA389" s="1712"/>
    </row>
    <row r="390" s="3003" customFormat="1" customHeight="1" spans="10:27">
      <c r="J390" s="3005"/>
      <c r="K390" s="1712"/>
      <c r="L390" s="1712"/>
      <c r="M390" s="1712"/>
      <c r="N390" s="1712"/>
      <c r="O390" s="1712"/>
      <c r="P390" s="1712"/>
      <c r="Q390" s="1712"/>
      <c r="R390" s="1712"/>
      <c r="S390" s="1712"/>
      <c r="T390" s="1712"/>
      <c r="U390" s="1712"/>
      <c r="V390" s="1712"/>
      <c r="W390" s="1712"/>
      <c r="X390" s="1712"/>
      <c r="Y390" s="1712"/>
      <c r="Z390" s="1712"/>
      <c r="AA390" s="1712"/>
    </row>
    <row r="391" s="3003" customFormat="1" customHeight="1" spans="10:27">
      <c r="J391" s="3005"/>
      <c r="K391" s="1712"/>
      <c r="L391" s="1712"/>
      <c r="M391" s="1712"/>
      <c r="N391" s="1712"/>
      <c r="O391" s="1712"/>
      <c r="P391" s="1712"/>
      <c r="Q391" s="1712"/>
      <c r="R391" s="1712"/>
      <c r="S391" s="1712"/>
      <c r="T391" s="1712"/>
      <c r="U391" s="1712"/>
      <c r="V391" s="1712"/>
      <c r="W391" s="1712"/>
      <c r="X391" s="1712"/>
      <c r="Y391" s="1712"/>
      <c r="Z391" s="1712"/>
      <c r="AA391" s="1712"/>
    </row>
    <row r="392" s="3003" customFormat="1" customHeight="1" spans="10:27">
      <c r="J392" s="3005"/>
      <c r="K392" s="1712"/>
      <c r="L392" s="1712"/>
      <c r="M392" s="1712"/>
      <c r="N392" s="1712"/>
      <c r="O392" s="1712"/>
      <c r="P392" s="1712"/>
      <c r="Q392" s="1712"/>
      <c r="R392" s="1712"/>
      <c r="S392" s="1712"/>
      <c r="T392" s="1712"/>
      <c r="U392" s="1712"/>
      <c r="V392" s="1712"/>
      <c r="W392" s="1712"/>
      <c r="X392" s="1712"/>
      <c r="Y392" s="1712"/>
      <c r="Z392" s="1712"/>
      <c r="AA392" s="1712"/>
    </row>
    <row r="393" s="3003" customFormat="1" customHeight="1" spans="10:27">
      <c r="J393" s="3005"/>
      <c r="K393" s="1712"/>
      <c r="L393" s="1712"/>
      <c r="M393" s="1712"/>
      <c r="N393" s="1712"/>
      <c r="O393" s="1712"/>
      <c r="P393" s="1712"/>
      <c r="Q393" s="1712"/>
      <c r="R393" s="1712"/>
      <c r="S393" s="1712"/>
      <c r="T393" s="1712"/>
      <c r="U393" s="1712"/>
      <c r="V393" s="1712"/>
      <c r="W393" s="1712"/>
      <c r="X393" s="1712"/>
      <c r="Y393" s="1712"/>
      <c r="Z393" s="1712"/>
      <c r="AA393" s="1712"/>
    </row>
    <row r="394" s="3003" customFormat="1" customHeight="1" spans="10:27">
      <c r="J394" s="3005"/>
      <c r="K394" s="1712"/>
      <c r="L394" s="1712"/>
      <c r="M394" s="1712"/>
      <c r="N394" s="1712"/>
      <c r="O394" s="1712"/>
      <c r="P394" s="1712"/>
      <c r="Q394" s="1712"/>
      <c r="R394" s="1712"/>
      <c r="S394" s="1712"/>
      <c r="T394" s="1712"/>
      <c r="U394" s="1712"/>
      <c r="V394" s="1712"/>
      <c r="W394" s="1712"/>
      <c r="X394" s="1712"/>
      <c r="Y394" s="1712"/>
      <c r="Z394" s="1712"/>
      <c r="AA394" s="1712"/>
    </row>
    <row r="395" s="3003" customFormat="1" customHeight="1" spans="10:27">
      <c r="J395" s="3005"/>
      <c r="K395" s="1712"/>
      <c r="L395" s="1712"/>
      <c r="M395" s="1712"/>
      <c r="N395" s="1712"/>
      <c r="O395" s="1712"/>
      <c r="P395" s="1712"/>
      <c r="Q395" s="1712"/>
      <c r="R395" s="1712"/>
      <c r="S395" s="1712"/>
      <c r="T395" s="1712"/>
      <c r="U395" s="1712"/>
      <c r="V395" s="1712"/>
      <c r="W395" s="1712"/>
      <c r="X395" s="1712"/>
      <c r="Y395" s="1712"/>
      <c r="Z395" s="1712"/>
      <c r="AA395" s="1712"/>
    </row>
    <row r="396" s="3003" customFormat="1" customHeight="1" spans="10:27">
      <c r="J396" s="3005"/>
      <c r="K396" s="1712"/>
      <c r="L396" s="1712"/>
      <c r="M396" s="1712"/>
      <c r="N396" s="1712"/>
      <c r="O396" s="1712"/>
      <c r="P396" s="1712"/>
      <c r="Q396" s="1712"/>
      <c r="R396" s="1712"/>
      <c r="S396" s="1712"/>
      <c r="T396" s="1712"/>
      <c r="U396" s="1712"/>
      <c r="V396" s="1712"/>
      <c r="W396" s="1712"/>
      <c r="X396" s="1712"/>
      <c r="Y396" s="1712"/>
      <c r="Z396" s="1712"/>
      <c r="AA396" s="1712"/>
    </row>
    <row r="397" s="3003" customFormat="1" customHeight="1" spans="10:27">
      <c r="J397" s="3005"/>
      <c r="K397" s="1712"/>
      <c r="L397" s="1712"/>
      <c r="M397" s="1712"/>
      <c r="N397" s="1712"/>
      <c r="O397" s="1712"/>
      <c r="P397" s="1712"/>
      <c r="Q397" s="1712"/>
      <c r="R397" s="1712"/>
      <c r="S397" s="1712"/>
      <c r="T397" s="1712"/>
      <c r="U397" s="1712"/>
      <c r="V397" s="1712"/>
      <c r="W397" s="1712"/>
      <c r="X397" s="1712"/>
      <c r="Y397" s="1712"/>
      <c r="Z397" s="1712"/>
      <c r="AA397" s="1712"/>
    </row>
    <row r="398" s="3003" customFormat="1" customHeight="1" spans="10:27">
      <c r="J398" s="3005"/>
      <c r="K398" s="1712"/>
      <c r="L398" s="1712"/>
      <c r="M398" s="1712"/>
      <c r="N398" s="1712"/>
      <c r="O398" s="1712"/>
      <c r="P398" s="1712"/>
      <c r="Q398" s="1712"/>
      <c r="R398" s="1712"/>
      <c r="S398" s="1712"/>
      <c r="T398" s="1712"/>
      <c r="U398" s="1712"/>
      <c r="V398" s="1712"/>
      <c r="W398" s="1712"/>
      <c r="X398" s="1712"/>
      <c r="Y398" s="1712"/>
      <c r="Z398" s="1712"/>
      <c r="AA398" s="1712"/>
    </row>
    <row r="399" s="3003" customFormat="1" customHeight="1" spans="10:27">
      <c r="J399" s="3005"/>
      <c r="K399" s="1712"/>
      <c r="L399" s="1712"/>
      <c r="M399" s="1712"/>
      <c r="N399" s="1712"/>
      <c r="O399" s="1712"/>
      <c r="P399" s="1712"/>
      <c r="Q399" s="1712"/>
      <c r="R399" s="1712"/>
      <c r="S399" s="1712"/>
      <c r="T399" s="1712"/>
      <c r="U399" s="1712"/>
      <c r="V399" s="1712"/>
      <c r="W399" s="1712"/>
      <c r="X399" s="1712"/>
      <c r="Y399" s="1712"/>
      <c r="Z399" s="1712"/>
      <c r="AA399" s="1712"/>
    </row>
    <row r="400" s="3003" customFormat="1" customHeight="1" spans="10:27">
      <c r="J400" s="3005"/>
      <c r="K400" s="1712"/>
      <c r="L400" s="1712"/>
      <c r="M400" s="1712"/>
      <c r="N400" s="1712"/>
      <c r="O400" s="1712"/>
      <c r="P400" s="1712"/>
      <c r="Q400" s="1712"/>
      <c r="R400" s="1712"/>
      <c r="S400" s="1712"/>
      <c r="T400" s="1712"/>
      <c r="U400" s="1712"/>
      <c r="V400" s="1712"/>
      <c r="W400" s="1712"/>
      <c r="X400" s="1712"/>
      <c r="Y400" s="1712"/>
      <c r="Z400" s="1712"/>
      <c r="AA400" s="1712"/>
    </row>
    <row r="401" s="3003" customFormat="1" customHeight="1" spans="10:27">
      <c r="J401" s="3005"/>
      <c r="K401" s="1712"/>
      <c r="L401" s="1712"/>
      <c r="M401" s="1712"/>
      <c r="N401" s="1712"/>
      <c r="O401" s="1712"/>
      <c r="P401" s="1712"/>
      <c r="Q401" s="1712"/>
      <c r="R401" s="1712"/>
      <c r="S401" s="1712"/>
      <c r="T401" s="1712"/>
      <c r="U401" s="1712"/>
      <c r="V401" s="1712"/>
      <c r="W401" s="1712"/>
      <c r="X401" s="1712"/>
      <c r="Y401" s="1712"/>
      <c r="Z401" s="1712"/>
      <c r="AA401" s="1712"/>
    </row>
    <row r="402" s="3003" customFormat="1" customHeight="1" spans="10:27">
      <c r="J402" s="3005"/>
      <c r="K402" s="1712"/>
      <c r="L402" s="1712"/>
      <c r="M402" s="1712"/>
      <c r="N402" s="1712"/>
      <c r="O402" s="1712"/>
      <c r="P402" s="1712"/>
      <c r="Q402" s="1712"/>
      <c r="R402" s="1712"/>
      <c r="S402" s="1712"/>
      <c r="T402" s="1712"/>
      <c r="U402" s="1712"/>
      <c r="V402" s="1712"/>
      <c r="W402" s="1712"/>
      <c r="X402" s="1712"/>
      <c r="Y402" s="1712"/>
      <c r="Z402" s="1712"/>
      <c r="AA402" s="1712"/>
    </row>
    <row r="403" s="3003" customFormat="1" customHeight="1" spans="10:27">
      <c r="J403" s="3005"/>
      <c r="K403" s="1712"/>
      <c r="L403" s="1712"/>
      <c r="M403" s="1712"/>
      <c r="N403" s="1712"/>
      <c r="O403" s="1712"/>
      <c r="P403" s="1712"/>
      <c r="Q403" s="1712"/>
      <c r="R403" s="1712"/>
      <c r="S403" s="1712"/>
      <c r="T403" s="1712"/>
      <c r="U403" s="1712"/>
      <c r="V403" s="1712"/>
      <c r="W403" s="1712"/>
      <c r="X403" s="1712"/>
      <c r="Y403" s="1712"/>
      <c r="Z403" s="1712"/>
      <c r="AA403" s="1712"/>
    </row>
    <row r="404" s="3003" customFormat="1" customHeight="1" spans="10:27">
      <c r="J404" s="3005"/>
      <c r="K404" s="1712"/>
      <c r="L404" s="1712"/>
      <c r="M404" s="1712"/>
      <c r="N404" s="1712"/>
      <c r="O404" s="1712"/>
      <c r="P404" s="1712"/>
      <c r="Q404" s="1712"/>
      <c r="R404" s="1712"/>
      <c r="S404" s="1712"/>
      <c r="T404" s="1712"/>
      <c r="U404" s="1712"/>
      <c r="V404" s="1712"/>
      <c r="W404" s="1712"/>
      <c r="X404" s="1712"/>
      <c r="Y404" s="1712"/>
      <c r="Z404" s="1712"/>
      <c r="AA404" s="1712"/>
    </row>
    <row r="405" s="3003" customFormat="1" customHeight="1" spans="10:27">
      <c r="J405" s="3005"/>
      <c r="K405" s="1712"/>
      <c r="L405" s="1712"/>
      <c r="M405" s="1712"/>
      <c r="N405" s="1712"/>
      <c r="O405" s="1712"/>
      <c r="P405" s="1712"/>
      <c r="Q405" s="1712"/>
      <c r="R405" s="1712"/>
      <c r="S405" s="1712"/>
      <c r="T405" s="1712"/>
      <c r="U405" s="1712"/>
      <c r="V405" s="1712"/>
      <c r="W405" s="1712"/>
      <c r="X405" s="1712"/>
      <c r="Y405" s="1712"/>
      <c r="Z405" s="1712"/>
      <c r="AA405" s="1712"/>
    </row>
    <row r="406" s="3003" customFormat="1" customHeight="1" spans="10:27">
      <c r="J406" s="3005"/>
      <c r="K406" s="1712"/>
      <c r="L406" s="1712"/>
      <c r="M406" s="1712"/>
      <c r="N406" s="1712"/>
      <c r="O406" s="1712"/>
      <c r="P406" s="1712"/>
      <c r="Q406" s="1712"/>
      <c r="R406" s="1712"/>
      <c r="S406" s="1712"/>
      <c r="T406" s="1712"/>
      <c r="U406" s="1712"/>
      <c r="V406" s="1712"/>
      <c r="W406" s="1712"/>
      <c r="X406" s="1712"/>
      <c r="Y406" s="1712"/>
      <c r="Z406" s="1712"/>
      <c r="AA406" s="1712"/>
    </row>
    <row r="407" s="3003" customFormat="1" customHeight="1" spans="10:27">
      <c r="J407" s="3005"/>
      <c r="K407" s="1712"/>
      <c r="L407" s="1712"/>
      <c r="M407" s="1712"/>
      <c r="N407" s="1712"/>
      <c r="O407" s="1712"/>
      <c r="P407" s="1712"/>
      <c r="Q407" s="1712"/>
      <c r="R407" s="1712"/>
      <c r="S407" s="1712"/>
      <c r="T407" s="1712"/>
      <c r="U407" s="1712"/>
      <c r="V407" s="1712"/>
      <c r="W407" s="1712"/>
      <c r="X407" s="1712"/>
      <c r="Y407" s="1712"/>
      <c r="Z407" s="1712"/>
      <c r="AA407" s="1712"/>
    </row>
    <row r="408" s="3003" customFormat="1" customHeight="1" spans="10:27">
      <c r="J408" s="3005"/>
      <c r="K408" s="1712"/>
      <c r="L408" s="1712"/>
      <c r="M408" s="1712"/>
      <c r="N408" s="1712"/>
      <c r="O408" s="1712"/>
      <c r="P408" s="1712"/>
      <c r="Q408" s="1712"/>
      <c r="R408" s="1712"/>
      <c r="S408" s="1712"/>
      <c r="T408" s="1712"/>
      <c r="U408" s="1712"/>
      <c r="V408" s="1712"/>
      <c r="W408" s="1712"/>
      <c r="X408" s="1712"/>
      <c r="Y408" s="1712"/>
      <c r="Z408" s="1712"/>
      <c r="AA408" s="1712"/>
    </row>
    <row r="409" s="3003" customFormat="1" customHeight="1" spans="10:27">
      <c r="J409" s="3005"/>
      <c r="K409" s="1712"/>
      <c r="L409" s="1712"/>
      <c r="M409" s="1712"/>
      <c r="N409" s="1712"/>
      <c r="O409" s="1712"/>
      <c r="P409" s="1712"/>
      <c r="Q409" s="1712"/>
      <c r="R409" s="1712"/>
      <c r="S409" s="1712"/>
      <c r="T409" s="1712"/>
      <c r="U409" s="1712"/>
      <c r="V409" s="1712"/>
      <c r="W409" s="1712"/>
      <c r="X409" s="1712"/>
      <c r="Y409" s="1712"/>
      <c r="Z409" s="1712"/>
      <c r="AA409" s="1712"/>
    </row>
    <row r="410" s="3003" customFormat="1" customHeight="1" spans="10:27">
      <c r="J410" s="3005"/>
      <c r="K410" s="1712"/>
      <c r="L410" s="1712"/>
      <c r="M410" s="1712"/>
      <c r="N410" s="1712"/>
      <c r="O410" s="1712"/>
      <c r="P410" s="1712"/>
      <c r="Q410" s="1712"/>
      <c r="R410" s="1712"/>
      <c r="S410" s="1712"/>
      <c r="T410" s="1712"/>
      <c r="U410" s="1712"/>
      <c r="V410" s="1712"/>
      <c r="W410" s="1712"/>
      <c r="X410" s="1712"/>
      <c r="Y410" s="1712"/>
      <c r="Z410" s="1712"/>
      <c r="AA410" s="1712"/>
    </row>
    <row r="411" s="3003" customFormat="1" customHeight="1" spans="10:27">
      <c r="J411" s="3005"/>
      <c r="K411" s="1712"/>
      <c r="L411" s="1712"/>
      <c r="M411" s="1712"/>
      <c r="N411" s="1712"/>
      <c r="O411" s="1712"/>
      <c r="P411" s="1712"/>
      <c r="Q411" s="1712"/>
      <c r="R411" s="1712"/>
      <c r="S411" s="1712"/>
      <c r="T411" s="1712"/>
      <c r="U411" s="1712"/>
      <c r="V411" s="1712"/>
      <c r="W411" s="1712"/>
      <c r="X411" s="1712"/>
      <c r="Y411" s="1712"/>
      <c r="Z411" s="1712"/>
      <c r="AA411" s="1712"/>
    </row>
    <row r="412" s="3003" customFormat="1" customHeight="1" spans="10:27">
      <c r="J412" s="3005"/>
      <c r="K412" s="1712"/>
      <c r="L412" s="1712"/>
      <c r="M412" s="1712"/>
      <c r="N412" s="1712"/>
      <c r="O412" s="1712"/>
      <c r="P412" s="1712"/>
      <c r="Q412" s="1712"/>
      <c r="R412" s="1712"/>
      <c r="S412" s="1712"/>
      <c r="T412" s="1712"/>
      <c r="U412" s="1712"/>
      <c r="V412" s="1712"/>
      <c r="W412" s="1712"/>
      <c r="X412" s="1712"/>
      <c r="Y412" s="1712"/>
      <c r="Z412" s="1712"/>
      <c r="AA412" s="1712"/>
    </row>
    <row r="413" s="3003" customFormat="1" customHeight="1" spans="10:27">
      <c r="J413" s="3005"/>
      <c r="K413" s="1712"/>
      <c r="L413" s="1712"/>
      <c r="M413" s="1712"/>
      <c r="N413" s="1712"/>
      <c r="O413" s="1712"/>
      <c r="P413" s="1712"/>
      <c r="Q413" s="1712"/>
      <c r="R413" s="1712"/>
      <c r="S413" s="1712"/>
      <c r="T413" s="1712"/>
      <c r="U413" s="1712"/>
      <c r="V413" s="1712"/>
      <c r="W413" s="1712"/>
      <c r="X413" s="1712"/>
      <c r="Y413" s="1712"/>
      <c r="Z413" s="1712"/>
      <c r="AA413" s="1712"/>
    </row>
    <row r="414" s="3003" customFormat="1" customHeight="1" spans="10:27">
      <c r="J414" s="3005"/>
      <c r="K414" s="1712"/>
      <c r="L414" s="1712"/>
      <c r="M414" s="1712"/>
      <c r="N414" s="1712"/>
      <c r="O414" s="1712"/>
      <c r="P414" s="1712"/>
      <c r="Q414" s="1712"/>
      <c r="R414" s="1712"/>
      <c r="S414" s="1712"/>
      <c r="T414" s="1712"/>
      <c r="U414" s="1712"/>
      <c r="V414" s="1712"/>
      <c r="W414" s="1712"/>
      <c r="X414" s="1712"/>
      <c r="Y414" s="1712"/>
      <c r="Z414" s="1712"/>
      <c r="AA414" s="1712"/>
    </row>
    <row r="415" s="3003" customFormat="1" customHeight="1" spans="10:27">
      <c r="J415" s="3005"/>
      <c r="K415" s="1712"/>
      <c r="L415" s="1712"/>
      <c r="M415" s="1712"/>
      <c r="N415" s="1712"/>
      <c r="O415" s="1712"/>
      <c r="P415" s="1712"/>
      <c r="Q415" s="1712"/>
      <c r="R415" s="1712"/>
      <c r="S415" s="1712"/>
      <c r="T415" s="1712"/>
      <c r="U415" s="1712"/>
      <c r="V415" s="1712"/>
      <c r="W415" s="1712"/>
      <c r="X415" s="1712"/>
      <c r="Y415" s="1712"/>
      <c r="Z415" s="1712"/>
      <c r="AA415" s="1712"/>
    </row>
    <row r="416" s="3003" customFormat="1" customHeight="1" spans="10:27">
      <c r="J416" s="3005"/>
      <c r="K416" s="1712"/>
      <c r="L416" s="1712"/>
      <c r="M416" s="1712"/>
      <c r="N416" s="1712"/>
      <c r="O416" s="1712"/>
      <c r="P416" s="1712"/>
      <c r="Q416" s="1712"/>
      <c r="R416" s="1712"/>
      <c r="S416" s="1712"/>
      <c r="T416" s="1712"/>
      <c r="U416" s="1712"/>
      <c r="V416" s="1712"/>
      <c r="W416" s="1712"/>
      <c r="X416" s="1712"/>
      <c r="Y416" s="1712"/>
      <c r="Z416" s="1712"/>
      <c r="AA416" s="1712"/>
    </row>
    <row r="417" s="3003" customFormat="1" customHeight="1" spans="10:27">
      <c r="J417" s="3005"/>
      <c r="K417" s="1712"/>
      <c r="L417" s="1712"/>
      <c r="M417" s="1712"/>
      <c r="N417" s="1712"/>
      <c r="O417" s="1712"/>
      <c r="P417" s="1712"/>
      <c r="Q417" s="1712"/>
      <c r="R417" s="1712"/>
      <c r="S417" s="1712"/>
      <c r="T417" s="1712"/>
      <c r="U417" s="1712"/>
      <c r="V417" s="1712"/>
      <c r="W417" s="1712"/>
      <c r="X417" s="1712"/>
      <c r="Y417" s="1712"/>
      <c r="Z417" s="1712"/>
      <c r="AA417" s="1712"/>
    </row>
    <row r="418" s="3003" customFormat="1" customHeight="1" spans="10:27">
      <c r="J418" s="3005"/>
      <c r="K418" s="1712"/>
      <c r="L418" s="1712"/>
      <c r="M418" s="1712"/>
      <c r="N418" s="1712"/>
      <c r="O418" s="1712"/>
      <c r="P418" s="1712"/>
      <c r="Q418" s="1712"/>
      <c r="R418" s="1712"/>
      <c r="S418" s="1712"/>
      <c r="T418" s="1712"/>
      <c r="U418" s="1712"/>
      <c r="V418" s="1712"/>
      <c r="W418" s="1712"/>
      <c r="X418" s="1712"/>
      <c r="Y418" s="1712"/>
      <c r="Z418" s="1712"/>
      <c r="AA418" s="1712"/>
    </row>
    <row r="419" s="3003" customFormat="1" customHeight="1" spans="10:27">
      <c r="J419" s="3005"/>
      <c r="K419" s="1712"/>
      <c r="L419" s="1712"/>
      <c r="M419" s="1712"/>
      <c r="N419" s="1712"/>
      <c r="O419" s="1712"/>
      <c r="P419" s="1712"/>
      <c r="Q419" s="1712"/>
      <c r="R419" s="1712"/>
      <c r="S419" s="1712"/>
      <c r="T419" s="1712"/>
      <c r="U419" s="1712"/>
      <c r="V419" s="1712"/>
      <c r="W419" s="1712"/>
      <c r="X419" s="1712"/>
      <c r="Y419" s="1712"/>
      <c r="Z419" s="1712"/>
      <c r="AA419" s="1712"/>
    </row>
    <row r="420" s="3003" customFormat="1" customHeight="1" spans="10:27">
      <c r="J420" s="3005"/>
      <c r="K420" s="1712"/>
      <c r="L420" s="1712"/>
      <c r="M420" s="1712"/>
      <c r="N420" s="1712"/>
      <c r="O420" s="1712"/>
      <c r="P420" s="1712"/>
      <c r="Q420" s="1712"/>
      <c r="R420" s="1712"/>
      <c r="S420" s="1712"/>
      <c r="T420" s="1712"/>
      <c r="U420" s="1712"/>
      <c r="V420" s="1712"/>
      <c r="W420" s="1712"/>
      <c r="X420" s="1712"/>
      <c r="Y420" s="1712"/>
      <c r="Z420" s="1712"/>
      <c r="AA420" s="1712"/>
    </row>
    <row r="421" s="3003" customFormat="1" customHeight="1" spans="10:27">
      <c r="J421" s="3005"/>
      <c r="K421" s="1712"/>
      <c r="L421" s="1712"/>
      <c r="M421" s="1712"/>
      <c r="N421" s="1712"/>
      <c r="O421" s="1712"/>
      <c r="P421" s="1712"/>
      <c r="Q421" s="1712"/>
      <c r="R421" s="1712"/>
      <c r="S421" s="1712"/>
      <c r="T421" s="1712"/>
      <c r="U421" s="1712"/>
      <c r="V421" s="1712"/>
      <c r="W421" s="1712"/>
      <c r="X421" s="1712"/>
      <c r="Y421" s="1712"/>
      <c r="Z421" s="1712"/>
      <c r="AA421" s="1712"/>
    </row>
    <row r="422" s="3003" customFormat="1" customHeight="1" spans="10:27">
      <c r="J422" s="3005"/>
      <c r="K422" s="1712"/>
      <c r="L422" s="1712"/>
      <c r="M422" s="1712"/>
      <c r="N422" s="1712"/>
      <c r="O422" s="1712"/>
      <c r="P422" s="1712"/>
      <c r="Q422" s="1712"/>
      <c r="R422" s="1712"/>
      <c r="S422" s="1712"/>
      <c r="T422" s="1712"/>
      <c r="U422" s="1712"/>
      <c r="V422" s="1712"/>
      <c r="W422" s="1712"/>
      <c r="X422" s="1712"/>
      <c r="Y422" s="1712"/>
      <c r="Z422" s="1712"/>
      <c r="AA422" s="1712"/>
    </row>
    <row r="423" s="3003" customFormat="1" customHeight="1" spans="10:27">
      <c r="J423" s="3005"/>
      <c r="K423" s="1712"/>
      <c r="L423" s="1712"/>
      <c r="M423" s="1712"/>
      <c r="N423" s="1712"/>
      <c r="O423" s="1712"/>
      <c r="P423" s="1712"/>
      <c r="Q423" s="1712"/>
      <c r="R423" s="1712"/>
      <c r="S423" s="1712"/>
      <c r="T423" s="1712"/>
      <c r="U423" s="1712"/>
      <c r="V423" s="1712"/>
      <c r="W423" s="1712"/>
      <c r="X423" s="1712"/>
      <c r="Y423" s="1712"/>
      <c r="Z423" s="1712"/>
      <c r="AA423" s="1712"/>
    </row>
    <row r="424" s="3003" customFormat="1" customHeight="1" spans="10:27">
      <c r="J424" s="3005"/>
      <c r="K424" s="1712"/>
      <c r="L424" s="1712"/>
      <c r="M424" s="1712"/>
      <c r="N424" s="1712"/>
      <c r="O424" s="1712"/>
      <c r="P424" s="1712"/>
      <c r="Q424" s="1712"/>
      <c r="R424" s="1712"/>
      <c r="S424" s="1712"/>
      <c r="T424" s="1712"/>
      <c r="U424" s="1712"/>
      <c r="V424" s="1712"/>
      <c r="W424" s="1712"/>
      <c r="X424" s="1712"/>
      <c r="Y424" s="1712"/>
      <c r="Z424" s="1712"/>
      <c r="AA424" s="1712"/>
    </row>
    <row r="425" s="3003" customFormat="1" customHeight="1" spans="10:27">
      <c r="J425" s="3005"/>
      <c r="K425" s="1712"/>
      <c r="L425" s="1712"/>
      <c r="M425" s="1712"/>
      <c r="N425" s="1712"/>
      <c r="O425" s="1712"/>
      <c r="P425" s="1712"/>
      <c r="Q425" s="1712"/>
      <c r="R425" s="1712"/>
      <c r="S425" s="1712"/>
      <c r="T425" s="1712"/>
      <c r="U425" s="1712"/>
      <c r="V425" s="1712"/>
      <c r="W425" s="1712"/>
      <c r="X425" s="1712"/>
      <c r="Y425" s="1712"/>
      <c r="Z425" s="1712"/>
      <c r="AA425" s="1712"/>
    </row>
    <row r="426" s="3003" customFormat="1" customHeight="1" spans="10:27">
      <c r="J426" s="3005"/>
      <c r="K426" s="1712"/>
      <c r="L426" s="1712"/>
      <c r="M426" s="1712"/>
      <c r="N426" s="1712"/>
      <c r="O426" s="1712"/>
      <c r="P426" s="1712"/>
      <c r="Q426" s="1712"/>
      <c r="R426" s="1712"/>
      <c r="S426" s="1712"/>
      <c r="T426" s="1712"/>
      <c r="U426" s="1712"/>
      <c r="V426" s="1712"/>
      <c r="W426" s="1712"/>
      <c r="X426" s="1712"/>
      <c r="Y426" s="1712"/>
      <c r="Z426" s="1712"/>
      <c r="AA426" s="1712"/>
    </row>
    <row r="427" s="3003" customFormat="1" customHeight="1" spans="10:27">
      <c r="J427" s="3005"/>
      <c r="K427" s="1712"/>
      <c r="L427" s="1712"/>
      <c r="M427" s="1712"/>
      <c r="N427" s="1712"/>
      <c r="O427" s="1712"/>
      <c r="P427" s="1712"/>
      <c r="Q427" s="1712"/>
      <c r="R427" s="1712"/>
      <c r="S427" s="1712"/>
      <c r="T427" s="1712"/>
      <c r="U427" s="1712"/>
      <c r="V427" s="1712"/>
      <c r="W427" s="1712"/>
      <c r="X427" s="1712"/>
      <c r="Y427" s="1712"/>
      <c r="Z427" s="1712"/>
      <c r="AA427" s="1712"/>
    </row>
    <row r="428" s="3003" customFormat="1" customHeight="1" spans="10:27">
      <c r="J428" s="3005"/>
      <c r="K428" s="1712"/>
      <c r="L428" s="1712"/>
      <c r="M428" s="1712"/>
      <c r="N428" s="1712"/>
      <c r="O428" s="1712"/>
      <c r="P428" s="1712"/>
      <c r="Q428" s="1712"/>
      <c r="R428" s="1712"/>
      <c r="S428" s="1712"/>
      <c r="T428" s="1712"/>
      <c r="U428" s="1712"/>
      <c r="V428" s="1712"/>
      <c r="W428" s="1712"/>
      <c r="X428" s="1712"/>
      <c r="Y428" s="1712"/>
      <c r="Z428" s="1712"/>
      <c r="AA428" s="1712"/>
    </row>
    <row r="429" s="3003" customFormat="1" customHeight="1" spans="10:27">
      <c r="J429" s="3005"/>
      <c r="K429" s="1712"/>
      <c r="L429" s="1712"/>
      <c r="M429" s="1712"/>
      <c r="N429" s="1712"/>
      <c r="O429" s="1712"/>
      <c r="P429" s="1712"/>
      <c r="Q429" s="1712"/>
      <c r="R429" s="1712"/>
      <c r="S429" s="1712"/>
      <c r="T429" s="1712"/>
      <c r="U429" s="1712"/>
      <c r="V429" s="1712"/>
      <c r="W429" s="1712"/>
      <c r="X429" s="1712"/>
      <c r="Y429" s="1712"/>
      <c r="Z429" s="1712"/>
      <c r="AA429" s="1712"/>
    </row>
    <row r="430" s="3003" customFormat="1" customHeight="1" spans="10:27">
      <c r="J430" s="3005"/>
      <c r="K430" s="1712"/>
      <c r="L430" s="1712"/>
      <c r="M430" s="1712"/>
      <c r="N430" s="1712"/>
      <c r="O430" s="1712"/>
      <c r="P430" s="1712"/>
      <c r="Q430" s="1712"/>
      <c r="R430" s="1712"/>
      <c r="S430" s="1712"/>
      <c r="T430" s="1712"/>
      <c r="U430" s="1712"/>
      <c r="V430" s="1712"/>
      <c r="W430" s="1712"/>
      <c r="X430" s="1712"/>
      <c r="Y430" s="1712"/>
      <c r="Z430" s="1712"/>
      <c r="AA430" s="1712"/>
    </row>
    <row r="431" s="3003" customFormat="1" customHeight="1" spans="10:27">
      <c r="J431" s="3005"/>
      <c r="K431" s="1712"/>
      <c r="L431" s="1712"/>
      <c r="M431" s="1712"/>
      <c r="N431" s="1712"/>
      <c r="O431" s="1712"/>
      <c r="P431" s="1712"/>
      <c r="Q431" s="1712"/>
      <c r="R431" s="1712"/>
      <c r="S431" s="1712"/>
      <c r="T431" s="1712"/>
      <c r="U431" s="1712"/>
      <c r="V431" s="1712"/>
      <c r="W431" s="1712"/>
      <c r="X431" s="1712"/>
      <c r="Y431" s="1712"/>
      <c r="Z431" s="1712"/>
      <c r="AA431" s="1712"/>
    </row>
    <row r="432" s="3003" customFormat="1" customHeight="1" spans="10:27">
      <c r="J432" s="3005"/>
      <c r="K432" s="1712"/>
      <c r="L432" s="1712"/>
      <c r="M432" s="1712"/>
      <c r="N432" s="1712"/>
      <c r="O432" s="1712"/>
      <c r="P432" s="1712"/>
      <c r="Q432" s="1712"/>
      <c r="R432" s="1712"/>
      <c r="S432" s="1712"/>
      <c r="T432" s="1712"/>
      <c r="U432" s="1712"/>
      <c r="V432" s="1712"/>
      <c r="W432" s="1712"/>
      <c r="X432" s="1712"/>
      <c r="Y432" s="1712"/>
      <c r="Z432" s="1712"/>
      <c r="AA432" s="1712"/>
    </row>
    <row r="433" s="3003" customFormat="1" customHeight="1" spans="10:27">
      <c r="J433" s="3005"/>
      <c r="K433" s="1712"/>
      <c r="L433" s="1712"/>
      <c r="M433" s="1712"/>
      <c r="N433" s="1712"/>
      <c r="O433" s="1712"/>
      <c r="P433" s="1712"/>
      <c r="Q433" s="1712"/>
      <c r="R433" s="1712"/>
      <c r="S433" s="1712"/>
      <c r="T433" s="1712"/>
      <c r="U433" s="1712"/>
      <c r="V433" s="1712"/>
      <c r="W433" s="1712"/>
      <c r="X433" s="1712"/>
      <c r="Y433" s="1712"/>
      <c r="Z433" s="1712"/>
      <c r="AA433" s="1712"/>
    </row>
    <row r="434" s="3003" customFormat="1" customHeight="1" spans="10:27">
      <c r="J434" s="3005"/>
      <c r="K434" s="1712"/>
      <c r="L434" s="1712"/>
      <c r="M434" s="1712"/>
      <c r="N434" s="1712"/>
      <c r="O434" s="1712"/>
      <c r="P434" s="1712"/>
      <c r="Q434" s="1712"/>
      <c r="R434" s="1712"/>
      <c r="S434" s="1712"/>
      <c r="T434" s="1712"/>
      <c r="U434" s="1712"/>
      <c r="V434" s="1712"/>
      <c r="W434" s="1712"/>
      <c r="X434" s="1712"/>
      <c r="Y434" s="1712"/>
      <c r="Z434" s="1712"/>
      <c r="AA434" s="1712"/>
    </row>
    <row r="435" s="3003" customFormat="1" customHeight="1" spans="10:27">
      <c r="J435" s="3005"/>
      <c r="K435" s="1712"/>
      <c r="L435" s="1712"/>
      <c r="M435" s="1712"/>
      <c r="N435" s="1712"/>
      <c r="O435" s="1712"/>
      <c r="P435" s="1712"/>
      <c r="Q435" s="1712"/>
      <c r="R435" s="1712"/>
      <c r="S435" s="1712"/>
      <c r="T435" s="1712"/>
      <c r="U435" s="1712"/>
      <c r="V435" s="1712"/>
      <c r="W435" s="1712"/>
      <c r="X435" s="1712"/>
      <c r="Y435" s="1712"/>
      <c r="Z435" s="1712"/>
      <c r="AA435" s="1712"/>
    </row>
    <row r="436" s="3003" customFormat="1" customHeight="1" spans="10:27">
      <c r="J436" s="3005"/>
      <c r="K436" s="1712"/>
      <c r="L436" s="1712"/>
      <c r="M436" s="1712"/>
      <c r="N436" s="1712"/>
      <c r="O436" s="1712"/>
      <c r="P436" s="1712"/>
      <c r="Q436" s="1712"/>
      <c r="R436" s="1712"/>
      <c r="S436" s="1712"/>
      <c r="T436" s="1712"/>
      <c r="U436" s="1712"/>
      <c r="V436" s="1712"/>
      <c r="W436" s="1712"/>
      <c r="X436" s="1712"/>
      <c r="Y436" s="1712"/>
      <c r="Z436" s="1712"/>
      <c r="AA436" s="1712"/>
    </row>
    <row r="437" s="3003" customFormat="1" customHeight="1" spans="10:27">
      <c r="J437" s="3005"/>
      <c r="K437" s="1712"/>
      <c r="L437" s="1712"/>
      <c r="M437" s="1712"/>
      <c r="N437" s="1712"/>
      <c r="O437" s="1712"/>
      <c r="P437" s="1712"/>
      <c r="Q437" s="1712"/>
      <c r="R437" s="1712"/>
      <c r="S437" s="1712"/>
      <c r="T437" s="1712"/>
      <c r="U437" s="1712"/>
      <c r="V437" s="1712"/>
      <c r="W437" s="1712"/>
      <c r="X437" s="1712"/>
      <c r="Y437" s="1712"/>
      <c r="Z437" s="1712"/>
      <c r="AA437" s="1712"/>
    </row>
    <row r="438" s="3003" customFormat="1" customHeight="1" spans="10:27">
      <c r="J438" s="3005"/>
      <c r="K438" s="1712"/>
      <c r="L438" s="1712"/>
      <c r="M438" s="1712"/>
      <c r="N438" s="1712"/>
      <c r="O438" s="1712"/>
      <c r="P438" s="1712"/>
      <c r="Q438" s="1712"/>
      <c r="R438" s="1712"/>
      <c r="S438" s="1712"/>
      <c r="T438" s="1712"/>
      <c r="U438" s="1712"/>
      <c r="V438" s="1712"/>
      <c r="W438" s="1712"/>
      <c r="X438" s="1712"/>
      <c r="Y438" s="1712"/>
      <c r="Z438" s="1712"/>
      <c r="AA438" s="1712"/>
    </row>
    <row r="439" s="3003" customFormat="1" customHeight="1" spans="10:27">
      <c r="J439" s="3005"/>
      <c r="K439" s="1712"/>
      <c r="L439" s="1712"/>
      <c r="M439" s="1712"/>
      <c r="N439" s="1712"/>
      <c r="O439" s="1712"/>
      <c r="P439" s="1712"/>
      <c r="Q439" s="1712"/>
      <c r="R439" s="1712"/>
      <c r="S439" s="1712"/>
      <c r="T439" s="1712"/>
      <c r="U439" s="1712"/>
      <c r="V439" s="1712"/>
      <c r="W439" s="1712"/>
      <c r="X439" s="1712"/>
      <c r="Y439" s="1712"/>
      <c r="Z439" s="1712"/>
      <c r="AA439" s="1712"/>
    </row>
    <row r="440" s="3003" customFormat="1" customHeight="1" spans="10:27">
      <c r="J440" s="3005"/>
      <c r="K440" s="1712"/>
      <c r="L440" s="1712"/>
      <c r="M440" s="1712"/>
      <c r="N440" s="1712"/>
      <c r="O440" s="1712"/>
      <c r="P440" s="1712"/>
      <c r="Q440" s="1712"/>
      <c r="R440" s="1712"/>
      <c r="S440" s="1712"/>
      <c r="T440" s="1712"/>
      <c r="U440" s="1712"/>
      <c r="V440" s="1712"/>
      <c r="W440" s="1712"/>
      <c r="X440" s="1712"/>
      <c r="Y440" s="1712"/>
      <c r="Z440" s="1712"/>
      <c r="AA440" s="1712"/>
    </row>
    <row r="441" s="3003" customFormat="1" customHeight="1" spans="10:27">
      <c r="J441" s="3005"/>
      <c r="K441" s="1712"/>
      <c r="L441" s="1712"/>
      <c r="M441" s="1712"/>
      <c r="N441" s="1712"/>
      <c r="O441" s="1712"/>
      <c r="P441" s="1712"/>
      <c r="Q441" s="1712"/>
      <c r="R441" s="1712"/>
      <c r="S441" s="1712"/>
      <c r="T441" s="1712"/>
      <c r="U441" s="1712"/>
      <c r="V441" s="1712"/>
      <c r="W441" s="1712"/>
      <c r="X441" s="1712"/>
      <c r="Y441" s="1712"/>
      <c r="Z441" s="1712"/>
      <c r="AA441" s="1712"/>
    </row>
    <row r="442" s="3003" customFormat="1" customHeight="1" spans="10:27">
      <c r="J442" s="3005"/>
      <c r="K442" s="1712"/>
      <c r="L442" s="1712"/>
      <c r="M442" s="1712"/>
      <c r="N442" s="1712"/>
      <c r="O442" s="1712"/>
      <c r="P442" s="1712"/>
      <c r="Q442" s="1712"/>
      <c r="R442" s="1712"/>
      <c r="S442" s="1712"/>
      <c r="T442" s="1712"/>
      <c r="U442" s="1712"/>
      <c r="V442" s="1712"/>
      <c r="W442" s="1712"/>
      <c r="X442" s="1712"/>
      <c r="Y442" s="1712"/>
      <c r="Z442" s="1712"/>
      <c r="AA442" s="1712"/>
    </row>
    <row r="443" s="3003" customFormat="1" customHeight="1" spans="10:27">
      <c r="J443" s="3005"/>
      <c r="K443" s="1712"/>
      <c r="L443" s="1712"/>
      <c r="M443" s="1712"/>
      <c r="N443" s="1712"/>
      <c r="O443" s="1712"/>
      <c r="P443" s="1712"/>
      <c r="Q443" s="1712"/>
      <c r="R443" s="1712"/>
      <c r="S443" s="1712"/>
      <c r="T443" s="1712"/>
      <c r="U443" s="1712"/>
      <c r="V443" s="1712"/>
      <c r="W443" s="1712"/>
      <c r="X443" s="1712"/>
      <c r="Y443" s="1712"/>
      <c r="Z443" s="1712"/>
      <c r="AA443" s="1712"/>
    </row>
    <row r="444" s="3003" customFormat="1" customHeight="1" spans="10:27">
      <c r="J444" s="3005"/>
      <c r="K444" s="1712"/>
      <c r="L444" s="1712"/>
      <c r="M444" s="1712"/>
      <c r="N444" s="1712"/>
      <c r="O444" s="1712"/>
      <c r="P444" s="1712"/>
      <c r="Q444" s="1712"/>
      <c r="R444" s="1712"/>
      <c r="S444" s="1712"/>
      <c r="T444" s="1712"/>
      <c r="U444" s="1712"/>
      <c r="V444" s="1712"/>
      <c r="W444" s="1712"/>
      <c r="X444" s="1712"/>
      <c r="Y444" s="1712"/>
      <c r="Z444" s="1712"/>
      <c r="AA444" s="1712"/>
    </row>
    <row r="445" s="3003" customFormat="1" customHeight="1" spans="10:27">
      <c r="J445" s="3005"/>
      <c r="K445" s="1712"/>
      <c r="L445" s="1712"/>
      <c r="M445" s="1712"/>
      <c r="N445" s="1712"/>
      <c r="O445" s="1712"/>
      <c r="P445" s="1712"/>
      <c r="Q445" s="1712"/>
      <c r="R445" s="1712"/>
      <c r="S445" s="1712"/>
      <c r="T445" s="1712"/>
      <c r="U445" s="1712"/>
      <c r="V445" s="1712"/>
      <c r="W445" s="1712"/>
      <c r="X445" s="1712"/>
      <c r="Y445" s="1712"/>
      <c r="Z445" s="1712"/>
      <c r="AA445" s="1712"/>
    </row>
    <row r="446" s="3003" customFormat="1" customHeight="1" spans="10:27">
      <c r="J446" s="3005"/>
      <c r="K446" s="1712"/>
      <c r="L446" s="1712"/>
      <c r="M446" s="1712"/>
      <c r="N446" s="1712"/>
      <c r="O446" s="1712"/>
      <c r="P446" s="1712"/>
      <c r="Q446" s="1712"/>
      <c r="R446" s="1712"/>
      <c r="S446" s="1712"/>
      <c r="T446" s="1712"/>
      <c r="U446" s="1712"/>
      <c r="V446" s="1712"/>
      <c r="W446" s="1712"/>
      <c r="X446" s="1712"/>
      <c r="Y446" s="1712"/>
      <c r="Z446" s="1712"/>
      <c r="AA446" s="1712"/>
    </row>
    <row r="447" s="3003" customFormat="1" customHeight="1" spans="10:27">
      <c r="J447" s="3005"/>
      <c r="K447" s="1712"/>
      <c r="L447" s="1712"/>
      <c r="M447" s="1712"/>
      <c r="N447" s="1712"/>
      <c r="O447" s="1712"/>
      <c r="P447" s="1712"/>
      <c r="Q447" s="1712"/>
      <c r="R447" s="1712"/>
      <c r="S447" s="1712"/>
      <c r="T447" s="1712"/>
      <c r="U447" s="1712"/>
      <c r="V447" s="1712"/>
      <c r="W447" s="1712"/>
      <c r="X447" s="1712"/>
      <c r="Y447" s="1712"/>
      <c r="Z447" s="1712"/>
      <c r="AA447" s="1712"/>
    </row>
    <row r="448" s="3003" customFormat="1" customHeight="1" spans="10:27">
      <c r="J448" s="3005"/>
      <c r="K448" s="1712"/>
      <c r="L448" s="1712"/>
      <c r="M448" s="1712"/>
      <c r="N448" s="1712"/>
      <c r="O448" s="1712"/>
      <c r="P448" s="1712"/>
      <c r="Q448" s="1712"/>
      <c r="R448" s="1712"/>
      <c r="S448" s="1712"/>
      <c r="T448" s="1712"/>
      <c r="U448" s="1712"/>
      <c r="V448" s="1712"/>
      <c r="W448" s="1712"/>
      <c r="X448" s="1712"/>
      <c r="Y448" s="1712"/>
      <c r="Z448" s="1712"/>
      <c r="AA448" s="1712"/>
    </row>
    <row r="449" s="3003" customFormat="1" customHeight="1" spans="10:27">
      <c r="J449" s="3005"/>
      <c r="K449" s="1712"/>
      <c r="L449" s="1712"/>
      <c r="M449" s="1712"/>
      <c r="N449" s="1712"/>
      <c r="O449" s="1712"/>
      <c r="P449" s="1712"/>
      <c r="Q449" s="1712"/>
      <c r="R449" s="1712"/>
      <c r="S449" s="1712"/>
      <c r="T449" s="1712"/>
      <c r="U449" s="1712"/>
      <c r="V449" s="1712"/>
      <c r="W449" s="1712"/>
      <c r="X449" s="1712"/>
      <c r="Y449" s="1712"/>
      <c r="Z449" s="1712"/>
      <c r="AA449" s="1712"/>
    </row>
    <row r="450" s="3003" customFormat="1" customHeight="1" spans="10:27">
      <c r="J450" s="3005"/>
      <c r="K450" s="1712"/>
      <c r="L450" s="1712"/>
      <c r="M450" s="1712"/>
      <c r="N450" s="1712"/>
      <c r="O450" s="1712"/>
      <c r="P450" s="1712"/>
      <c r="Q450" s="1712"/>
      <c r="R450" s="1712"/>
      <c r="S450" s="1712"/>
      <c r="T450" s="1712"/>
      <c r="U450" s="1712"/>
      <c r="V450" s="1712"/>
      <c r="W450" s="1712"/>
      <c r="X450" s="1712"/>
      <c r="Y450" s="1712"/>
      <c r="Z450" s="1712"/>
      <c r="AA450" s="1712"/>
    </row>
    <row r="451" s="3003" customFormat="1" customHeight="1" spans="10:27">
      <c r="J451" s="3005"/>
      <c r="K451" s="1712"/>
      <c r="L451" s="1712"/>
      <c r="M451" s="1712"/>
      <c r="N451" s="1712"/>
      <c r="O451" s="1712"/>
      <c r="P451" s="1712"/>
      <c r="Q451" s="1712"/>
      <c r="R451" s="1712"/>
      <c r="S451" s="1712"/>
      <c r="T451" s="1712"/>
      <c r="U451" s="1712"/>
      <c r="V451" s="1712"/>
      <c r="W451" s="1712"/>
      <c r="X451" s="1712"/>
      <c r="Y451" s="1712"/>
      <c r="Z451" s="1712"/>
      <c r="AA451" s="1712"/>
    </row>
    <row r="452" s="3003" customFormat="1" customHeight="1" spans="10:27">
      <c r="J452" s="3005"/>
      <c r="K452" s="1712"/>
      <c r="L452" s="1712"/>
      <c r="M452" s="1712"/>
      <c r="N452" s="1712"/>
      <c r="O452" s="1712"/>
      <c r="P452" s="1712"/>
      <c r="Q452" s="1712"/>
      <c r="R452" s="1712"/>
      <c r="S452" s="1712"/>
      <c r="T452" s="1712"/>
      <c r="U452" s="1712"/>
      <c r="V452" s="1712"/>
      <c r="W452" s="1712"/>
      <c r="X452" s="1712"/>
      <c r="Y452" s="1712"/>
      <c r="Z452" s="1712"/>
      <c r="AA452" s="1712"/>
    </row>
    <row r="453" s="3003" customFormat="1" customHeight="1" spans="10:27">
      <c r="J453" s="3005"/>
      <c r="K453" s="1712"/>
      <c r="L453" s="1712"/>
      <c r="M453" s="1712"/>
      <c r="N453" s="1712"/>
      <c r="O453" s="1712"/>
      <c r="P453" s="1712"/>
      <c r="Q453" s="1712"/>
      <c r="R453" s="1712"/>
      <c r="S453" s="1712"/>
      <c r="T453" s="1712"/>
      <c r="U453" s="1712"/>
      <c r="V453" s="1712"/>
      <c r="W453" s="1712"/>
      <c r="X453" s="1712"/>
      <c r="Y453" s="1712"/>
      <c r="Z453" s="1712"/>
      <c r="AA453" s="1712"/>
    </row>
    <row r="454" s="3003" customFormat="1" customHeight="1" spans="10:27">
      <c r="J454" s="3005"/>
      <c r="K454" s="1712"/>
      <c r="L454" s="1712"/>
      <c r="M454" s="1712"/>
      <c r="N454" s="1712"/>
      <c r="O454" s="1712"/>
      <c r="P454" s="1712"/>
      <c r="Q454" s="1712"/>
      <c r="R454" s="1712"/>
      <c r="S454" s="1712"/>
      <c r="T454" s="1712"/>
      <c r="U454" s="1712"/>
      <c r="V454" s="1712"/>
      <c r="W454" s="1712"/>
      <c r="X454" s="1712"/>
      <c r="Y454" s="1712"/>
      <c r="Z454" s="1712"/>
      <c r="AA454" s="1712"/>
    </row>
    <row r="455" s="3003" customFormat="1" customHeight="1" spans="10:27">
      <c r="J455" s="3005"/>
      <c r="K455" s="1712"/>
      <c r="L455" s="1712"/>
      <c r="M455" s="1712"/>
      <c r="N455" s="1712"/>
      <c r="O455" s="1712"/>
      <c r="P455" s="1712"/>
      <c r="Q455" s="1712"/>
      <c r="R455" s="1712"/>
      <c r="S455" s="1712"/>
      <c r="T455" s="1712"/>
      <c r="U455" s="1712"/>
      <c r="V455" s="1712"/>
      <c r="W455" s="1712"/>
      <c r="X455" s="1712"/>
      <c r="Y455" s="1712"/>
      <c r="Z455" s="1712"/>
      <c r="AA455" s="1712"/>
    </row>
    <row r="456" s="3003" customFormat="1" customHeight="1" spans="10:27">
      <c r="J456" s="3005"/>
      <c r="K456" s="1712"/>
      <c r="L456" s="1712"/>
      <c r="M456" s="1712"/>
      <c r="N456" s="1712"/>
      <c r="O456" s="1712"/>
      <c r="P456" s="1712"/>
      <c r="Q456" s="1712"/>
      <c r="R456" s="1712"/>
      <c r="S456" s="1712"/>
      <c r="T456" s="1712"/>
      <c r="U456" s="1712"/>
      <c r="V456" s="1712"/>
      <c r="W456" s="1712"/>
      <c r="X456" s="1712"/>
      <c r="Y456" s="1712"/>
      <c r="Z456" s="1712"/>
      <c r="AA456" s="1712"/>
    </row>
    <row r="457" s="3003" customFormat="1" customHeight="1" spans="10:27">
      <c r="J457" s="3005"/>
      <c r="K457" s="1712"/>
      <c r="L457" s="1712"/>
      <c r="M457" s="1712"/>
      <c r="N457" s="1712"/>
      <c r="O457" s="1712"/>
      <c r="P457" s="1712"/>
      <c r="Q457" s="1712"/>
      <c r="R457" s="1712"/>
      <c r="S457" s="1712"/>
      <c r="T457" s="1712"/>
      <c r="U457" s="1712"/>
      <c r="V457" s="1712"/>
      <c r="W457" s="1712"/>
      <c r="X457" s="1712"/>
      <c r="Y457" s="1712"/>
      <c r="Z457" s="1712"/>
      <c r="AA457" s="1712"/>
    </row>
    <row r="458" s="3003" customFormat="1" customHeight="1" spans="10:27">
      <c r="J458" s="3005"/>
      <c r="K458" s="1712"/>
      <c r="L458" s="1712"/>
      <c r="M458" s="1712"/>
      <c r="N458" s="1712"/>
      <c r="O458" s="1712"/>
      <c r="P458" s="1712"/>
      <c r="Q458" s="1712"/>
      <c r="R458" s="1712"/>
      <c r="S458" s="1712"/>
      <c r="T458" s="1712"/>
      <c r="U458" s="1712"/>
      <c r="V458" s="1712"/>
      <c r="W458" s="1712"/>
      <c r="X458" s="1712"/>
      <c r="Y458" s="1712"/>
      <c r="Z458" s="1712"/>
      <c r="AA458" s="1712"/>
    </row>
    <row r="459" s="3003" customFormat="1" customHeight="1" spans="10:27">
      <c r="J459" s="3005"/>
      <c r="K459" s="1712"/>
      <c r="L459" s="1712"/>
      <c r="M459" s="1712"/>
      <c r="N459" s="1712"/>
      <c r="O459" s="1712"/>
      <c r="P459" s="1712"/>
      <c r="Q459" s="1712"/>
      <c r="R459" s="1712"/>
      <c r="S459" s="1712"/>
      <c r="T459" s="1712"/>
      <c r="U459" s="1712"/>
      <c r="V459" s="1712"/>
      <c r="W459" s="1712"/>
      <c r="X459" s="1712"/>
      <c r="Y459" s="1712"/>
      <c r="Z459" s="1712"/>
      <c r="AA459" s="1712"/>
    </row>
    <row r="460" s="3003" customFormat="1" customHeight="1" spans="10:27">
      <c r="J460" s="3005"/>
      <c r="K460" s="1712"/>
      <c r="L460" s="1712"/>
      <c r="M460" s="1712"/>
      <c r="N460" s="1712"/>
      <c r="O460" s="1712"/>
      <c r="P460" s="1712"/>
      <c r="Q460" s="1712"/>
      <c r="R460" s="1712"/>
      <c r="S460" s="1712"/>
      <c r="T460" s="1712"/>
      <c r="U460" s="1712"/>
      <c r="V460" s="1712"/>
      <c r="W460" s="1712"/>
      <c r="X460" s="1712"/>
      <c r="Y460" s="1712"/>
      <c r="Z460" s="1712"/>
      <c r="AA460" s="1712"/>
    </row>
    <row r="461" s="3003" customFormat="1" customHeight="1" spans="10:27">
      <c r="J461" s="3005"/>
      <c r="K461" s="1712"/>
      <c r="L461" s="1712"/>
      <c r="M461" s="1712"/>
      <c r="N461" s="1712"/>
      <c r="O461" s="1712"/>
      <c r="P461" s="1712"/>
      <c r="Q461" s="1712"/>
      <c r="R461" s="1712"/>
      <c r="S461" s="1712"/>
      <c r="T461" s="1712"/>
      <c r="U461" s="1712"/>
      <c r="V461" s="1712"/>
      <c r="W461" s="1712"/>
      <c r="X461" s="1712"/>
      <c r="Y461" s="1712"/>
      <c r="Z461" s="1712"/>
      <c r="AA461" s="1712"/>
    </row>
    <row r="462" s="3003" customFormat="1" customHeight="1" spans="10:27">
      <c r="J462" s="3005"/>
      <c r="K462" s="1712"/>
      <c r="L462" s="1712"/>
      <c r="M462" s="1712"/>
      <c r="N462" s="1712"/>
      <c r="O462" s="1712"/>
      <c r="P462" s="1712"/>
      <c r="Q462" s="1712"/>
      <c r="R462" s="1712"/>
      <c r="S462" s="1712"/>
      <c r="T462" s="1712"/>
      <c r="U462" s="1712"/>
      <c r="V462" s="1712"/>
      <c r="W462" s="1712"/>
      <c r="X462" s="1712"/>
      <c r="Y462" s="1712"/>
      <c r="Z462" s="1712"/>
      <c r="AA462" s="1712"/>
    </row>
    <row r="463" s="3003" customFormat="1" customHeight="1" spans="10:27">
      <c r="J463" s="3005"/>
      <c r="K463" s="1712"/>
      <c r="L463" s="1712"/>
      <c r="M463" s="1712"/>
      <c r="N463" s="1712"/>
      <c r="O463" s="1712"/>
      <c r="P463" s="1712"/>
      <c r="Q463" s="1712"/>
      <c r="R463" s="1712"/>
      <c r="S463" s="1712"/>
      <c r="T463" s="1712"/>
      <c r="U463" s="1712"/>
      <c r="V463" s="1712"/>
      <c r="W463" s="1712"/>
      <c r="X463" s="1712"/>
      <c r="Y463" s="1712"/>
      <c r="Z463" s="1712"/>
      <c r="AA463" s="1712"/>
    </row>
    <row r="464" s="3003" customFormat="1" customHeight="1" spans="10:27">
      <c r="J464" s="3005"/>
      <c r="K464" s="1712"/>
      <c r="L464" s="1712"/>
      <c r="M464" s="1712"/>
      <c r="N464" s="1712"/>
      <c r="O464" s="1712"/>
      <c r="P464" s="1712"/>
      <c r="Q464" s="1712"/>
      <c r="R464" s="1712"/>
      <c r="S464" s="1712"/>
      <c r="T464" s="1712"/>
      <c r="U464" s="1712"/>
      <c r="V464" s="1712"/>
      <c r="W464" s="1712"/>
      <c r="X464" s="1712"/>
      <c r="Y464" s="1712"/>
      <c r="Z464" s="1712"/>
      <c r="AA464" s="1712"/>
    </row>
    <row r="465" s="3003" customFormat="1" customHeight="1" spans="10:27">
      <c r="J465" s="3005"/>
      <c r="K465" s="1712"/>
      <c r="L465" s="1712"/>
      <c r="M465" s="1712"/>
      <c r="N465" s="1712"/>
      <c r="O465" s="1712"/>
      <c r="P465" s="1712"/>
      <c r="Q465" s="1712"/>
      <c r="R465" s="1712"/>
      <c r="S465" s="1712"/>
      <c r="T465" s="1712"/>
      <c r="U465" s="1712"/>
      <c r="V465" s="1712"/>
      <c r="W465" s="1712"/>
      <c r="X465" s="1712"/>
      <c r="Y465" s="1712"/>
      <c r="Z465" s="1712"/>
      <c r="AA465" s="1712"/>
    </row>
    <row r="466" s="3003" customFormat="1" customHeight="1" spans="10:27">
      <c r="J466" s="3005"/>
      <c r="K466" s="1712"/>
      <c r="L466" s="1712"/>
      <c r="M466" s="1712"/>
      <c r="N466" s="1712"/>
      <c r="O466" s="1712"/>
      <c r="P466" s="1712"/>
      <c r="Q466" s="1712"/>
      <c r="R466" s="1712"/>
      <c r="S466" s="1712"/>
      <c r="T466" s="1712"/>
      <c r="U466" s="1712"/>
      <c r="V466" s="1712"/>
      <c r="W466" s="1712"/>
      <c r="X466" s="1712"/>
      <c r="Y466" s="1712"/>
      <c r="Z466" s="1712"/>
      <c r="AA466" s="1712"/>
    </row>
    <row r="467" s="3003" customFormat="1" customHeight="1" spans="10:27">
      <c r="J467" s="3005"/>
      <c r="K467" s="1712"/>
      <c r="L467" s="1712"/>
      <c r="M467" s="1712"/>
      <c r="N467" s="1712"/>
      <c r="O467" s="1712"/>
      <c r="P467" s="1712"/>
      <c r="Q467" s="1712"/>
      <c r="R467" s="1712"/>
      <c r="S467" s="1712"/>
      <c r="T467" s="1712"/>
      <c r="U467" s="1712"/>
      <c r="V467" s="1712"/>
      <c r="W467" s="1712"/>
      <c r="X467" s="1712"/>
      <c r="Y467" s="1712"/>
      <c r="Z467" s="1712"/>
      <c r="AA467" s="1712"/>
    </row>
    <row r="468" s="3003" customFormat="1" customHeight="1" spans="10:27">
      <c r="J468" s="3005"/>
      <c r="K468" s="1712"/>
      <c r="L468" s="1712"/>
      <c r="M468" s="1712"/>
      <c r="N468" s="1712"/>
      <c r="O468" s="1712"/>
      <c r="P468" s="1712"/>
      <c r="Q468" s="1712"/>
      <c r="R468" s="1712"/>
      <c r="S468" s="1712"/>
      <c r="T468" s="1712"/>
      <c r="U468" s="1712"/>
      <c r="V468" s="1712"/>
      <c r="W468" s="1712"/>
      <c r="X468" s="1712"/>
      <c r="Y468" s="1712"/>
      <c r="Z468" s="1712"/>
      <c r="AA468" s="1712"/>
    </row>
    <row r="469" s="3003" customFormat="1" customHeight="1" spans="10:27">
      <c r="J469" s="3005"/>
      <c r="K469" s="1712"/>
      <c r="L469" s="1712"/>
      <c r="M469" s="1712"/>
      <c r="N469" s="1712"/>
      <c r="O469" s="1712"/>
      <c r="P469" s="1712"/>
      <c r="Q469" s="1712"/>
      <c r="R469" s="1712"/>
      <c r="S469" s="1712"/>
      <c r="T469" s="1712"/>
      <c r="U469" s="1712"/>
      <c r="V469" s="1712"/>
      <c r="W469" s="1712"/>
      <c r="X469" s="1712"/>
      <c r="Y469" s="1712"/>
      <c r="Z469" s="1712"/>
      <c r="AA469" s="1712"/>
    </row>
    <row r="470" s="3003" customFormat="1" customHeight="1" spans="10:27">
      <c r="J470" s="3005"/>
      <c r="K470" s="1712"/>
      <c r="L470" s="1712"/>
      <c r="M470" s="1712"/>
      <c r="N470" s="1712"/>
      <c r="O470" s="1712"/>
      <c r="P470" s="1712"/>
      <c r="Q470" s="1712"/>
      <c r="R470" s="1712"/>
      <c r="S470" s="1712"/>
      <c r="T470" s="1712"/>
      <c r="U470" s="1712"/>
      <c r="V470" s="1712"/>
      <c r="W470" s="1712"/>
      <c r="X470" s="1712"/>
      <c r="Y470" s="1712"/>
      <c r="Z470" s="1712"/>
      <c r="AA470" s="1712"/>
    </row>
    <row r="471" s="3003" customFormat="1" customHeight="1" spans="10:27">
      <c r="J471" s="3005"/>
      <c r="K471" s="1712"/>
      <c r="L471" s="1712"/>
      <c r="M471" s="1712"/>
      <c r="N471" s="1712"/>
      <c r="O471" s="1712"/>
      <c r="P471" s="1712"/>
      <c r="Q471" s="1712"/>
      <c r="R471" s="1712"/>
      <c r="S471" s="1712"/>
      <c r="T471" s="1712"/>
      <c r="U471" s="1712"/>
      <c r="V471" s="1712"/>
      <c r="W471" s="1712"/>
      <c r="X471" s="1712"/>
      <c r="Y471" s="1712"/>
      <c r="Z471" s="1712"/>
      <c r="AA471" s="1712"/>
    </row>
    <row r="472" s="3003" customFormat="1" customHeight="1" spans="10:27">
      <c r="J472" s="3005"/>
      <c r="K472" s="1712"/>
      <c r="L472" s="1712"/>
      <c r="M472" s="1712"/>
      <c r="N472" s="1712"/>
      <c r="O472" s="1712"/>
      <c r="P472" s="1712"/>
      <c r="Q472" s="1712"/>
      <c r="R472" s="1712"/>
      <c r="S472" s="1712"/>
      <c r="T472" s="1712"/>
      <c r="U472" s="1712"/>
      <c r="V472" s="1712"/>
      <c r="W472" s="1712"/>
      <c r="X472" s="1712"/>
      <c r="Y472" s="1712"/>
      <c r="Z472" s="1712"/>
      <c r="AA472" s="1712"/>
    </row>
    <row r="473" s="3003" customFormat="1" customHeight="1" spans="10:27">
      <c r="J473" s="3005"/>
      <c r="K473" s="1712"/>
      <c r="L473" s="1712"/>
      <c r="M473" s="1712"/>
      <c r="N473" s="1712"/>
      <c r="O473" s="1712"/>
      <c r="P473" s="1712"/>
      <c r="Q473" s="1712"/>
      <c r="R473" s="1712"/>
      <c r="S473" s="1712"/>
      <c r="T473" s="1712"/>
      <c r="U473" s="1712"/>
      <c r="V473" s="1712"/>
      <c r="W473" s="1712"/>
      <c r="X473" s="1712"/>
      <c r="Y473" s="1712"/>
      <c r="Z473" s="1712"/>
      <c r="AA473" s="1712"/>
    </row>
    <row r="474" s="3003" customFormat="1" customHeight="1" spans="10:27">
      <c r="J474" s="3005"/>
      <c r="K474" s="1712"/>
      <c r="L474" s="1712"/>
      <c r="M474" s="1712"/>
      <c r="N474" s="1712"/>
      <c r="O474" s="1712"/>
      <c r="P474" s="1712"/>
      <c r="Q474" s="1712"/>
      <c r="R474" s="1712"/>
      <c r="S474" s="1712"/>
      <c r="T474" s="1712"/>
      <c r="U474" s="1712"/>
      <c r="V474" s="1712"/>
      <c r="W474" s="1712"/>
      <c r="X474" s="1712"/>
      <c r="Y474" s="1712"/>
      <c r="Z474" s="1712"/>
      <c r="AA474" s="1712"/>
    </row>
    <row r="475" s="3003" customFormat="1" customHeight="1" spans="10:27">
      <c r="J475" s="3005"/>
      <c r="K475" s="1712"/>
      <c r="L475" s="1712"/>
      <c r="M475" s="1712"/>
      <c r="N475" s="1712"/>
      <c r="O475" s="1712"/>
      <c r="P475" s="1712"/>
      <c r="Q475" s="1712"/>
      <c r="R475" s="1712"/>
      <c r="S475" s="1712"/>
      <c r="T475" s="1712"/>
      <c r="U475" s="1712"/>
      <c r="V475" s="1712"/>
      <c r="W475" s="1712"/>
      <c r="X475" s="1712"/>
      <c r="Y475" s="1712"/>
      <c r="Z475" s="1712"/>
      <c r="AA475" s="1712"/>
    </row>
    <row r="476" s="3003" customFormat="1" customHeight="1" spans="10:27">
      <c r="J476" s="3005"/>
      <c r="K476" s="1712"/>
      <c r="L476" s="1712"/>
      <c r="M476" s="1712"/>
      <c r="N476" s="1712"/>
      <c r="O476" s="1712"/>
      <c r="P476" s="1712"/>
      <c r="Q476" s="1712"/>
      <c r="R476" s="1712"/>
      <c r="S476" s="1712"/>
      <c r="T476" s="1712"/>
      <c r="U476" s="1712"/>
      <c r="V476" s="1712"/>
      <c r="W476" s="1712"/>
      <c r="X476" s="1712"/>
      <c r="Y476" s="1712"/>
      <c r="Z476" s="1712"/>
      <c r="AA476" s="1712"/>
    </row>
    <row r="477" s="3003" customFormat="1" customHeight="1" spans="10:27">
      <c r="J477" s="3005"/>
      <c r="K477" s="1712"/>
      <c r="L477" s="1712"/>
      <c r="M477" s="1712"/>
      <c r="N477" s="1712"/>
      <c r="O477" s="1712"/>
      <c r="P477" s="1712"/>
      <c r="Q477" s="1712"/>
      <c r="R477" s="1712"/>
      <c r="S477" s="1712"/>
      <c r="T477" s="1712"/>
      <c r="U477" s="1712"/>
      <c r="V477" s="1712"/>
      <c r="W477" s="1712"/>
      <c r="X477" s="1712"/>
      <c r="Y477" s="1712"/>
      <c r="Z477" s="1712"/>
      <c r="AA477" s="1712"/>
    </row>
    <row r="478" s="3003" customFormat="1" customHeight="1" spans="10:27">
      <c r="J478" s="3005"/>
      <c r="K478" s="1712"/>
      <c r="L478" s="1712"/>
      <c r="M478" s="1712"/>
      <c r="N478" s="1712"/>
      <c r="O478" s="1712"/>
      <c r="P478" s="1712"/>
      <c r="Q478" s="1712"/>
      <c r="R478" s="1712"/>
      <c r="S478" s="1712"/>
      <c r="T478" s="1712"/>
      <c r="U478" s="1712"/>
      <c r="V478" s="1712"/>
      <c r="W478" s="1712"/>
      <c r="X478" s="1712"/>
      <c r="Y478" s="1712"/>
      <c r="Z478" s="1712"/>
      <c r="AA478" s="1712"/>
    </row>
    <row r="479" s="3003" customFormat="1" customHeight="1" spans="10:27">
      <c r="J479" s="3005"/>
      <c r="K479" s="1712"/>
      <c r="L479" s="1712"/>
      <c r="M479" s="1712"/>
      <c r="N479" s="1712"/>
      <c r="O479" s="1712"/>
      <c r="P479" s="1712"/>
      <c r="Q479" s="1712"/>
      <c r="R479" s="1712"/>
      <c r="S479" s="1712"/>
      <c r="T479" s="1712"/>
      <c r="U479" s="1712"/>
      <c r="V479" s="1712"/>
      <c r="W479" s="1712"/>
      <c r="X479" s="1712"/>
      <c r="Y479" s="1712"/>
      <c r="Z479" s="1712"/>
      <c r="AA479" s="1712"/>
    </row>
    <row r="480" s="3003" customFormat="1" customHeight="1" spans="10:27">
      <c r="J480" s="3005"/>
      <c r="K480" s="1712"/>
      <c r="L480" s="1712"/>
      <c r="M480" s="1712"/>
      <c r="N480" s="1712"/>
      <c r="O480" s="1712"/>
      <c r="P480" s="1712"/>
      <c r="Q480" s="1712"/>
      <c r="R480" s="1712"/>
      <c r="S480" s="1712"/>
      <c r="T480" s="1712"/>
      <c r="U480" s="1712"/>
      <c r="V480" s="1712"/>
      <c r="W480" s="1712"/>
      <c r="X480" s="1712"/>
      <c r="Y480" s="1712"/>
      <c r="Z480" s="1712"/>
      <c r="AA480" s="1712"/>
    </row>
    <row r="481" s="3003" customFormat="1" customHeight="1" spans="10:27">
      <c r="J481" s="3005"/>
      <c r="K481" s="1712"/>
      <c r="L481" s="1712"/>
      <c r="M481" s="1712"/>
      <c r="N481" s="1712"/>
      <c r="O481" s="1712"/>
      <c r="P481" s="1712"/>
      <c r="Q481" s="1712"/>
      <c r="R481" s="1712"/>
      <c r="S481" s="1712"/>
      <c r="T481" s="1712"/>
      <c r="U481" s="1712"/>
      <c r="V481" s="1712"/>
      <c r="W481" s="1712"/>
      <c r="X481" s="1712"/>
      <c r="Y481" s="1712"/>
      <c r="Z481" s="1712"/>
      <c r="AA481" s="1712"/>
    </row>
    <row r="482" s="3003" customFormat="1" customHeight="1" spans="10:27">
      <c r="J482" s="3005"/>
      <c r="K482" s="1712"/>
      <c r="L482" s="1712"/>
      <c r="M482" s="1712"/>
      <c r="N482" s="1712"/>
      <c r="O482" s="1712"/>
      <c r="P482" s="1712"/>
      <c r="Q482" s="1712"/>
      <c r="R482" s="1712"/>
      <c r="S482" s="1712"/>
      <c r="T482" s="1712"/>
      <c r="U482" s="1712"/>
      <c r="V482" s="1712"/>
      <c r="W482" s="1712"/>
      <c r="X482" s="1712"/>
      <c r="Y482" s="1712"/>
      <c r="Z482" s="1712"/>
      <c r="AA482" s="1712"/>
    </row>
    <row r="483" s="3003" customFormat="1" customHeight="1" spans="10:27">
      <c r="J483" s="3005"/>
      <c r="K483" s="1712"/>
      <c r="L483" s="1712"/>
      <c r="M483" s="1712"/>
      <c r="N483" s="1712"/>
      <c r="O483" s="1712"/>
      <c r="P483" s="1712"/>
      <c r="Q483" s="1712"/>
      <c r="R483" s="1712"/>
      <c r="S483" s="1712"/>
      <c r="T483" s="1712"/>
      <c r="U483" s="1712"/>
      <c r="V483" s="1712"/>
      <c r="W483" s="1712"/>
      <c r="X483" s="1712"/>
      <c r="Y483" s="1712"/>
      <c r="Z483" s="1712"/>
      <c r="AA483" s="1712"/>
    </row>
    <row r="484" s="3003" customFormat="1" customHeight="1" spans="10:27">
      <c r="J484" s="3005"/>
      <c r="K484" s="1712"/>
      <c r="L484" s="1712"/>
      <c r="M484" s="1712"/>
      <c r="N484" s="1712"/>
      <c r="O484" s="1712"/>
      <c r="P484" s="1712"/>
      <c r="Q484" s="1712"/>
      <c r="R484" s="1712"/>
      <c r="S484" s="1712"/>
      <c r="T484" s="1712"/>
      <c r="U484" s="1712"/>
      <c r="V484" s="1712"/>
      <c r="W484" s="1712"/>
      <c r="X484" s="1712"/>
      <c r="Y484" s="1712"/>
      <c r="Z484" s="1712"/>
      <c r="AA484" s="1712"/>
    </row>
    <row r="485" s="3003" customFormat="1" customHeight="1" spans="10:27">
      <c r="J485" s="3005"/>
      <c r="K485" s="1712"/>
      <c r="L485" s="1712"/>
      <c r="M485" s="1712"/>
      <c r="N485" s="1712"/>
      <c r="O485" s="1712"/>
      <c r="P485" s="1712"/>
      <c r="Q485" s="1712"/>
      <c r="R485" s="1712"/>
      <c r="S485" s="1712"/>
      <c r="T485" s="1712"/>
      <c r="U485" s="1712"/>
      <c r="V485" s="1712"/>
      <c r="W485" s="1712"/>
      <c r="X485" s="1712"/>
      <c r="Y485" s="1712"/>
      <c r="Z485" s="1712"/>
      <c r="AA485" s="1712"/>
    </row>
    <row r="486" s="3003" customFormat="1" customHeight="1" spans="10:27">
      <c r="J486" s="3005"/>
      <c r="K486" s="1712"/>
      <c r="L486" s="1712"/>
      <c r="M486" s="1712"/>
      <c r="N486" s="1712"/>
      <c r="O486" s="1712"/>
      <c r="P486" s="1712"/>
      <c r="Q486" s="1712"/>
      <c r="R486" s="1712"/>
      <c r="S486" s="1712"/>
      <c r="T486" s="1712"/>
      <c r="U486" s="1712"/>
      <c r="V486" s="1712"/>
      <c r="W486" s="1712"/>
      <c r="X486" s="1712"/>
      <c r="Y486" s="1712"/>
      <c r="Z486" s="1712"/>
      <c r="AA486" s="1712"/>
    </row>
    <row r="487" s="3003" customFormat="1" customHeight="1" spans="10:27">
      <c r="J487" s="3005"/>
      <c r="K487" s="1712"/>
      <c r="L487" s="1712"/>
      <c r="M487" s="1712"/>
      <c r="N487" s="1712"/>
      <c r="O487" s="1712"/>
      <c r="P487" s="1712"/>
      <c r="Q487" s="1712"/>
      <c r="R487" s="1712"/>
      <c r="S487" s="1712"/>
      <c r="T487" s="1712"/>
      <c r="U487" s="1712"/>
      <c r="V487" s="1712"/>
      <c r="W487" s="1712"/>
      <c r="X487" s="1712"/>
      <c r="Y487" s="1712"/>
      <c r="Z487" s="1712"/>
      <c r="AA487" s="1712"/>
    </row>
    <row r="488" s="3003" customFormat="1" customHeight="1" spans="10:27">
      <c r="J488" s="3005"/>
      <c r="K488" s="1712"/>
      <c r="L488" s="1712"/>
      <c r="M488" s="1712"/>
      <c r="N488" s="1712"/>
      <c r="O488" s="1712"/>
      <c r="P488" s="1712"/>
      <c r="Q488" s="1712"/>
      <c r="R488" s="1712"/>
      <c r="S488" s="1712"/>
      <c r="T488" s="1712"/>
      <c r="U488" s="1712"/>
      <c r="V488" s="1712"/>
      <c r="W488" s="1712"/>
      <c r="X488" s="1712"/>
      <c r="Y488" s="1712"/>
      <c r="Z488" s="1712"/>
      <c r="AA488" s="1712"/>
    </row>
    <row r="489" s="3003" customFormat="1" customHeight="1" spans="10:27">
      <c r="J489" s="3005"/>
      <c r="K489" s="1712"/>
      <c r="L489" s="1712"/>
      <c r="M489" s="1712"/>
      <c r="N489" s="1712"/>
      <c r="O489" s="1712"/>
      <c r="P489" s="1712"/>
      <c r="Q489" s="1712"/>
      <c r="R489" s="1712"/>
      <c r="S489" s="1712"/>
      <c r="T489" s="1712"/>
      <c r="U489" s="1712"/>
      <c r="V489" s="1712"/>
      <c r="W489" s="1712"/>
      <c r="X489" s="1712"/>
      <c r="Y489" s="1712"/>
      <c r="Z489" s="1712"/>
      <c r="AA489" s="1712"/>
    </row>
    <row r="490" s="3003" customFormat="1" customHeight="1" spans="10:27">
      <c r="J490" s="3005"/>
      <c r="K490" s="1712"/>
      <c r="L490" s="1712"/>
      <c r="M490" s="1712"/>
      <c r="N490" s="1712"/>
      <c r="O490" s="1712"/>
      <c r="P490" s="1712"/>
      <c r="Q490" s="1712"/>
      <c r="R490" s="1712"/>
      <c r="S490" s="1712"/>
      <c r="T490" s="1712"/>
      <c r="U490" s="1712"/>
      <c r="V490" s="1712"/>
      <c r="W490" s="1712"/>
      <c r="X490" s="1712"/>
      <c r="Y490" s="1712"/>
      <c r="Z490" s="1712"/>
      <c r="AA490" s="1712"/>
    </row>
    <row r="491" s="3003" customFormat="1" customHeight="1" spans="10:27">
      <c r="J491" s="3005"/>
      <c r="K491" s="1712"/>
      <c r="L491" s="1712"/>
      <c r="M491" s="1712"/>
      <c r="N491" s="1712"/>
      <c r="O491" s="1712"/>
      <c r="P491" s="1712"/>
      <c r="Q491" s="1712"/>
      <c r="R491" s="1712"/>
      <c r="S491" s="1712"/>
      <c r="T491" s="1712"/>
      <c r="U491" s="1712"/>
      <c r="V491" s="1712"/>
      <c r="W491" s="1712"/>
      <c r="X491" s="1712"/>
      <c r="Y491" s="1712"/>
      <c r="Z491" s="1712"/>
      <c r="AA491" s="1712"/>
    </row>
    <row r="492" s="3003" customFormat="1" customHeight="1" spans="10:27">
      <c r="J492" s="3005"/>
      <c r="K492" s="1712"/>
      <c r="L492" s="1712"/>
      <c r="M492" s="1712"/>
      <c r="N492" s="1712"/>
      <c r="O492" s="1712"/>
      <c r="P492" s="1712"/>
      <c r="Q492" s="1712"/>
      <c r="R492" s="1712"/>
      <c r="S492" s="1712"/>
      <c r="T492" s="1712"/>
      <c r="U492" s="1712"/>
      <c r="V492" s="1712"/>
      <c r="W492" s="1712"/>
      <c r="X492" s="1712"/>
      <c r="Y492" s="1712"/>
      <c r="Z492" s="1712"/>
      <c r="AA492" s="1712"/>
    </row>
    <row r="493" s="3003" customFormat="1" customHeight="1" spans="10:27">
      <c r="J493" s="3005"/>
      <c r="K493" s="1712"/>
      <c r="L493" s="1712"/>
      <c r="M493" s="1712"/>
      <c r="N493" s="1712"/>
      <c r="O493" s="1712"/>
      <c r="P493" s="1712"/>
      <c r="Q493" s="1712"/>
      <c r="R493" s="1712"/>
      <c r="S493" s="1712"/>
      <c r="T493" s="1712"/>
      <c r="U493" s="1712"/>
      <c r="V493" s="1712"/>
      <c r="W493" s="1712"/>
      <c r="X493" s="1712"/>
      <c r="Y493" s="1712"/>
      <c r="Z493" s="1712"/>
      <c r="AA493" s="1712"/>
    </row>
    <row r="494" s="3003" customFormat="1" customHeight="1" spans="10:27">
      <c r="J494" s="3005"/>
      <c r="K494" s="1712"/>
      <c r="L494" s="1712"/>
      <c r="M494" s="1712"/>
      <c r="N494" s="1712"/>
      <c r="O494" s="1712"/>
      <c r="P494" s="1712"/>
      <c r="Q494" s="1712"/>
      <c r="R494" s="1712"/>
      <c r="S494" s="1712"/>
      <c r="T494" s="1712"/>
      <c r="U494" s="1712"/>
      <c r="V494" s="1712"/>
      <c r="W494" s="1712"/>
      <c r="X494" s="1712"/>
      <c r="Y494" s="1712"/>
      <c r="Z494" s="1712"/>
      <c r="AA494" s="1712"/>
    </row>
    <row r="495" s="3003" customFormat="1" customHeight="1" spans="10:27">
      <c r="J495" s="3005"/>
      <c r="K495" s="1712"/>
      <c r="L495" s="1712"/>
      <c r="M495" s="1712"/>
      <c r="N495" s="1712"/>
      <c r="O495" s="1712"/>
      <c r="P495" s="1712"/>
      <c r="Q495" s="1712"/>
      <c r="R495" s="1712"/>
      <c r="S495" s="1712"/>
      <c r="T495" s="1712"/>
      <c r="U495" s="1712"/>
      <c r="V495" s="1712"/>
      <c r="W495" s="1712"/>
      <c r="X495" s="1712"/>
      <c r="Y495" s="1712"/>
      <c r="Z495" s="1712"/>
      <c r="AA495" s="1712"/>
    </row>
    <row r="496" s="3003" customFormat="1" customHeight="1" spans="10:27">
      <c r="J496" s="3005"/>
      <c r="K496" s="1712"/>
      <c r="L496" s="1712"/>
      <c r="M496" s="1712"/>
      <c r="N496" s="1712"/>
      <c r="O496" s="1712"/>
      <c r="P496" s="1712"/>
      <c r="Q496" s="1712"/>
      <c r="R496" s="1712"/>
      <c r="S496" s="1712"/>
      <c r="T496" s="1712"/>
      <c r="U496" s="1712"/>
      <c r="V496" s="1712"/>
      <c r="W496" s="1712"/>
      <c r="X496" s="1712"/>
      <c r="Y496" s="1712"/>
      <c r="Z496" s="1712"/>
      <c r="AA496" s="1712"/>
    </row>
    <row r="497" s="3003" customFormat="1" customHeight="1" spans="10:27">
      <c r="J497" s="3005"/>
      <c r="K497" s="1712"/>
      <c r="L497" s="1712"/>
      <c r="M497" s="1712"/>
      <c r="N497" s="1712"/>
      <c r="O497" s="1712"/>
      <c r="P497" s="1712"/>
      <c r="Q497" s="1712"/>
      <c r="R497" s="1712"/>
      <c r="S497" s="1712"/>
      <c r="T497" s="1712"/>
      <c r="U497" s="1712"/>
      <c r="V497" s="1712"/>
      <c r="W497" s="1712"/>
      <c r="X497" s="1712"/>
      <c r="Y497" s="1712"/>
      <c r="Z497" s="1712"/>
      <c r="AA497" s="1712"/>
    </row>
    <row r="498" s="3003" customFormat="1" customHeight="1" spans="10:27">
      <c r="J498" s="3005"/>
      <c r="K498" s="1712"/>
      <c r="L498" s="1712"/>
      <c r="M498" s="1712"/>
      <c r="N498" s="1712"/>
      <c r="O498" s="1712"/>
      <c r="P498" s="1712"/>
      <c r="Q498" s="1712"/>
      <c r="R498" s="1712"/>
      <c r="S498" s="1712"/>
      <c r="T498" s="1712"/>
      <c r="U498" s="1712"/>
      <c r="V498" s="1712"/>
      <c r="W498" s="1712"/>
      <c r="X498" s="1712"/>
      <c r="Y498" s="1712"/>
      <c r="Z498" s="1712"/>
      <c r="AA498" s="1712"/>
    </row>
    <row r="499" s="3003" customFormat="1" customHeight="1" spans="10:27">
      <c r="J499" s="3005"/>
      <c r="K499" s="1712"/>
      <c r="L499" s="1712"/>
      <c r="M499" s="1712"/>
      <c r="N499" s="1712"/>
      <c r="O499" s="1712"/>
      <c r="P499" s="1712"/>
      <c r="Q499" s="1712"/>
      <c r="R499" s="1712"/>
      <c r="S499" s="1712"/>
      <c r="T499" s="1712"/>
      <c r="U499" s="1712"/>
      <c r="V499" s="1712"/>
      <c r="W499" s="1712"/>
      <c r="X499" s="1712"/>
      <c r="Y499" s="1712"/>
      <c r="Z499" s="1712"/>
      <c r="AA499" s="1712"/>
    </row>
    <row r="500" s="3003" customFormat="1" customHeight="1" spans="10:27">
      <c r="J500" s="3005"/>
      <c r="K500" s="1712"/>
      <c r="L500" s="1712"/>
      <c r="M500" s="1712"/>
      <c r="N500" s="1712"/>
      <c r="O500" s="1712"/>
      <c r="P500" s="1712"/>
      <c r="Q500" s="1712"/>
      <c r="R500" s="1712"/>
      <c r="S500" s="1712"/>
      <c r="T500" s="1712"/>
      <c r="U500" s="1712"/>
      <c r="V500" s="1712"/>
      <c r="W500" s="1712"/>
      <c r="X500" s="1712"/>
      <c r="Y500" s="1712"/>
      <c r="Z500" s="1712"/>
      <c r="AA500" s="1712"/>
    </row>
    <row r="501" s="3003" customFormat="1" customHeight="1" spans="10:27">
      <c r="J501" s="3005"/>
      <c r="K501" s="1712"/>
      <c r="L501" s="1712"/>
      <c r="M501" s="1712"/>
      <c r="N501" s="1712"/>
      <c r="O501" s="1712"/>
      <c r="P501" s="1712"/>
      <c r="Q501" s="1712"/>
      <c r="R501" s="1712"/>
      <c r="S501" s="1712"/>
      <c r="T501" s="1712"/>
      <c r="U501" s="1712"/>
      <c r="V501" s="1712"/>
      <c r="W501" s="1712"/>
      <c r="X501" s="1712"/>
      <c r="Y501" s="1712"/>
      <c r="Z501" s="1712"/>
      <c r="AA501" s="1712"/>
    </row>
    <row r="502" s="3003" customFormat="1" customHeight="1" spans="10:27">
      <c r="J502" s="3005"/>
      <c r="K502" s="1712"/>
      <c r="L502" s="1712"/>
      <c r="M502" s="1712"/>
      <c r="N502" s="1712"/>
      <c r="O502" s="1712"/>
      <c r="P502" s="1712"/>
      <c r="Q502" s="1712"/>
      <c r="R502" s="1712"/>
      <c r="S502" s="1712"/>
      <c r="T502" s="1712"/>
      <c r="U502" s="1712"/>
      <c r="V502" s="1712"/>
      <c r="W502" s="1712"/>
      <c r="X502" s="1712"/>
      <c r="Y502" s="1712"/>
      <c r="Z502" s="1712"/>
      <c r="AA502" s="1712"/>
    </row>
    <row r="503" s="3003" customFormat="1" customHeight="1" spans="10:27">
      <c r="J503" s="3005"/>
      <c r="K503" s="1712"/>
      <c r="L503" s="1712"/>
      <c r="M503" s="1712"/>
      <c r="N503" s="1712"/>
      <c r="O503" s="1712"/>
      <c r="P503" s="1712"/>
      <c r="Q503" s="1712"/>
      <c r="R503" s="1712"/>
      <c r="S503" s="1712"/>
      <c r="T503" s="1712"/>
      <c r="U503" s="1712"/>
      <c r="V503" s="1712"/>
      <c r="W503" s="1712"/>
      <c r="X503" s="1712"/>
      <c r="Y503" s="1712"/>
      <c r="Z503" s="1712"/>
      <c r="AA503" s="1712"/>
    </row>
    <row r="504" s="3003" customFormat="1" customHeight="1" spans="10:27">
      <c r="J504" s="3005"/>
      <c r="K504" s="1712"/>
      <c r="L504" s="1712"/>
      <c r="M504" s="1712"/>
      <c r="N504" s="1712"/>
      <c r="O504" s="1712"/>
      <c r="P504" s="1712"/>
      <c r="Q504" s="1712"/>
      <c r="R504" s="1712"/>
      <c r="S504" s="1712"/>
      <c r="T504" s="1712"/>
      <c r="U504" s="1712"/>
      <c r="V504" s="1712"/>
      <c r="W504" s="1712"/>
      <c r="X504" s="1712"/>
      <c r="Y504" s="1712"/>
      <c r="Z504" s="1712"/>
      <c r="AA504" s="1712"/>
    </row>
    <row r="505" s="3003" customFormat="1" customHeight="1" spans="10:27">
      <c r="J505" s="3005"/>
      <c r="K505" s="1712"/>
      <c r="L505" s="1712"/>
      <c r="M505" s="1712"/>
      <c r="N505" s="1712"/>
      <c r="O505" s="1712"/>
      <c r="P505" s="1712"/>
      <c r="Q505" s="1712"/>
      <c r="R505" s="1712"/>
      <c r="S505" s="1712"/>
      <c r="T505" s="1712"/>
      <c r="U505" s="1712"/>
      <c r="V505" s="1712"/>
      <c r="W505" s="1712"/>
      <c r="X505" s="1712"/>
      <c r="Y505" s="1712"/>
      <c r="Z505" s="1712"/>
      <c r="AA505" s="1712"/>
    </row>
    <row r="506" s="3003" customFormat="1" customHeight="1" spans="10:27">
      <c r="J506" s="3005"/>
      <c r="K506" s="1712"/>
      <c r="L506" s="1712"/>
      <c r="M506" s="1712"/>
      <c r="N506" s="1712"/>
      <c r="O506" s="1712"/>
      <c r="P506" s="1712"/>
      <c r="Q506" s="1712"/>
      <c r="R506" s="1712"/>
      <c r="S506" s="1712"/>
      <c r="T506" s="1712"/>
      <c r="U506" s="1712"/>
      <c r="V506" s="1712"/>
      <c r="W506" s="1712"/>
      <c r="X506" s="1712"/>
      <c r="Y506" s="1712"/>
      <c r="Z506" s="1712"/>
      <c r="AA506" s="1712"/>
    </row>
    <row r="507" s="3003" customFormat="1" customHeight="1" spans="10:27">
      <c r="J507" s="3005"/>
      <c r="K507" s="1712"/>
      <c r="L507" s="1712"/>
      <c r="M507" s="1712"/>
      <c r="N507" s="1712"/>
      <c r="O507" s="1712"/>
      <c r="P507" s="1712"/>
      <c r="Q507" s="1712"/>
      <c r="R507" s="1712"/>
      <c r="S507" s="1712"/>
      <c r="T507" s="1712"/>
      <c r="U507" s="1712"/>
      <c r="V507" s="1712"/>
      <c r="W507" s="1712"/>
      <c r="X507" s="1712"/>
      <c r="Y507" s="1712"/>
      <c r="Z507" s="1712"/>
      <c r="AA507" s="1712"/>
    </row>
    <row r="508" s="3003" customFormat="1" customHeight="1" spans="10:27">
      <c r="J508" s="3005"/>
      <c r="K508" s="1712"/>
      <c r="L508" s="1712"/>
      <c r="M508" s="1712"/>
      <c r="N508" s="1712"/>
      <c r="O508" s="1712"/>
      <c r="P508" s="1712"/>
      <c r="Q508" s="1712"/>
      <c r="R508" s="1712"/>
      <c r="S508" s="1712"/>
      <c r="T508" s="1712"/>
      <c r="U508" s="1712"/>
      <c r="V508" s="1712"/>
      <c r="W508" s="1712"/>
      <c r="X508" s="1712"/>
      <c r="Y508" s="1712"/>
      <c r="Z508" s="1712"/>
      <c r="AA508" s="1712"/>
    </row>
    <row r="509" s="3003" customFormat="1" customHeight="1" spans="10:27">
      <c r="J509" s="3005"/>
      <c r="K509" s="1712"/>
      <c r="L509" s="1712"/>
      <c r="M509" s="1712"/>
      <c r="N509" s="1712"/>
      <c r="O509" s="1712"/>
      <c r="P509" s="1712"/>
      <c r="Q509" s="1712"/>
      <c r="R509" s="1712"/>
      <c r="S509" s="1712"/>
      <c r="T509" s="1712"/>
      <c r="U509" s="1712"/>
      <c r="V509" s="1712"/>
      <c r="W509" s="1712"/>
      <c r="X509" s="1712"/>
      <c r="Y509" s="1712"/>
      <c r="Z509" s="1712"/>
      <c r="AA509" s="1712"/>
    </row>
    <row r="510" s="3003" customFormat="1" customHeight="1" spans="10:27">
      <c r="J510" s="3005"/>
      <c r="K510" s="1712"/>
      <c r="L510" s="1712"/>
      <c r="M510" s="1712"/>
      <c r="N510" s="1712"/>
      <c r="O510" s="1712"/>
      <c r="P510" s="1712"/>
      <c r="Q510" s="1712"/>
      <c r="R510" s="1712"/>
      <c r="S510" s="1712"/>
      <c r="T510" s="1712"/>
      <c r="U510" s="1712"/>
      <c r="V510" s="1712"/>
      <c r="W510" s="1712"/>
      <c r="X510" s="1712"/>
      <c r="Y510" s="1712"/>
      <c r="Z510" s="1712"/>
      <c r="AA510" s="1712"/>
    </row>
    <row r="511" s="3003" customFormat="1" customHeight="1" spans="10:27">
      <c r="J511" s="3005"/>
      <c r="K511" s="1712"/>
      <c r="L511" s="1712"/>
      <c r="M511" s="1712"/>
      <c r="N511" s="1712"/>
      <c r="O511" s="1712"/>
      <c r="P511" s="1712"/>
      <c r="Q511" s="1712"/>
      <c r="R511" s="1712"/>
      <c r="S511" s="1712"/>
      <c r="T511" s="1712"/>
      <c r="U511" s="1712"/>
      <c r="V511" s="1712"/>
      <c r="W511" s="1712"/>
      <c r="X511" s="1712"/>
      <c r="Y511" s="1712"/>
      <c r="Z511" s="1712"/>
      <c r="AA511" s="1712"/>
    </row>
    <row r="512" s="3003" customFormat="1" customHeight="1" spans="10:27">
      <c r="J512" s="3005"/>
      <c r="K512" s="1712"/>
      <c r="L512" s="1712"/>
      <c r="M512" s="1712"/>
      <c r="N512" s="1712"/>
      <c r="O512" s="1712"/>
      <c r="P512" s="1712"/>
      <c r="Q512" s="1712"/>
      <c r="R512" s="1712"/>
      <c r="S512" s="1712"/>
      <c r="T512" s="1712"/>
      <c r="U512" s="1712"/>
      <c r="V512" s="1712"/>
      <c r="W512" s="1712"/>
      <c r="X512" s="1712"/>
      <c r="Y512" s="1712"/>
      <c r="Z512" s="1712"/>
      <c r="AA512" s="1712"/>
    </row>
    <row r="513" s="3003" customFormat="1" customHeight="1" spans="10:27">
      <c r="J513" s="3005"/>
      <c r="K513" s="1712"/>
      <c r="L513" s="1712"/>
      <c r="M513" s="1712"/>
      <c r="N513" s="1712"/>
      <c r="O513" s="1712"/>
      <c r="P513" s="1712"/>
      <c r="Q513" s="1712"/>
      <c r="R513" s="1712"/>
      <c r="S513" s="1712"/>
      <c r="T513" s="1712"/>
      <c r="U513" s="1712"/>
      <c r="V513" s="1712"/>
      <c r="W513" s="1712"/>
      <c r="X513" s="1712"/>
      <c r="Y513" s="1712"/>
      <c r="Z513" s="1712"/>
      <c r="AA513" s="1712"/>
    </row>
    <row r="514" s="3003" customFormat="1" customHeight="1" spans="10:27">
      <c r="J514" s="3005"/>
      <c r="K514" s="1712"/>
      <c r="L514" s="1712"/>
      <c r="M514" s="1712"/>
      <c r="N514" s="1712"/>
      <c r="O514" s="1712"/>
      <c r="P514" s="1712"/>
      <c r="Q514" s="1712"/>
      <c r="R514" s="1712"/>
      <c r="S514" s="1712"/>
      <c r="T514" s="1712"/>
      <c r="U514" s="1712"/>
      <c r="V514" s="1712"/>
      <c r="W514" s="1712"/>
      <c r="X514" s="1712"/>
      <c r="Y514" s="1712"/>
      <c r="Z514" s="1712"/>
      <c r="AA514" s="1712"/>
    </row>
    <row r="515" s="3003" customFormat="1" customHeight="1" spans="10:27">
      <c r="J515" s="3005"/>
      <c r="K515" s="1712"/>
      <c r="L515" s="1712"/>
      <c r="M515" s="1712"/>
      <c r="N515" s="1712"/>
      <c r="O515" s="1712"/>
      <c r="P515" s="1712"/>
      <c r="Q515" s="1712"/>
      <c r="R515" s="1712"/>
      <c r="S515" s="1712"/>
      <c r="T515" s="1712"/>
      <c r="U515" s="1712"/>
      <c r="V515" s="1712"/>
      <c r="W515" s="1712"/>
      <c r="X515" s="1712"/>
      <c r="Y515" s="1712"/>
      <c r="Z515" s="1712"/>
      <c r="AA515" s="1712"/>
    </row>
    <row r="516" s="3003" customFormat="1" customHeight="1" spans="10:27">
      <c r="J516" s="3005"/>
      <c r="K516" s="1712"/>
      <c r="L516" s="1712"/>
      <c r="M516" s="1712"/>
      <c r="N516" s="1712"/>
      <c r="O516" s="1712"/>
      <c r="P516" s="1712"/>
      <c r="Q516" s="1712"/>
      <c r="R516" s="1712"/>
      <c r="S516" s="1712"/>
      <c r="T516" s="1712"/>
      <c r="U516" s="1712"/>
      <c r="V516" s="1712"/>
      <c r="W516" s="1712"/>
      <c r="X516" s="1712"/>
      <c r="Y516" s="1712"/>
      <c r="Z516" s="1712"/>
      <c r="AA516" s="1712"/>
    </row>
    <row r="517" s="3003" customFormat="1" customHeight="1" spans="10:27">
      <c r="J517" s="3005"/>
      <c r="K517" s="1712"/>
      <c r="L517" s="1712"/>
      <c r="M517" s="1712"/>
      <c r="N517" s="1712"/>
      <c r="O517" s="1712"/>
      <c r="P517" s="1712"/>
      <c r="Q517" s="1712"/>
      <c r="R517" s="1712"/>
      <c r="S517" s="1712"/>
      <c r="T517" s="1712"/>
      <c r="U517" s="1712"/>
      <c r="V517" s="1712"/>
      <c r="W517" s="1712"/>
      <c r="X517" s="1712"/>
      <c r="Y517" s="1712"/>
      <c r="Z517" s="1712"/>
      <c r="AA517" s="1712"/>
    </row>
    <row r="518" s="3003" customFormat="1" customHeight="1" spans="10:27">
      <c r="J518" s="3005"/>
      <c r="K518" s="1712"/>
      <c r="L518" s="1712"/>
      <c r="M518" s="1712"/>
      <c r="N518" s="1712"/>
      <c r="O518" s="1712"/>
      <c r="P518" s="1712"/>
      <c r="Q518" s="1712"/>
      <c r="R518" s="1712"/>
      <c r="S518" s="1712"/>
      <c r="T518" s="1712"/>
      <c r="U518" s="1712"/>
      <c r="V518" s="1712"/>
      <c r="W518" s="1712"/>
      <c r="X518" s="1712"/>
      <c r="Y518" s="1712"/>
      <c r="Z518" s="1712"/>
      <c r="AA518" s="1712"/>
    </row>
    <row r="519" s="3003" customFormat="1" customHeight="1" spans="10:27">
      <c r="J519" s="3005"/>
      <c r="K519" s="1712"/>
      <c r="L519" s="1712"/>
      <c r="M519" s="1712"/>
      <c r="N519" s="1712"/>
      <c r="O519" s="1712"/>
      <c r="P519" s="1712"/>
      <c r="Q519" s="1712"/>
      <c r="R519" s="1712"/>
      <c r="S519" s="1712"/>
      <c r="T519" s="1712"/>
      <c r="U519" s="1712"/>
      <c r="V519" s="1712"/>
      <c r="W519" s="1712"/>
      <c r="X519" s="1712"/>
      <c r="Y519" s="1712"/>
      <c r="Z519" s="1712"/>
      <c r="AA519" s="1712"/>
    </row>
    <row r="520" s="3003" customFormat="1" customHeight="1" spans="6:27">
      <c r="F520" s="3004"/>
      <c r="G520" s="3004"/>
      <c r="H520" s="3004"/>
      <c r="I520" s="3004"/>
      <c r="J520" s="3005"/>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0" workbookViewId="0">
      <selection activeCell="M18" sqref="M18"/>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7.37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904"/>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628120</v>
      </c>
      <c r="C2" s="1583" t="str">
        <f>'数据-取费表'!B3</f>
        <v>元</v>
      </c>
      <c r="D2" s="1584" t="s">
        <v>121</v>
      </c>
      <c r="E2" s="2905" t="e">
        <f ca="1">SUMIF(INDIRECT("'"&amp;G2&amp;"'"&amp;"!A:A"),"承租人权益价值",INDIRECT("'"&amp;G2&amp;"'"&amp;"!c:c"))</f>
        <v>#REF!</v>
      </c>
      <c r="F2" s="1586" t="str">
        <f>C2</f>
        <v>元</v>
      </c>
      <c r="G2" s="1587"/>
      <c r="H2" s="2906"/>
      <c r="I2" s="2906"/>
      <c r="J2" s="2906"/>
      <c r="K2" s="2922"/>
      <c r="L2" s="2923"/>
      <c r="M2" s="2906"/>
      <c r="N2" s="2906"/>
      <c r="O2" s="2906"/>
      <c r="P2" s="2924"/>
      <c r="Q2" s="1094"/>
      <c r="R2" s="1094"/>
      <c r="S2" s="1094"/>
      <c r="T2" s="1094"/>
      <c r="U2" s="1094"/>
      <c r="V2" s="1094"/>
      <c r="W2" s="1094"/>
      <c r="X2" s="1094"/>
      <c r="Y2" s="1094"/>
      <c r="Z2" s="1094"/>
      <c r="AA2" s="1094"/>
      <c r="AB2" s="1094"/>
      <c r="AC2" s="2945"/>
    </row>
    <row r="3" s="2047" customFormat="1" ht="28.5" customHeight="1" spans="1:29">
      <c r="A3" s="402" t="s">
        <v>871</v>
      </c>
      <c r="B3" s="1588">
        <f ca="1">ROUND(IF(D2="——",C49,IF(C2="万元",B2*10000/D3,B2/D3)),0)</f>
        <v>5293</v>
      </c>
      <c r="C3" s="1588" t="s">
        <v>872</v>
      </c>
      <c r="D3" s="1588">
        <f>IF(C1="仅计算典型户型",'数据-取费表'!E5,'数据-取费表'!B5)</f>
        <v>118.67</v>
      </c>
      <c r="E3" s="2906"/>
      <c r="F3" s="2907"/>
      <c r="G3" s="2906"/>
      <c r="H3" s="2906"/>
      <c r="I3" s="2906"/>
      <c r="J3" s="2906"/>
      <c r="K3" s="2922"/>
      <c r="L3" s="2923"/>
      <c r="M3" s="2906"/>
      <c r="N3" s="2906"/>
      <c r="O3" s="2906"/>
      <c r="P3" s="2925"/>
      <c r="Q3" s="1094"/>
      <c r="R3" s="1094"/>
      <c r="S3" s="1094"/>
      <c r="T3" s="1094"/>
      <c r="U3" s="1094"/>
      <c r="V3" s="1094"/>
      <c r="W3" s="1094"/>
      <c r="X3" s="1094"/>
      <c r="Y3" s="1094"/>
      <c r="Z3" s="1094"/>
      <c r="AA3" s="1094"/>
      <c r="AB3" s="1094"/>
      <c r="AC3" s="2946"/>
    </row>
    <row r="4" ht="15" spans="1:29">
      <c r="A4" s="1098" t="s">
        <v>873</v>
      </c>
      <c r="B4" s="1099"/>
      <c r="C4" s="602" t="s">
        <v>874</v>
      </c>
      <c r="D4" s="612"/>
      <c r="E4" s="1100" t="s">
        <v>875</v>
      </c>
      <c r="F4" s="1101"/>
      <c r="G4" s="602" t="s">
        <v>876</v>
      </c>
      <c r="H4" s="612"/>
      <c r="I4" s="602" t="s">
        <v>877</v>
      </c>
      <c r="J4" s="612"/>
      <c r="K4" s="2926"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tr">
        <f>案例A!F33</f>
        <v>五棵松路26号院</v>
      </c>
      <c r="F5" s="1107"/>
      <c r="G5" s="1104" t="str">
        <f>案例A!F37</f>
        <v>恩济庄永安东里</v>
      </c>
      <c r="H5" s="1105"/>
      <c r="I5" s="1104" t="str">
        <f>案例A!F61</f>
        <v>八里庄北里13号楼</v>
      </c>
      <c r="J5" s="1105"/>
      <c r="K5" s="2927"/>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927"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38443</v>
      </c>
      <c r="D7" s="1117">
        <v>100</v>
      </c>
      <c r="E7" s="1118">
        <v>38197</v>
      </c>
      <c r="F7" s="1119">
        <f>SUMIF(58:58,YEAR(E7)&amp;"-"&amp;MONTH(E7),59:59)</f>
        <v>98.5</v>
      </c>
      <c r="G7" s="1118">
        <v>38217</v>
      </c>
      <c r="H7" s="1117">
        <f>SUMIF(58:58,YEAR(G7)&amp;"-"&amp;MONTH(G7),59:59)</f>
        <v>98.5</v>
      </c>
      <c r="I7" s="1118">
        <v>38306</v>
      </c>
      <c r="J7" s="1117">
        <f>SUMIF(58:58,YEAR(I7)&amp;"-"&amp;MONTH(I7),59:59)</f>
        <v>99</v>
      </c>
      <c r="K7" s="2928"/>
      <c r="L7" s="1235"/>
      <c r="M7" s="1241"/>
      <c r="N7" s="1241"/>
      <c r="O7" s="1241"/>
      <c r="P7" s="1242" t="s">
        <v>884</v>
      </c>
      <c r="Q7" s="1289"/>
      <c r="R7" s="1290" t="s">
        <v>885</v>
      </c>
      <c r="S7" s="1291">
        <f t="shared" ref="S7:S15" si="0">F7</f>
        <v>98.5</v>
      </c>
      <c r="T7" s="1290" t="s">
        <v>885</v>
      </c>
      <c r="U7" s="1291">
        <f t="shared" ref="U7:U15" si="1">H7</f>
        <v>98.5</v>
      </c>
      <c r="V7" s="1290" t="s">
        <v>885</v>
      </c>
      <c r="W7" s="1291">
        <f t="shared" ref="W7:W15" si="2">J7</f>
        <v>99</v>
      </c>
      <c r="X7" s="1292"/>
      <c r="Y7" s="1242" t="s">
        <v>884</v>
      </c>
      <c r="Z7" s="1293"/>
      <c r="AA7" s="1310">
        <f>D7/F7</f>
        <v>1.01522842639594</v>
      </c>
      <c r="AB7" s="1310">
        <f>D7/H7</f>
        <v>1.01522842639594</v>
      </c>
      <c r="AC7" s="1310">
        <f>D7/J7</f>
        <v>1.01010101010101</v>
      </c>
    </row>
    <row r="8" s="1080" customFormat="1" ht="15.75" spans="1:29">
      <c r="A8" s="1114" t="s">
        <v>886</v>
      </c>
      <c r="B8" s="1115"/>
      <c r="C8" s="1121" t="s">
        <v>887</v>
      </c>
      <c r="D8" s="1117">
        <v>100</v>
      </c>
      <c r="E8" s="2908" t="s">
        <v>888</v>
      </c>
      <c r="F8" s="1119">
        <f>SUMIF(61:61,E8,62:62)-SUMIF(61:61,C8,62:62)+100</f>
        <v>100</v>
      </c>
      <c r="G8" s="1121" t="s">
        <v>888</v>
      </c>
      <c r="H8" s="1117">
        <f>SUMIF(61:61,G8,62:62)-SUMIF(61:61,C8,62:62)+100</f>
        <v>100</v>
      </c>
      <c r="I8" s="2908" t="s">
        <v>888</v>
      </c>
      <c r="J8" s="1117">
        <f>SUMIF(61:61,I8,62:62)-SUMIF(61:61,C8,62:62)+100</f>
        <v>100</v>
      </c>
      <c r="K8" s="2928"/>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909" t="s">
        <v>461</v>
      </c>
      <c r="D9" s="1125">
        <v>100</v>
      </c>
      <c r="E9" s="1591" t="s">
        <v>461</v>
      </c>
      <c r="F9" s="1665">
        <f>SUMIF(63:63,E9,64:64)-SUMIF(63:63,C9,64:64)+100</f>
        <v>100</v>
      </c>
      <c r="G9" s="1590" t="s">
        <v>461</v>
      </c>
      <c r="H9" s="1125">
        <f>SUMIF(63:63,G9,64:64)-SUMIF(63:63,C9,64:64)+100</f>
        <v>100</v>
      </c>
      <c r="I9" s="1590" t="s">
        <v>461</v>
      </c>
      <c r="J9" s="1125">
        <f>SUMIF(63:63,I9,64:64)-SUMIF(63:63,C9,64:64)+100</f>
        <v>100</v>
      </c>
      <c r="K9" s="2928"/>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929">
        <v>1</v>
      </c>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f>LOOKUP(E11,68:68,69:69)-LOOKUP(C11,68:68,69:69)+100</f>
        <v>100</v>
      </c>
      <c r="G11" s="1132"/>
      <c r="H11" s="1129">
        <f>LOOKUP(G11,68:68,69:69)-LOOKUP(C11,68:68,69:69)+100</f>
        <v>100</v>
      </c>
      <c r="I11" s="1132"/>
      <c r="J11" s="1129">
        <f>LOOKUP(I11,68:68,69:69)-LOOKUP(C11,68:68,69:69)+100</f>
        <v>100</v>
      </c>
      <c r="K11" s="2929">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93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93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93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931"/>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932"/>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931"/>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899</v>
      </c>
      <c r="D18" s="1153"/>
      <c r="E18" s="1160" t="s">
        <v>899</v>
      </c>
      <c r="F18" s="1673"/>
      <c r="G18" s="1255" t="s">
        <v>899</v>
      </c>
      <c r="H18" s="1151"/>
      <c r="I18" s="1160" t="s">
        <v>899</v>
      </c>
      <c r="J18" s="1151"/>
      <c r="K18" s="2932"/>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931"/>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932"/>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931"/>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900</v>
      </c>
      <c r="D22" s="1151"/>
      <c r="E22" s="1258" t="s">
        <v>900</v>
      </c>
      <c r="F22" s="1670"/>
      <c r="G22" s="1258" t="s">
        <v>900</v>
      </c>
      <c r="H22" s="1151"/>
      <c r="I22" s="1258" t="s">
        <v>900</v>
      </c>
      <c r="J22" s="1151"/>
      <c r="K22" s="2933"/>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931"/>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899</v>
      </c>
      <c r="D24" s="1151"/>
      <c r="E24" s="1152" t="s">
        <v>899</v>
      </c>
      <c r="F24" s="1670"/>
      <c r="G24" s="1169" t="s">
        <v>899</v>
      </c>
      <c r="H24" s="1151"/>
      <c r="I24" s="1152" t="s">
        <v>899</v>
      </c>
      <c r="J24" s="1151"/>
      <c r="K24" s="2932"/>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910"/>
      <c r="F25" s="1609">
        <f>SUMIF(86:86,E25,87:87)-SUMIF(86:86,C25,87:87)+100</f>
        <v>100</v>
      </c>
      <c r="G25" s="1186"/>
      <c r="H25" s="1138">
        <f>SUMIF(86:86,G25,87:87)-SUMIF(86:86,C25,87:87)+100</f>
        <v>100</v>
      </c>
      <c r="I25" s="2910"/>
      <c r="J25" s="1138">
        <f>SUMIF(86:86,I25,87:87)-SUMIF(86:86,C25,87:87)+100</f>
        <v>100</v>
      </c>
      <c r="K25" s="2929"/>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c r="D26" s="1138">
        <v>100</v>
      </c>
      <c r="E26" s="2910"/>
      <c r="F26" s="1609">
        <f>SUMIF(88:88,E26,89:89)-SUMIF(88:88,C26,89:89)+100</f>
        <v>100</v>
      </c>
      <c r="G26" s="1186"/>
      <c r="H26" s="1138">
        <f>SUMIF(88:88,G26,89:89)-SUMIF(88:88,C26,89:89)+100</f>
        <v>100</v>
      </c>
      <c r="I26" s="2910"/>
      <c r="J26" s="1138">
        <f>SUMIF(88:88,I26,89:89)-SUMIF(88:88,C26,89:89)+100</f>
        <v>100</v>
      </c>
      <c r="K26" s="2929"/>
      <c r="L26" s="1251"/>
      <c r="M26" s="1236"/>
      <c r="N26" s="1236"/>
      <c r="O26" s="1236"/>
      <c r="P26" s="1687"/>
      <c r="Q26" s="491" t="str">
        <f t="shared" si="11"/>
        <v>朝向</v>
      </c>
      <c r="R26" s="1295" t="s">
        <v>885</v>
      </c>
      <c r="S26" s="1296">
        <f>F26</f>
        <v>100</v>
      </c>
      <c r="T26" s="1295" t="s">
        <v>885</v>
      </c>
      <c r="U26" s="1296">
        <f>H26</f>
        <v>100</v>
      </c>
      <c r="V26" s="1295" t="s">
        <v>885</v>
      </c>
      <c r="W26" s="1296">
        <f>J26</f>
        <v>100</v>
      </c>
      <c r="X26" s="1282"/>
      <c r="Y26" s="1254"/>
      <c r="Z26" s="1281" t="str">
        <f>Q26</f>
        <v>朝向</v>
      </c>
      <c r="AA26" s="1312">
        <f t="shared" si="3"/>
        <v>1</v>
      </c>
      <c r="AB26" s="1312">
        <f t="shared" si="4"/>
        <v>1</v>
      </c>
      <c r="AC26" s="1312">
        <f t="shared" si="5"/>
        <v>1</v>
      </c>
    </row>
    <row r="27" s="1080" customFormat="1" ht="15" spans="1:29">
      <c r="A27" s="1134"/>
      <c r="B27" s="2911" t="s">
        <v>904</v>
      </c>
      <c r="C27" s="2912" t="s">
        <v>905</v>
      </c>
      <c r="D27" s="1603">
        <v>100</v>
      </c>
      <c r="E27" s="2913" t="s">
        <v>906</v>
      </c>
      <c r="F27" s="1678">
        <f>SUMIF(90:90,E27,91:91)-SUMIF(90:90,C27,91:91)+100</f>
        <v>96</v>
      </c>
      <c r="G27" s="2914" t="s">
        <v>905</v>
      </c>
      <c r="H27" s="1603">
        <f>SUMIF(90:90,G27,91:91)-SUMIF(90:90,C27,91:91)+100</f>
        <v>100</v>
      </c>
      <c r="I27" s="2913" t="s">
        <v>907</v>
      </c>
      <c r="J27" s="1603">
        <f>SUMIF(90:90,I27,91:91)-SUMIF(90:90,C27,91:91)+100</f>
        <v>99</v>
      </c>
      <c r="K27" s="2930"/>
      <c r="L27" s="1235"/>
      <c r="M27" s="1241"/>
      <c r="N27" s="1241"/>
      <c r="O27" s="1241"/>
      <c r="P27" s="1687"/>
      <c r="Q27" s="1294" t="str">
        <f t="shared" si="11"/>
        <v>朝向</v>
      </c>
      <c r="R27" s="1290" t="s">
        <v>885</v>
      </c>
      <c r="S27" s="1291">
        <f>F27</f>
        <v>96</v>
      </c>
      <c r="T27" s="1290" t="s">
        <v>885</v>
      </c>
      <c r="U27" s="1291">
        <f>H27</f>
        <v>100</v>
      </c>
      <c r="V27" s="1290" t="s">
        <v>885</v>
      </c>
      <c r="W27" s="1291">
        <f>J27</f>
        <v>99</v>
      </c>
      <c r="X27" s="1292"/>
      <c r="Y27" s="1254"/>
      <c r="Z27" s="1311" t="str">
        <f>Q27</f>
        <v>朝向</v>
      </c>
      <c r="AA27" s="1312">
        <f t="shared" si="3"/>
        <v>1.04166666666667</v>
      </c>
      <c r="AB27" s="1312">
        <f t="shared" si="4"/>
        <v>1</v>
      </c>
      <c r="AC27" s="1312">
        <f t="shared" si="5"/>
        <v>1.01010101010101</v>
      </c>
    </row>
    <row r="28" ht="15" spans="1:29">
      <c r="A28" s="504"/>
      <c r="B28" s="2915" t="s">
        <v>908</v>
      </c>
      <c r="C28" s="2916" t="s">
        <v>909</v>
      </c>
      <c r="D28" s="1138">
        <v>100</v>
      </c>
      <c r="E28" s="2916" t="s">
        <v>910</v>
      </c>
      <c r="F28" s="1609">
        <v>101</v>
      </c>
      <c r="G28" s="2916" t="s">
        <v>911</v>
      </c>
      <c r="H28" s="1138">
        <v>96</v>
      </c>
      <c r="I28" s="2916" t="s">
        <v>911</v>
      </c>
      <c r="J28" s="1138">
        <v>96</v>
      </c>
      <c r="K28" s="2930"/>
      <c r="L28" s="1251"/>
      <c r="M28" s="1236"/>
      <c r="N28" s="1236"/>
      <c r="O28" s="1236"/>
      <c r="P28" s="1687"/>
      <c r="Q28" s="491" t="str">
        <f t="shared" si="11"/>
        <v>楼层</v>
      </c>
      <c r="R28" s="1295" t="s">
        <v>885</v>
      </c>
      <c r="S28" s="1296">
        <f t="shared" ref="S28:S46" si="12">F28</f>
        <v>101</v>
      </c>
      <c r="T28" s="1295" t="s">
        <v>885</v>
      </c>
      <c r="U28" s="1296">
        <f t="shared" ref="U28:U46" si="13">H28</f>
        <v>96</v>
      </c>
      <c r="V28" s="1295" t="s">
        <v>885</v>
      </c>
      <c r="W28" s="1296">
        <f t="shared" ref="W28:W46" si="14">J28</f>
        <v>96</v>
      </c>
      <c r="X28" s="1282"/>
      <c r="Y28" s="1254"/>
      <c r="Z28" s="1281" t="str">
        <f t="shared" ref="Z28:Z46" si="15">Q28</f>
        <v>楼层</v>
      </c>
      <c r="AA28" s="1312">
        <f t="shared" si="3"/>
        <v>0.99009900990099</v>
      </c>
      <c r="AB28" s="1312">
        <f t="shared" si="4"/>
        <v>1.04166666666667</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93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93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93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912</v>
      </c>
      <c r="B32" s="1123" t="s">
        <v>913</v>
      </c>
      <c r="C32" s="1679" t="s">
        <v>914</v>
      </c>
      <c r="D32" s="1184">
        <v>100</v>
      </c>
      <c r="E32" s="2917" t="s">
        <v>915</v>
      </c>
      <c r="F32" s="1609">
        <f>SUMIF(100:100,E32,101:101)-SUMIF(100:100,C32,101:101)+100</f>
        <v>97</v>
      </c>
      <c r="G32" s="1679" t="s">
        <v>914</v>
      </c>
      <c r="H32" s="1184">
        <f>SUMIF(100:100,G32,101:101)-SUMIF(100:100,C32,101:101)+100</f>
        <v>100</v>
      </c>
      <c r="I32" s="2917" t="s">
        <v>914</v>
      </c>
      <c r="J32" s="1138">
        <f>SUMIF(100:100,I32,101:101)-SUMIF(100:100,C32,101:101)+100</f>
        <v>100</v>
      </c>
      <c r="K32" s="2929">
        <v>1</v>
      </c>
      <c r="L32" s="1251"/>
      <c r="M32" s="1236"/>
      <c r="N32" s="1236"/>
      <c r="O32" s="1236"/>
      <c r="P32" s="1688" t="s">
        <v>916</v>
      </c>
      <c r="Q32" s="491" t="str">
        <f t="shared" si="11"/>
        <v>建筑类型</v>
      </c>
      <c r="R32" s="1295" t="s">
        <v>885</v>
      </c>
      <c r="S32" s="1296">
        <f t="shared" si="12"/>
        <v>97</v>
      </c>
      <c r="T32" s="1295" t="s">
        <v>885</v>
      </c>
      <c r="U32" s="1296">
        <f t="shared" si="13"/>
        <v>100</v>
      </c>
      <c r="V32" s="1295" t="s">
        <v>885</v>
      </c>
      <c r="W32" s="1296">
        <f t="shared" si="14"/>
        <v>100</v>
      </c>
      <c r="X32" s="1282"/>
      <c r="Y32" s="1267" t="s">
        <v>916</v>
      </c>
      <c r="Z32" s="1281" t="str">
        <f t="shared" si="15"/>
        <v>建筑类型</v>
      </c>
      <c r="AA32" s="1312">
        <f t="shared" si="3"/>
        <v>1.03092783505155</v>
      </c>
      <c r="AB32" s="1312">
        <f t="shared" si="4"/>
        <v>1</v>
      </c>
      <c r="AC32" s="1312">
        <f t="shared" si="5"/>
        <v>1</v>
      </c>
    </row>
    <row r="33" s="1082" customFormat="1" ht="15" spans="1:29">
      <c r="A33" s="1190"/>
      <c r="B33" s="1127" t="s">
        <v>917</v>
      </c>
      <c r="C33" s="1610">
        <f>'数据-取费表'!B5</f>
        <v>118.67</v>
      </c>
      <c r="D33" s="1129">
        <v>100</v>
      </c>
      <c r="E33" s="1133">
        <f>案例A!L33</f>
        <v>101.1</v>
      </c>
      <c r="F33" s="1611">
        <f>LOOKUP(E33,103:103,104:104)-LOOKUP(C33,103:103,104:104)+100</f>
        <v>100</v>
      </c>
      <c r="G33" s="1132">
        <f>案例A!L37</f>
        <v>120.8</v>
      </c>
      <c r="H33" s="1129">
        <f>LOOKUP(G33,103:103,104:104)-LOOKUP(C33,103:103,104:104)+100</f>
        <v>100</v>
      </c>
      <c r="I33" s="1133">
        <f>案例A!L61</f>
        <v>43</v>
      </c>
      <c r="J33" s="1129">
        <f>LOOKUP(I33,103:103,104:104)-LOOKUP(C33,103:103,104:104)+100</f>
        <v>106</v>
      </c>
      <c r="K33" s="2930"/>
      <c r="L33" s="1249"/>
      <c r="M33" s="1265"/>
      <c r="N33" s="1265"/>
      <c r="O33" s="1265"/>
      <c r="P33" s="1689"/>
      <c r="Q33" s="1646" t="str">
        <f t="shared" si="11"/>
        <v>项目建筑规模</v>
      </c>
      <c r="R33" s="1297" t="s">
        <v>885</v>
      </c>
      <c r="S33" s="1298">
        <f t="shared" si="12"/>
        <v>100</v>
      </c>
      <c r="T33" s="1297" t="s">
        <v>885</v>
      </c>
      <c r="U33" s="1298">
        <f t="shared" si="13"/>
        <v>100</v>
      </c>
      <c r="V33" s="1297" t="s">
        <v>885</v>
      </c>
      <c r="W33" s="1298">
        <f t="shared" si="14"/>
        <v>106</v>
      </c>
      <c r="X33" s="1299"/>
      <c r="Y33" s="1267"/>
      <c r="Z33" s="1313" t="str">
        <f t="shared" si="15"/>
        <v>项目建筑规模</v>
      </c>
      <c r="AA33" s="1312">
        <f t="shared" si="3"/>
        <v>1</v>
      </c>
      <c r="AB33" s="1312">
        <f t="shared" si="4"/>
        <v>1</v>
      </c>
      <c r="AC33" s="1312">
        <f t="shared" si="5"/>
        <v>0.943396226415094</v>
      </c>
    </row>
    <row r="34" ht="15" spans="1:29">
      <c r="A34" s="1185"/>
      <c r="B34" s="1127" t="s">
        <v>918</v>
      </c>
      <c r="C34" s="2918" t="s">
        <v>919</v>
      </c>
      <c r="D34" s="1138">
        <v>100</v>
      </c>
      <c r="E34" s="1681" t="s">
        <v>920</v>
      </c>
      <c r="F34" s="1609">
        <f>SUMIF(105:105,E34,106:106)-SUMIF(105:105,C34,106:106)+100</f>
        <v>101</v>
      </c>
      <c r="G34" s="1680" t="s">
        <v>919</v>
      </c>
      <c r="H34" s="1138">
        <f>SUMIF(105:105,G34,106:106)-SUMIF(105:105,C34,106:106)+100</f>
        <v>100</v>
      </c>
      <c r="I34" s="1681" t="s">
        <v>919</v>
      </c>
      <c r="J34" s="1138">
        <f>SUMIF(105:105,I34,106:106)-SUMIF(105:105,C34,106:106)+100</f>
        <v>100</v>
      </c>
      <c r="K34" s="2929">
        <v>1</v>
      </c>
      <c r="L34" s="1251"/>
      <c r="M34" s="1236"/>
      <c r="N34" s="1236"/>
      <c r="O34" s="1236"/>
      <c r="P34" s="1689"/>
      <c r="Q34" s="491" t="str">
        <f t="shared" si="11"/>
        <v>建筑结构</v>
      </c>
      <c r="R34" s="1295" t="s">
        <v>885</v>
      </c>
      <c r="S34" s="1296">
        <f t="shared" si="12"/>
        <v>101</v>
      </c>
      <c r="T34" s="1295" t="s">
        <v>885</v>
      </c>
      <c r="U34" s="1296">
        <f t="shared" si="13"/>
        <v>100</v>
      </c>
      <c r="V34" s="1295" t="s">
        <v>885</v>
      </c>
      <c r="W34" s="1296">
        <f t="shared" si="14"/>
        <v>100</v>
      </c>
      <c r="X34" s="1282"/>
      <c r="Y34" s="1267"/>
      <c r="Z34" s="1281" t="str">
        <f t="shared" si="15"/>
        <v>建筑结构</v>
      </c>
      <c r="AA34" s="1312">
        <f t="shared" si="3"/>
        <v>0.99009900990099</v>
      </c>
      <c r="AB34" s="1312">
        <f t="shared" si="4"/>
        <v>1</v>
      </c>
      <c r="AC34" s="1312">
        <f t="shared" si="5"/>
        <v>1</v>
      </c>
    </row>
    <row r="35" ht="15" spans="1:29">
      <c r="A35" s="1185"/>
      <c r="B35" s="1127" t="s">
        <v>921</v>
      </c>
      <c r="C35" s="1186" t="s">
        <v>898</v>
      </c>
      <c r="D35" s="1138">
        <v>100</v>
      </c>
      <c r="E35" s="2910" t="s">
        <v>898</v>
      </c>
      <c r="F35" s="1609">
        <f>SUMIF(107:107,E35,108:108)-SUMIF(107:107,C35,108:108)+100</f>
        <v>100</v>
      </c>
      <c r="G35" s="1186" t="s">
        <v>898</v>
      </c>
      <c r="H35" s="1138">
        <f>SUMIF(107:107,G35,108:108)-SUMIF(107:107,C35,108:108)+100</f>
        <v>100</v>
      </c>
      <c r="I35" s="2910" t="s">
        <v>898</v>
      </c>
      <c r="J35" s="1138">
        <f>SUMIF(107:107,I35,108:108)-SUMIF(107:107,C35,108:108)+100</f>
        <v>100</v>
      </c>
      <c r="K35" s="2929"/>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c r="D36" s="1138">
        <v>100</v>
      </c>
      <c r="E36" s="2910"/>
      <c r="F36" s="1609">
        <f>SUMIF(109:109,E36,110:110)-SUMIF(109:109,C36,110:110)+100</f>
        <v>100</v>
      </c>
      <c r="G36" s="1186"/>
      <c r="H36" s="1138">
        <f>SUMIF(109:109,G36,110:110)-SUMIF(109:109,C36,110:110)+100</f>
        <v>100</v>
      </c>
      <c r="I36" s="2910"/>
      <c r="J36" s="1138">
        <f>SUMIF(109:109,I36,110:110)-SUMIF(109:109,C36,110:110)+100</f>
        <v>100</v>
      </c>
      <c r="K36" s="2929"/>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f>'数据-取费表'!E20</f>
        <v>0.88</v>
      </c>
      <c r="D37" s="1129">
        <v>100</v>
      </c>
      <c r="E37" s="2919">
        <f>C37</f>
        <v>0.88</v>
      </c>
      <c r="F37" s="1611">
        <f>LOOKUP(E37,112:112,113:113)-LOOKUP(C37,112:112,113:113)+100</f>
        <v>100</v>
      </c>
      <c r="G37" s="2920">
        <f>C37</f>
        <v>0.88</v>
      </c>
      <c r="H37" s="1129">
        <f>LOOKUP(G37,112:112,113:113)-LOOKUP(C37,112:112,113:113)+100</f>
        <v>100</v>
      </c>
      <c r="I37" s="2919">
        <f>C37</f>
        <v>0.88</v>
      </c>
      <c r="J37" s="1129">
        <f>LOOKUP(I37,112:112,113:113)-LOOKUP(C37,112:112,113:113)+100</f>
        <v>100</v>
      </c>
      <c r="K37" s="2929"/>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910" t="s">
        <v>926</v>
      </c>
      <c r="F38" s="1609">
        <f>SUMIF(114:114,E38,115:115)-SUMIF(114:114,C38,115:115)+100</f>
        <v>99.5</v>
      </c>
      <c r="G38" s="1186" t="s">
        <v>926</v>
      </c>
      <c r="H38" s="1138">
        <f>SUMIF(114:114,G38,115:115)-SUMIF(114:114,C38,115:115)+100</f>
        <v>99.5</v>
      </c>
      <c r="I38" s="2910" t="s">
        <v>926</v>
      </c>
      <c r="J38" s="1138">
        <f>SUMIF(114:114,I38,115:115)-SUMIF(114:114,C38,115:115)+100</f>
        <v>99.5</v>
      </c>
      <c r="K38" s="2929">
        <v>0.5</v>
      </c>
      <c r="L38" s="1251"/>
      <c r="M38" s="1236"/>
      <c r="N38" s="1236"/>
      <c r="O38" s="1236"/>
      <c r="P38" s="1689" t="s">
        <v>916</v>
      </c>
      <c r="Q38" s="491" t="str">
        <f t="shared" si="11"/>
        <v>物业管理</v>
      </c>
      <c r="R38" s="1295" t="s">
        <v>885</v>
      </c>
      <c r="S38" s="1296">
        <f t="shared" si="12"/>
        <v>99.5</v>
      </c>
      <c r="T38" s="1295" t="s">
        <v>885</v>
      </c>
      <c r="U38" s="1296">
        <f t="shared" si="13"/>
        <v>99.5</v>
      </c>
      <c r="V38" s="1295" t="s">
        <v>885</v>
      </c>
      <c r="W38" s="1296">
        <f t="shared" si="14"/>
        <v>99.5</v>
      </c>
      <c r="X38" s="1282"/>
      <c r="Y38" s="1267" t="s">
        <v>916</v>
      </c>
      <c r="Z38" s="1281" t="str">
        <f t="shared" si="15"/>
        <v>物业管理</v>
      </c>
      <c r="AA38" s="1312">
        <f t="shared" si="3"/>
        <v>1.00502512562814</v>
      </c>
      <c r="AB38" s="1312">
        <f t="shared" si="4"/>
        <v>1.00502512562814</v>
      </c>
      <c r="AC38" s="1312">
        <f t="shared" si="5"/>
        <v>1.00502512562814</v>
      </c>
    </row>
    <row r="39" ht="15" spans="1:29">
      <c r="A39" s="1185"/>
      <c r="B39" s="1127" t="s">
        <v>927</v>
      </c>
      <c r="C39" s="1186" t="s">
        <v>900</v>
      </c>
      <c r="D39" s="1138">
        <v>100</v>
      </c>
      <c r="E39" s="2910" t="s">
        <v>900</v>
      </c>
      <c r="F39" s="1609">
        <f>SUMIF(116:116,E39,117:117)-SUMIF(116:116,C39,117:117)+100</f>
        <v>100</v>
      </c>
      <c r="G39" s="1186" t="s">
        <v>900</v>
      </c>
      <c r="H39" s="1138">
        <f>SUMIF(116:116,G39,117:117)-SUMIF(116:116,C39,117:117)+100</f>
        <v>100</v>
      </c>
      <c r="I39" s="2910" t="s">
        <v>900</v>
      </c>
      <c r="J39" s="1138">
        <f>SUMIF(116:116,I39,117:117)-SUMIF(116:116,C39,117:117)+100</f>
        <v>100</v>
      </c>
      <c r="K39" s="2929"/>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928</v>
      </c>
      <c r="C40" s="1186"/>
      <c r="D40" s="1138">
        <v>100</v>
      </c>
      <c r="E40" s="2910"/>
      <c r="F40" s="1609">
        <f>SUMIF(118:118,E40,119:119)-SUMIF(118:118,C40,119:119)+100</f>
        <v>100</v>
      </c>
      <c r="G40" s="1186"/>
      <c r="H40" s="1138">
        <f>SUMIF(118:118,G40,119:119)-SUMIF(118:118,C40,119:119)+100</f>
        <v>100</v>
      </c>
      <c r="I40" s="2910"/>
      <c r="J40" s="1138">
        <f>SUMIF(118:118,I40,119:119)-SUMIF(118:118,C40,119:119)+100</f>
        <v>100</v>
      </c>
      <c r="K40" s="2929"/>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930"/>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930</v>
      </c>
      <c r="C42" s="1186" t="s">
        <v>931</v>
      </c>
      <c r="D42" s="1138">
        <v>100</v>
      </c>
      <c r="E42" s="2910" t="s">
        <v>932</v>
      </c>
      <c r="F42" s="1609">
        <f>SUMIF(122:122,E42,123:123)-SUMIF(122:122,C42,123:123)+100</f>
        <v>105</v>
      </c>
      <c r="G42" s="1186" t="s">
        <v>932</v>
      </c>
      <c r="H42" s="1138">
        <f>SUMIF(122:122,G42,123:123)-SUMIF(122:122,C42,123:123)+100</f>
        <v>105</v>
      </c>
      <c r="I42" s="2910" t="s">
        <v>932</v>
      </c>
      <c r="J42" s="1138">
        <f>SUMIF(122:122,I42,123:123)-SUMIF(122:122,C42,123:123)+100</f>
        <v>105</v>
      </c>
      <c r="K42" s="2929">
        <v>5</v>
      </c>
      <c r="L42" s="1251"/>
      <c r="M42" s="1236"/>
      <c r="N42" s="1236"/>
      <c r="O42" s="1236"/>
      <c r="P42" s="1689"/>
      <c r="Q42" s="491" t="str">
        <f t="shared" si="11"/>
        <v>内部装修</v>
      </c>
      <c r="R42" s="1295" t="s">
        <v>885</v>
      </c>
      <c r="S42" s="1296">
        <f t="shared" si="12"/>
        <v>105</v>
      </c>
      <c r="T42" s="1295" t="s">
        <v>885</v>
      </c>
      <c r="U42" s="1296">
        <f t="shared" si="13"/>
        <v>105</v>
      </c>
      <c r="V42" s="1295" t="s">
        <v>885</v>
      </c>
      <c r="W42" s="1296">
        <f t="shared" si="14"/>
        <v>105</v>
      </c>
      <c r="X42" s="1282"/>
      <c r="Y42" s="1267"/>
      <c r="Z42" s="1281" t="str">
        <f t="shared" si="15"/>
        <v>内部装修</v>
      </c>
      <c r="AA42" s="1312">
        <f t="shared" si="3"/>
        <v>0.952380952380952</v>
      </c>
      <c r="AB42" s="1312">
        <f t="shared" si="4"/>
        <v>0.952380952380952</v>
      </c>
      <c r="AC42" s="1312">
        <f t="shared" si="5"/>
        <v>0.952380952380952</v>
      </c>
    </row>
    <row r="43" ht="15" spans="1:29">
      <c r="A43" s="1185"/>
      <c r="B43" s="1127" t="s">
        <v>215</v>
      </c>
      <c r="C43" s="1186"/>
      <c r="D43" s="1138">
        <v>100</v>
      </c>
      <c r="E43" s="2910"/>
      <c r="F43" s="1609">
        <f>SUMIF(124:124,E43,125:125)-SUMIF(124:124,C43,125:125)+100</f>
        <v>100</v>
      </c>
      <c r="G43" s="1186"/>
      <c r="H43" s="1138">
        <f>SUMIF(124:124,G43,125:125)-SUMIF(124:124,C43,125:125)+100</f>
        <v>100</v>
      </c>
      <c r="I43" s="2910"/>
      <c r="J43" s="1138">
        <f>SUMIF(124:124,I43,125:125)-SUMIF(124:124,C43,125:125)+100</f>
        <v>100</v>
      </c>
      <c r="K43" s="2929"/>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93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93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93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933</v>
      </c>
      <c r="B47" s="1617"/>
      <c r="C47" s="1618" t="s">
        <v>121</v>
      </c>
      <c r="D47" s="1619"/>
      <c r="E47" s="1620">
        <v>5045</v>
      </c>
      <c r="F47" s="1621"/>
      <c r="G47" s="1622">
        <v>4967</v>
      </c>
      <c r="H47" s="1623"/>
      <c r="I47" s="1620">
        <v>5930</v>
      </c>
      <c r="J47" s="1623"/>
      <c r="K47" s="2934"/>
      <c r="L47" s="1271"/>
      <c r="N47" s="1236"/>
      <c r="P47" s="491" t="str">
        <f>A47</f>
        <v>成交单价（元/平方米）</v>
      </c>
      <c r="Q47" s="491"/>
      <c r="R47" s="1312">
        <f>E47</f>
        <v>5045</v>
      </c>
      <c r="S47" s="1312"/>
      <c r="T47" s="1312">
        <f>G47</f>
        <v>4967</v>
      </c>
      <c r="U47" s="1312"/>
      <c r="V47" s="1312">
        <f>I47</f>
        <v>5930</v>
      </c>
      <c r="W47" s="1312"/>
      <c r="X47" s="1300"/>
      <c r="Y47" s="1314"/>
      <c r="Z47" s="1300"/>
      <c r="AA47" s="1300"/>
      <c r="AB47" s="1300"/>
      <c r="AC47" s="1300"/>
    </row>
    <row r="48" ht="15.75" spans="1:29">
      <c r="A48" s="1201" t="s">
        <v>934</v>
      </c>
      <c r="B48" s="1624"/>
      <c r="C48" s="1625">
        <f>R49</f>
        <v>5293</v>
      </c>
      <c r="D48" s="831" t="s">
        <v>935</v>
      </c>
      <c r="E48" s="1626">
        <f>R48</f>
        <v>5161</v>
      </c>
      <c r="F48" s="832"/>
      <c r="G48" s="1625">
        <f>T48</f>
        <v>5028</v>
      </c>
      <c r="H48" s="832"/>
      <c r="I48" s="1626">
        <f>V48</f>
        <v>5691</v>
      </c>
      <c r="J48" s="832"/>
      <c r="K48" s="2935">
        <f>F48+H48+J48</f>
        <v>0</v>
      </c>
      <c r="L48" s="1271"/>
      <c r="P48" s="491" t="str">
        <f>A48</f>
        <v>比较价值（元/平方米）</v>
      </c>
      <c r="Q48" s="491"/>
      <c r="R48" s="1312">
        <f>IF(E1="售价",ROUND(PRODUCT(R47,AA7:AA46),0),ROUND(PRODUCT(R47,AA7:AA46),1))</f>
        <v>5161</v>
      </c>
      <c r="S48" s="1312"/>
      <c r="T48" s="2943">
        <f>IF(E1="售价",ROUND(PRODUCT(T47,AB7:AB46),0),ROUND(PRODUCT(T47,AB7:AB46),1))</f>
        <v>5028</v>
      </c>
      <c r="U48" s="2944"/>
      <c r="V48" s="1312">
        <f>IF(E1="售价",ROUND(PRODUCT(V47,AC7:AC46),0),ROUND(PRODUCT(V47,AC7:AC46),1))</f>
        <v>5691</v>
      </c>
      <c r="W48" s="1312"/>
      <c r="X48" s="1300"/>
      <c r="Y48" s="1300"/>
      <c r="Z48" s="1300"/>
      <c r="AA48" s="1300"/>
      <c r="AB48" s="1300"/>
      <c r="AC48" s="1300"/>
    </row>
    <row r="49" ht="15.75" spans="1:29">
      <c r="A49" s="1205" t="s">
        <v>936</v>
      </c>
      <c r="B49" s="1206"/>
      <c r="C49" s="2921">
        <f>R49</f>
        <v>5293</v>
      </c>
      <c r="D49" s="1627"/>
      <c r="E49" s="1627"/>
      <c r="F49" s="1627"/>
      <c r="G49" s="1627"/>
      <c r="H49" s="1627"/>
      <c r="I49" s="1627"/>
      <c r="J49" s="1627"/>
      <c r="K49" s="2936"/>
      <c r="L49" s="1271"/>
      <c r="P49" s="1273" t="str">
        <f>A49</f>
        <v>估价对象XX用房的比较价值（楼面单价，元/平方米）</v>
      </c>
      <c r="Q49" s="1302"/>
      <c r="R49" s="1647">
        <f>IF(E1="售价",ROUND(IF(D48="简单平均",AVERAGE(R48:V48),R48*F48+T48*H48+V48*J48),0),ROUND(IF(D48="简单平均",AVERAGE(R48:V48),R48*F48+T48*H48+V48*J48),1))</f>
        <v>5293</v>
      </c>
      <c r="S49" s="1647"/>
      <c r="T49" s="1647"/>
      <c r="U49" s="1647"/>
      <c r="V49" s="1647"/>
      <c r="W49" s="1647"/>
      <c r="X49" s="1300"/>
      <c r="Y49" s="1300"/>
      <c r="Z49" s="1300"/>
      <c r="AA49" s="1300"/>
      <c r="AB49" s="1300"/>
      <c r="AC49" s="1300"/>
    </row>
    <row r="50" spans="7:7">
      <c r="G50" s="1208"/>
    </row>
    <row r="52" ht="13.5" customHeight="1" spans="3:10">
      <c r="C52" s="838" t="s">
        <v>937</v>
      </c>
      <c r="D52" s="530"/>
      <c r="E52" s="1209">
        <f>IF(E47&lt;E48,E48/E47-1,E47/E48-1)</f>
        <v>0.0229930624380574</v>
      </c>
      <c r="F52" s="1210" t="str">
        <f>IF(OR(E52&gt;=0.3,E52&lt;=-0.3),"超过30%","")</f>
        <v/>
      </c>
      <c r="G52" s="1209">
        <f>IF(G47&lt;G48,G48/G47-1,G47/G48-1)</f>
        <v>0.0122810549627541</v>
      </c>
      <c r="H52" s="1210" t="str">
        <f>IF(OR(G52&gt;=0.3,G52&lt;=-0.3),"超过30%","")</f>
        <v/>
      </c>
      <c r="I52" s="1209">
        <f>IF(I47&lt;I48,I48/I47-1,I47/I48-1)</f>
        <v>0.0419961342470567</v>
      </c>
      <c r="J52" s="1210" t="str">
        <f>IF(OR(I52&gt;=0.3,I52&lt;=-0.3),"超过30%","")</f>
        <v/>
      </c>
    </row>
    <row r="53" ht="13.5" customHeight="1" spans="3:10">
      <c r="C53" s="838" t="s">
        <v>938</v>
      </c>
      <c r="D53" s="529"/>
      <c r="E53" s="1209">
        <f>IF(E48&lt;G48,G48/E48-1,E48/G48-1)</f>
        <v>0.0264518695306284</v>
      </c>
      <c r="F53" s="1210" t="str">
        <f>IF(OR(E53&gt;=0.2,E53&lt;=-0.2),"超过20%","")</f>
        <v/>
      </c>
      <c r="G53" s="1209">
        <f>IF(G48&lt;I48,I48/G48-1,G48/I48-1)</f>
        <v>0.131861575178998</v>
      </c>
      <c r="H53" s="1210" t="str">
        <f>IF(OR(G53&gt;=0.2,G53&lt;=-0.2),"超过20%","")</f>
        <v/>
      </c>
      <c r="I53" s="1209">
        <f>IF(I48&lt;E48,E48/I48-1,I48/E48-1)</f>
        <v>0.102693276496803</v>
      </c>
      <c r="J53" s="1210" t="str">
        <f>IF(OR(I53&gt;=0.2,I53&lt;=-0.2),"超过20%","")</f>
        <v/>
      </c>
    </row>
    <row r="54" s="1083" customFormat="1" ht="13.5" customHeight="1" spans="3:16">
      <c r="C54" s="838" t="s">
        <v>939</v>
      </c>
      <c r="D54" s="529"/>
      <c r="E54" s="1209">
        <f>IF(E47&lt;G47,G47/E47-1,E47/G47-1)</f>
        <v>0.0157036440507348</v>
      </c>
      <c r="F54" s="1210" t="str">
        <f>IF(OR(E54&gt;=0.3,E54&lt;=-0.3),"超过30%","")</f>
        <v/>
      </c>
      <c r="G54" s="1209">
        <f>IF(G47&lt;I47,I47/G47-1,G47/I47-1)</f>
        <v>0.193879605395611</v>
      </c>
      <c r="H54" s="1210" t="str">
        <f>IF(OR(G54&gt;=0.3,G54&lt;=-0.3),"超过30%","")</f>
        <v/>
      </c>
      <c r="I54" s="1209">
        <f>IF(I47&lt;E47,E47/I47-1,I47/E47-1)</f>
        <v>0.175421209117939</v>
      </c>
      <c r="J54" s="1210" t="str">
        <f>IF(OR(I54&gt;=0.3,I54&lt;=-0.3),"超过30%","")</f>
        <v/>
      </c>
      <c r="K54" s="1274"/>
      <c r="L54" s="1275"/>
      <c r="P54" s="2937"/>
    </row>
    <row r="55" s="1083" customFormat="1" spans="2:16">
      <c r="B55" s="1211"/>
      <c r="C55" s="1212"/>
      <c r="K55" s="1274"/>
      <c r="L55" s="1275"/>
      <c r="P55" s="2937"/>
    </row>
    <row r="56" spans="2:3">
      <c r="B56" s="1211"/>
      <c r="C56" s="1212"/>
    </row>
    <row r="57" ht="21" spans="1:17">
      <c r="A57" s="1323" t="s">
        <v>940</v>
      </c>
      <c r="B57" s="1300"/>
      <c r="C57" s="1324"/>
      <c r="D57" s="1324"/>
      <c r="E57" s="1324"/>
      <c r="F57" s="1324"/>
      <c r="G57" s="1324"/>
      <c r="H57" s="1324"/>
      <c r="I57" s="1324"/>
      <c r="J57" s="1324"/>
      <c r="K57" s="1640"/>
      <c r="L57" s="2938"/>
      <c r="M57" s="1642"/>
      <c r="N57" s="1642"/>
      <c r="O57" s="1642"/>
      <c r="P57" s="2939"/>
      <c r="Q57" s="1382"/>
    </row>
    <row r="58" s="1575" customFormat="1" ht="15" spans="1:16">
      <c r="A58" s="1628" t="s">
        <v>883</v>
      </c>
      <c r="B58" s="1629"/>
      <c r="C58" s="1630" t="str">
        <f>YEAR(C7)&amp;"-"&amp;MONTH(C7)</f>
        <v>2005-4</v>
      </c>
      <c r="D58" s="1631">
        <f>EDATE(C58,-1)</f>
        <v>38412</v>
      </c>
      <c r="E58" s="1631">
        <f t="shared" ref="E58:O58" si="16">EDATE(D58,-1)</f>
        <v>38384</v>
      </c>
      <c r="F58" s="1631">
        <f t="shared" si="16"/>
        <v>38353</v>
      </c>
      <c r="G58" s="1631">
        <f t="shared" si="16"/>
        <v>38322</v>
      </c>
      <c r="H58" s="1631">
        <f t="shared" si="16"/>
        <v>38292</v>
      </c>
      <c r="I58" s="1631">
        <f t="shared" si="16"/>
        <v>38261</v>
      </c>
      <c r="J58" s="1631">
        <f t="shared" si="16"/>
        <v>38231</v>
      </c>
      <c r="K58" s="1631">
        <f t="shared" si="16"/>
        <v>38200</v>
      </c>
      <c r="L58" s="1631">
        <f t="shared" si="16"/>
        <v>38169</v>
      </c>
      <c r="M58" s="1631">
        <f t="shared" si="16"/>
        <v>38139</v>
      </c>
      <c r="N58" s="1631">
        <f t="shared" si="16"/>
        <v>38108</v>
      </c>
      <c r="O58" s="1631">
        <f t="shared" si="16"/>
        <v>38078</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c r="N59" s="1339"/>
      <c r="O59" s="1644"/>
      <c r="P59" s="1695"/>
    </row>
    <row r="60" s="1080" customFormat="1" ht="15.75" spans="1:17">
      <c r="A60" s="1331" t="s">
        <v>941</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940"/>
      <c r="O61" s="2940"/>
      <c r="P61" s="1696"/>
      <c r="Q61" s="1382"/>
    </row>
    <row r="62" s="1080" customFormat="1" ht="15.75" spans="1:17">
      <c r="A62" s="1335"/>
      <c r="B62" s="1336"/>
      <c r="C62" s="1633">
        <v>100</v>
      </c>
      <c r="D62" s="1339"/>
      <c r="E62" s="1339"/>
      <c r="F62" s="1339"/>
      <c r="G62" s="1339"/>
      <c r="H62" s="1339"/>
      <c r="I62" s="1339"/>
      <c r="J62" s="1339"/>
      <c r="K62" s="1339"/>
      <c r="L62" s="1339"/>
      <c r="M62" s="1388"/>
      <c r="N62" s="2940"/>
      <c r="O62" s="2940"/>
      <c r="P62" s="1695"/>
      <c r="Q62" s="1382"/>
    </row>
    <row r="63" spans="1:17">
      <c r="A63" s="1340" t="s">
        <v>942</v>
      </c>
      <c r="B63" s="1341" t="s">
        <v>891</v>
      </c>
      <c r="C63" s="1361" t="str">
        <f>C9</f>
        <v>住宅</v>
      </c>
      <c r="D63" s="1268"/>
      <c r="E63" s="1268"/>
      <c r="F63" s="1268"/>
      <c r="G63" s="1268"/>
      <c r="H63" s="1268"/>
      <c r="I63" s="1268"/>
      <c r="J63" s="1268"/>
      <c r="K63" s="1032"/>
      <c r="L63" s="1032"/>
      <c r="M63" s="1389"/>
      <c r="N63" s="2941"/>
      <c r="O63" s="2941"/>
      <c r="P63" s="1697"/>
      <c r="Q63" s="1382"/>
    </row>
    <row r="64" ht="15.75" spans="1:17">
      <c r="A64" s="1342"/>
      <c r="B64" s="1343"/>
      <c r="C64" s="1344">
        <v>100</v>
      </c>
      <c r="D64" s="1344"/>
      <c r="E64" s="1344"/>
      <c r="F64" s="1344"/>
      <c r="G64" s="1344"/>
      <c r="H64" s="1344"/>
      <c r="I64" s="1344"/>
      <c r="J64" s="1344"/>
      <c r="K64" s="1344"/>
      <c r="L64" s="1344"/>
      <c r="M64" s="1392"/>
      <c r="N64" s="2942"/>
      <c r="O64" s="2942"/>
      <c r="P64" s="1697"/>
      <c r="Q64" s="1382"/>
    </row>
    <row r="65" ht="27.75" spans="1:17">
      <c r="A65" s="1342"/>
      <c r="B65" s="1345" t="s">
        <v>894</v>
      </c>
      <c r="C65" s="1346" t="s">
        <v>943</v>
      </c>
      <c r="D65" s="1346" t="s">
        <v>944</v>
      </c>
      <c r="E65" s="1346" t="s">
        <v>945</v>
      </c>
      <c r="F65" s="1346" t="s">
        <v>946</v>
      </c>
      <c r="G65" s="1346" t="s">
        <v>947</v>
      </c>
      <c r="H65" s="1346" t="s">
        <v>948</v>
      </c>
      <c r="I65" s="1346" t="s">
        <v>949</v>
      </c>
      <c r="J65" s="1346"/>
      <c r="K65" s="1039"/>
      <c r="L65" s="1039"/>
      <c r="M65" s="1394"/>
      <c r="N65" s="2941"/>
      <c r="O65" s="2941"/>
      <c r="P65" s="1697"/>
      <c r="Q65" s="1382"/>
    </row>
    <row r="66" ht="15.75" spans="1:17">
      <c r="A66" s="1342"/>
      <c r="B66" s="1347"/>
      <c r="C66" s="1348">
        <v>100</v>
      </c>
      <c r="D66" s="1348">
        <f t="shared" ref="D66:I66" si="17">C66-$K10</f>
        <v>99</v>
      </c>
      <c r="E66" s="1348">
        <f t="shared" si="17"/>
        <v>98</v>
      </c>
      <c r="F66" s="1348">
        <f t="shared" si="17"/>
        <v>97</v>
      </c>
      <c r="G66" s="1348">
        <f t="shared" si="17"/>
        <v>96</v>
      </c>
      <c r="H66" s="1348">
        <f t="shared" si="17"/>
        <v>95</v>
      </c>
      <c r="I66" s="1348">
        <f t="shared" si="17"/>
        <v>94</v>
      </c>
      <c r="J66" s="1348"/>
      <c r="K66" s="1348"/>
      <c r="L66" s="1348"/>
      <c r="M66" s="1395"/>
      <c r="N66" s="2942"/>
      <c r="O66" s="2942"/>
      <c r="P66" s="1697"/>
      <c r="Q66" s="1382"/>
    </row>
    <row r="67" ht="15.75" spans="1:17">
      <c r="A67" s="1342"/>
      <c r="B67" s="1349" t="s">
        <v>895</v>
      </c>
      <c r="C67" s="1350" t="str">
        <f>C68&amp;"（含）"&amp;"-"&amp;D68</f>
        <v>0（含）-1</v>
      </c>
      <c r="D67" s="1350" t="str">
        <f t="shared" ref="D67:L67" si="18">D68&amp;"（含）"&amp;"-"&amp;E68</f>
        <v>1（含）-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942"/>
      <c r="O67" s="2942"/>
      <c r="P67" s="1697"/>
      <c r="Q67" s="1382"/>
    </row>
    <row r="68" ht="15" spans="1:17">
      <c r="A68" s="1342"/>
      <c r="B68" s="1351"/>
      <c r="C68" s="1139">
        <v>0</v>
      </c>
      <c r="D68" s="1139">
        <v>1</v>
      </c>
      <c r="E68" s="1139"/>
      <c r="F68" s="1139"/>
      <c r="G68" s="1139"/>
      <c r="H68" s="1139"/>
      <c r="I68" s="1139"/>
      <c r="J68" s="1139"/>
      <c r="K68" s="1043"/>
      <c r="L68" s="1043"/>
      <c r="M68" s="1396"/>
      <c r="N68" s="2941"/>
      <c r="O68" s="2941"/>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942"/>
      <c r="O69" s="2942"/>
      <c r="P69" s="1697"/>
      <c r="Q69" s="1382"/>
    </row>
    <row r="70" s="1082" customFormat="1" ht="15.75" spans="1:17">
      <c r="A70" s="1352"/>
      <c r="B70" s="1345">
        <f>B12</f>
        <v>111</v>
      </c>
      <c r="C70" s="1353"/>
      <c r="D70" s="1353"/>
      <c r="E70" s="1353"/>
      <c r="F70" s="1353"/>
      <c r="G70" s="1353"/>
      <c r="H70" s="1045"/>
      <c r="I70" s="1045"/>
      <c r="J70" s="1045"/>
      <c r="K70" s="1045"/>
      <c r="L70" s="1045"/>
      <c r="M70" s="1397"/>
      <c r="N70" s="2955"/>
      <c r="O70" s="2955"/>
      <c r="P70" s="1702"/>
      <c r="Q70" s="1414"/>
    </row>
    <row r="71" s="1082" customFormat="1" ht="15.75" spans="1:17">
      <c r="A71" s="1352"/>
      <c r="B71" s="1347"/>
      <c r="C71" s="1354"/>
      <c r="D71" s="1344"/>
      <c r="E71" s="1344"/>
      <c r="F71" s="1344"/>
      <c r="G71" s="1344"/>
      <c r="H71" s="1344"/>
      <c r="I71" s="1344"/>
      <c r="J71" s="1344"/>
      <c r="K71" s="1344"/>
      <c r="L71" s="1344"/>
      <c r="M71" s="1392"/>
      <c r="N71" s="2942"/>
      <c r="O71" s="2942"/>
      <c r="P71" s="1702"/>
      <c r="Q71" s="1414"/>
    </row>
    <row r="72" s="1082" customFormat="1" ht="15.75" spans="1:17">
      <c r="A72" s="1352"/>
      <c r="B72" s="1345">
        <f>B13</f>
        <v>111</v>
      </c>
      <c r="C72" s="1353"/>
      <c r="D72" s="1353"/>
      <c r="E72" s="1353"/>
      <c r="F72" s="1353"/>
      <c r="G72" s="1353"/>
      <c r="H72" s="1045"/>
      <c r="I72" s="1045"/>
      <c r="J72" s="1045"/>
      <c r="K72" s="1045"/>
      <c r="L72" s="1045"/>
      <c r="M72" s="1397"/>
      <c r="N72" s="2955"/>
      <c r="O72" s="2955"/>
      <c r="P72" s="1703"/>
      <c r="Q72" s="1415"/>
    </row>
    <row r="73" s="1082" customFormat="1" ht="15.75" spans="1:17">
      <c r="A73" s="1352"/>
      <c r="B73" s="1347"/>
      <c r="C73" s="1354"/>
      <c r="D73" s="1354"/>
      <c r="E73" s="1354"/>
      <c r="F73" s="1354"/>
      <c r="G73" s="1354"/>
      <c r="H73" s="1355"/>
      <c r="I73" s="1355"/>
      <c r="J73" s="1355"/>
      <c r="K73" s="1355"/>
      <c r="L73" s="1355"/>
      <c r="M73" s="1400"/>
      <c r="N73" s="2955"/>
      <c r="O73" s="2955"/>
      <c r="P73" s="1702"/>
      <c r="Q73" s="1414"/>
    </row>
    <row r="74" s="1082" customFormat="1" ht="15.75" spans="1:17">
      <c r="A74" s="1352"/>
      <c r="B74" s="1349">
        <f>B14</f>
        <v>111</v>
      </c>
      <c r="C74" s="1353"/>
      <c r="D74" s="1353"/>
      <c r="E74" s="1353"/>
      <c r="F74" s="1353"/>
      <c r="G74" s="1026"/>
      <c r="H74" s="1050"/>
      <c r="I74" s="1050"/>
      <c r="J74" s="1050"/>
      <c r="K74" s="1050"/>
      <c r="L74" s="1050"/>
      <c r="M74" s="1401"/>
      <c r="N74" s="2955"/>
      <c r="O74" s="2955"/>
      <c r="P74" s="1702"/>
      <c r="Q74" s="1414"/>
    </row>
    <row r="75" s="1082" customFormat="1" ht="15.75" spans="1:17">
      <c r="A75" s="1356"/>
      <c r="B75" s="1357"/>
      <c r="C75" s="1358"/>
      <c r="D75" s="1358"/>
      <c r="E75" s="1358"/>
      <c r="F75" s="1358"/>
      <c r="G75" s="1358"/>
      <c r="H75" s="1359"/>
      <c r="I75" s="1359"/>
      <c r="J75" s="1359"/>
      <c r="K75" s="1359"/>
      <c r="L75" s="1359"/>
      <c r="M75" s="1402"/>
      <c r="N75" s="2955"/>
      <c r="O75" s="295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941"/>
      <c r="O76" s="2941"/>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942"/>
      <c r="O77" s="2942"/>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941"/>
      <c r="O78" s="2941"/>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942"/>
      <c r="O79" s="2942"/>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941"/>
      <c r="O80" s="2941"/>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942"/>
      <c r="O81" s="2942"/>
      <c r="P81" s="1697"/>
      <c r="Q81" s="1382"/>
    </row>
    <row r="82" ht="15.75" spans="1:17">
      <c r="A82" s="1342"/>
      <c r="B82" s="1349" t="s">
        <v>212</v>
      </c>
      <c r="C82" s="1346" t="s">
        <v>950</v>
      </c>
      <c r="D82" s="1346" t="s">
        <v>951</v>
      </c>
      <c r="E82" s="1346" t="s">
        <v>952</v>
      </c>
      <c r="F82" s="1346" t="s">
        <v>953</v>
      </c>
      <c r="G82" s="1346" t="s">
        <v>954</v>
      </c>
      <c r="H82" s="1346"/>
      <c r="I82" s="1346"/>
      <c r="J82" s="1346"/>
      <c r="K82" s="1346"/>
      <c r="L82" s="1346"/>
      <c r="M82" s="1405"/>
      <c r="N82" s="2942"/>
      <c r="O82" s="2942"/>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942"/>
      <c r="O83" s="2942"/>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2941"/>
      <c r="O84" s="2941"/>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942"/>
      <c r="O85" s="2942"/>
      <c r="P85" s="1697"/>
      <c r="Q85" s="1382"/>
    </row>
    <row r="86" s="1080" customFormat="1" ht="15.75" spans="1:17">
      <c r="A86" s="1362"/>
      <c r="B86" s="1345" t="s">
        <v>902</v>
      </c>
      <c r="C86" s="1353"/>
      <c r="D86" s="1353"/>
      <c r="E86" s="1353"/>
      <c r="F86" s="1353"/>
      <c r="G86" s="1353"/>
      <c r="H86" s="1353"/>
      <c r="I86" s="1353"/>
      <c r="J86" s="1353"/>
      <c r="K86" s="1353"/>
      <c r="L86" s="1353"/>
      <c r="M86" s="1655"/>
      <c r="N86" s="2940"/>
      <c r="O86" s="2940"/>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942"/>
      <c r="O87" s="2942"/>
      <c r="P87" s="1697"/>
      <c r="Q87" s="1382"/>
    </row>
    <row r="88" s="1080" customFormat="1" ht="15.75" spans="1:17">
      <c r="A88" s="1362"/>
      <c r="B88" s="1345" t="s">
        <v>903</v>
      </c>
      <c r="C88" s="1353"/>
      <c r="D88" s="1353"/>
      <c r="E88" s="1353"/>
      <c r="F88" s="1652"/>
      <c r="G88" s="1353"/>
      <c r="H88" s="1353"/>
      <c r="I88" s="1353"/>
      <c r="J88" s="1353"/>
      <c r="K88" s="1353"/>
      <c r="L88" s="1353"/>
      <c r="M88" s="1655"/>
      <c r="N88" s="2940"/>
      <c r="O88" s="2940"/>
      <c r="P88" s="1697"/>
      <c r="Q88" s="1382"/>
    </row>
    <row r="89" s="1080" customFormat="1" ht="15.75" spans="1:17">
      <c r="A89" s="1362"/>
      <c r="B89" s="1347"/>
      <c r="C89" s="1363">
        <v>100</v>
      </c>
      <c r="D89" s="1348">
        <f t="shared" ref="D89:M89" si="21">C89-$K26</f>
        <v>100</v>
      </c>
      <c r="E89" s="1348">
        <f t="shared" si="21"/>
        <v>100</v>
      </c>
      <c r="F89" s="1348">
        <f t="shared" si="21"/>
        <v>100</v>
      </c>
      <c r="G89" s="1348">
        <f t="shared" si="21"/>
        <v>100</v>
      </c>
      <c r="H89" s="1348">
        <f t="shared" si="21"/>
        <v>100</v>
      </c>
      <c r="I89" s="1348">
        <f t="shared" si="21"/>
        <v>100</v>
      </c>
      <c r="J89" s="1348">
        <f t="shared" si="21"/>
        <v>100</v>
      </c>
      <c r="K89" s="1348">
        <f t="shared" si="21"/>
        <v>100</v>
      </c>
      <c r="L89" s="1348">
        <f t="shared" si="21"/>
        <v>100</v>
      </c>
      <c r="M89" s="1348">
        <f t="shared" si="21"/>
        <v>100</v>
      </c>
      <c r="N89" s="2942"/>
      <c r="O89" s="2942"/>
      <c r="P89" s="1697"/>
      <c r="Q89" s="1382"/>
    </row>
    <row r="90" s="1082" customFormat="1" ht="15.75" spans="1:17">
      <c r="A90" s="1352"/>
      <c r="B90" s="1345" t="str">
        <f>B27</f>
        <v>朝向</v>
      </c>
      <c r="C90" s="2947" t="s">
        <v>905</v>
      </c>
      <c r="D90" s="2947" t="s">
        <v>907</v>
      </c>
      <c r="E90" s="2947" t="s">
        <v>955</v>
      </c>
      <c r="F90" s="2947" t="s">
        <v>956</v>
      </c>
      <c r="G90" s="2947" t="s">
        <v>906</v>
      </c>
      <c r="H90" s="2948" t="s">
        <v>957</v>
      </c>
      <c r="I90" s="1045"/>
      <c r="J90" s="1045"/>
      <c r="K90" s="1045"/>
      <c r="L90" s="1045"/>
      <c r="M90" s="1397"/>
      <c r="N90" s="2955"/>
      <c r="O90" s="2955"/>
      <c r="P90" s="1702"/>
      <c r="Q90" s="1414"/>
    </row>
    <row r="91" s="1082" customFormat="1" ht="15.75" spans="1:17">
      <c r="A91" s="1352"/>
      <c r="B91" s="1347"/>
      <c r="C91" s="1354">
        <v>100</v>
      </c>
      <c r="D91" s="1354">
        <v>99</v>
      </c>
      <c r="E91" s="1354">
        <v>98</v>
      </c>
      <c r="F91" s="1354">
        <v>97</v>
      </c>
      <c r="G91" s="1354">
        <v>96</v>
      </c>
      <c r="H91" s="1355">
        <v>95</v>
      </c>
      <c r="I91" s="1355"/>
      <c r="J91" s="1355"/>
      <c r="K91" s="1355"/>
      <c r="L91" s="1355"/>
      <c r="M91" s="1400"/>
      <c r="N91" s="2955"/>
      <c r="O91" s="2955"/>
      <c r="P91" s="1702"/>
      <c r="Q91" s="1414"/>
    </row>
    <row r="92" ht="15.75" spans="1:17">
      <c r="A92" s="1342"/>
      <c r="B92" s="1345" t="str">
        <f>B28</f>
        <v>楼层</v>
      </c>
      <c r="C92" s="2949" t="s">
        <v>909</v>
      </c>
      <c r="D92" s="2949" t="s">
        <v>910</v>
      </c>
      <c r="E92" s="2949" t="s">
        <v>911</v>
      </c>
      <c r="F92" s="2949"/>
      <c r="G92" s="2950"/>
      <c r="H92" s="2950"/>
      <c r="I92" s="2950"/>
      <c r="J92" s="2950"/>
      <c r="K92" s="2956"/>
      <c r="L92" s="2956"/>
      <c r="M92" s="1408"/>
      <c r="N92" s="2941"/>
      <c r="O92" s="2941"/>
      <c r="P92" s="1697"/>
      <c r="Q92" s="1382"/>
    </row>
    <row r="93" ht="15.75" spans="1:17">
      <c r="A93" s="1342"/>
      <c r="B93" s="1347"/>
      <c r="C93" s="2951" t="s">
        <v>958</v>
      </c>
      <c r="D93" s="2952" t="s">
        <v>959</v>
      </c>
      <c r="E93" s="2952" t="s">
        <v>960</v>
      </c>
      <c r="F93" s="2952"/>
      <c r="G93" s="2952"/>
      <c r="H93" s="2952"/>
      <c r="I93" s="2952"/>
      <c r="J93" s="2952"/>
      <c r="K93" s="2952"/>
      <c r="L93" s="2952"/>
      <c r="M93" s="1392"/>
      <c r="N93" s="2942"/>
      <c r="O93" s="2942"/>
      <c r="P93" s="1697"/>
      <c r="Q93" s="1382"/>
    </row>
    <row r="94" ht="15.75" spans="1:17">
      <c r="A94" s="1342"/>
      <c r="B94" s="1345">
        <f>B29</f>
        <v>111</v>
      </c>
      <c r="C94" s="1353"/>
      <c r="D94" s="1353"/>
      <c r="E94" s="1353"/>
      <c r="F94" s="1353"/>
      <c r="G94" s="1366"/>
      <c r="H94" s="1366"/>
      <c r="I94" s="1366"/>
      <c r="J94" s="1366"/>
      <c r="K94" s="1065"/>
      <c r="L94" s="1065"/>
      <c r="M94" s="1408"/>
      <c r="N94" s="2941"/>
      <c r="O94" s="2941"/>
      <c r="P94" s="1697"/>
      <c r="Q94" s="1382"/>
    </row>
    <row r="95" ht="15.75" spans="1:17">
      <c r="A95" s="1342"/>
      <c r="B95" s="1347"/>
      <c r="C95" s="1354"/>
      <c r="D95" s="1354"/>
      <c r="E95" s="1354"/>
      <c r="F95" s="1354"/>
      <c r="G95" s="1344"/>
      <c r="H95" s="1344"/>
      <c r="I95" s="1344"/>
      <c r="J95" s="1344"/>
      <c r="K95" s="1344"/>
      <c r="L95" s="1344"/>
      <c r="M95" s="1392"/>
      <c r="N95" s="2942"/>
      <c r="O95" s="2942"/>
      <c r="P95" s="1697"/>
      <c r="Q95" s="1382"/>
    </row>
    <row r="96" ht="15.75" spans="1:17">
      <c r="A96" s="1342"/>
      <c r="B96" s="1345">
        <f>B30</f>
        <v>111</v>
      </c>
      <c r="C96" s="1353"/>
      <c r="D96" s="1353"/>
      <c r="E96" s="1353"/>
      <c r="F96" s="1353"/>
      <c r="G96" s="1366"/>
      <c r="H96" s="1366"/>
      <c r="I96" s="1366"/>
      <c r="J96" s="1366"/>
      <c r="K96" s="1065"/>
      <c r="L96" s="1065"/>
      <c r="M96" s="1408"/>
      <c r="N96" s="2941"/>
      <c r="O96" s="2941"/>
      <c r="P96" s="1697"/>
      <c r="Q96" s="1382"/>
    </row>
    <row r="97" ht="15.75" spans="1:17">
      <c r="A97" s="1342"/>
      <c r="B97" s="1347"/>
      <c r="C97" s="1358"/>
      <c r="D97" s="1358"/>
      <c r="E97" s="1358"/>
      <c r="F97" s="1358"/>
      <c r="G97" s="1344"/>
      <c r="H97" s="1344"/>
      <c r="I97" s="1344"/>
      <c r="J97" s="1344"/>
      <c r="K97" s="1344"/>
      <c r="L97" s="1344"/>
      <c r="M97" s="1392"/>
      <c r="N97" s="2942"/>
      <c r="O97" s="2942"/>
      <c r="P97" s="1697"/>
      <c r="Q97" s="1382"/>
    </row>
    <row r="98" ht="15.75" spans="1:17">
      <c r="A98" s="1342"/>
      <c r="B98" s="1349">
        <f>B31</f>
        <v>111</v>
      </c>
      <c r="C98" s="1367"/>
      <c r="D98" s="1367"/>
      <c r="E98" s="1367"/>
      <c r="F98" s="1367"/>
      <c r="G98" s="1367"/>
      <c r="H98" s="1367"/>
      <c r="I98" s="1367"/>
      <c r="J98" s="1367"/>
      <c r="K98" s="1068"/>
      <c r="L98" s="1068"/>
      <c r="M98" s="1409"/>
      <c r="N98" s="2941"/>
      <c r="O98" s="2941"/>
      <c r="P98" s="1697"/>
      <c r="Q98" s="1382"/>
    </row>
    <row r="99" ht="15.75" spans="1:17">
      <c r="A99" s="1653"/>
      <c r="B99" s="1357"/>
      <c r="C99" s="1368"/>
      <c r="D99" s="1368"/>
      <c r="E99" s="1368"/>
      <c r="F99" s="1368"/>
      <c r="G99" s="1368"/>
      <c r="H99" s="1368"/>
      <c r="I99" s="1368"/>
      <c r="J99" s="1368"/>
      <c r="K99" s="1368"/>
      <c r="L99" s="1368"/>
      <c r="M99" s="1410"/>
      <c r="N99" s="2942"/>
      <c r="O99" s="2942"/>
      <c r="P99" s="1697"/>
      <c r="Q99" s="1382"/>
    </row>
    <row r="100" spans="1:17">
      <c r="A100" s="1340" t="s">
        <v>912</v>
      </c>
      <c r="B100" s="1341" t="s">
        <v>913</v>
      </c>
      <c r="C100" s="2953" t="s">
        <v>914</v>
      </c>
      <c r="D100" s="2953" t="s">
        <v>961</v>
      </c>
      <c r="E100" s="2953" t="s">
        <v>962</v>
      </c>
      <c r="F100" s="2953" t="s">
        <v>915</v>
      </c>
      <c r="G100" s="1268"/>
      <c r="H100" s="1268"/>
      <c r="I100" s="1268"/>
      <c r="J100" s="1268"/>
      <c r="K100" s="1032"/>
      <c r="L100" s="1032"/>
      <c r="M100" s="1389"/>
      <c r="N100" s="2941"/>
      <c r="O100" s="2941"/>
      <c r="P100" s="1697"/>
      <c r="Q100" s="1382"/>
    </row>
    <row r="101" ht="15.75" spans="1:17">
      <c r="A101" s="1342"/>
      <c r="B101" s="1347"/>
      <c r="C101" s="1348">
        <v>100</v>
      </c>
      <c r="D101" s="1348">
        <f t="shared" ref="D101:M101" si="22">C101-$K32</f>
        <v>99</v>
      </c>
      <c r="E101" s="1348">
        <f t="shared" si="22"/>
        <v>98</v>
      </c>
      <c r="F101" s="1348">
        <f t="shared" si="22"/>
        <v>97</v>
      </c>
      <c r="G101" s="1348">
        <f t="shared" si="22"/>
        <v>96</v>
      </c>
      <c r="H101" s="1348">
        <f t="shared" si="22"/>
        <v>95</v>
      </c>
      <c r="I101" s="1348">
        <f t="shared" si="22"/>
        <v>94</v>
      </c>
      <c r="J101" s="1348">
        <f t="shared" si="22"/>
        <v>93</v>
      </c>
      <c r="K101" s="1348">
        <f t="shared" si="22"/>
        <v>92</v>
      </c>
      <c r="L101" s="1348">
        <f t="shared" si="22"/>
        <v>91</v>
      </c>
      <c r="M101" s="1348">
        <f t="shared" si="22"/>
        <v>90</v>
      </c>
      <c r="N101" s="2942"/>
      <c r="O101" s="2942"/>
      <c r="P101" s="1697"/>
      <c r="Q101" s="1382"/>
    </row>
    <row r="102" ht="15.75" spans="1:17">
      <c r="A102" s="1342"/>
      <c r="B102" s="1345" t="s">
        <v>917</v>
      </c>
      <c r="C102" s="1058" t="str">
        <f>C103&amp;"(含)"&amp;"-"&amp;D103</f>
        <v>0(含)-60</v>
      </c>
      <c r="D102" s="1058" t="str">
        <f t="shared" ref="D102:L102" si="23">D103&amp;"(含)"&amp;"-"&amp;E103</f>
        <v>60(含)-90</v>
      </c>
      <c r="E102" s="1058" t="str">
        <f t="shared" si="23"/>
        <v>90(含)-121</v>
      </c>
      <c r="F102" s="1058" t="str">
        <f t="shared" si="23"/>
        <v>121(含)-150</v>
      </c>
      <c r="G102" s="1058" t="str">
        <f t="shared" si="23"/>
        <v>150(含)-180</v>
      </c>
      <c r="H102" s="1058" t="str">
        <f t="shared" si="23"/>
        <v>180(含)-</v>
      </c>
      <c r="I102" s="1058" t="str">
        <f t="shared" si="23"/>
        <v>(含)-</v>
      </c>
      <c r="J102" s="1058" t="str">
        <f t="shared" si="23"/>
        <v>(含)-</v>
      </c>
      <c r="K102" s="1058" t="str">
        <f t="shared" si="23"/>
        <v>(含)-</v>
      </c>
      <c r="L102" s="1058" t="str">
        <f t="shared" si="23"/>
        <v>(含)-</v>
      </c>
      <c r="M102" s="1058" t="str">
        <f>M103&amp;"(含)"&amp;"-"&amp;P103</f>
        <v>(含)-</v>
      </c>
      <c r="N102" s="2940"/>
      <c r="O102" s="2940"/>
      <c r="P102" s="1697"/>
      <c r="Q102" s="1382"/>
    </row>
    <row r="103" s="1082" customFormat="1" ht="15" spans="1:17">
      <c r="A103" s="1369"/>
      <c r="B103" s="1370"/>
      <c r="C103" s="1330">
        <v>0</v>
      </c>
      <c r="D103" s="1330">
        <v>60</v>
      </c>
      <c r="E103" s="1330">
        <v>90</v>
      </c>
      <c r="F103" s="1330">
        <v>121</v>
      </c>
      <c r="G103" s="1330">
        <v>150</v>
      </c>
      <c r="H103" s="1330">
        <v>180</v>
      </c>
      <c r="I103" s="1330"/>
      <c r="J103" s="1072"/>
      <c r="K103" s="1072"/>
      <c r="L103" s="1072"/>
      <c r="M103" s="1411"/>
      <c r="N103" s="2955"/>
      <c r="O103" s="2955"/>
      <c r="P103" s="1702"/>
      <c r="Q103" s="1414"/>
    </row>
    <row r="104" s="1082" customFormat="1" ht="15.75" spans="1:17">
      <c r="A104" s="1352"/>
      <c r="B104" s="1347"/>
      <c r="C104" s="1354">
        <v>100</v>
      </c>
      <c r="D104" s="1344">
        <v>97</v>
      </c>
      <c r="E104" s="1344">
        <v>94</v>
      </c>
      <c r="F104" s="1344">
        <v>91</v>
      </c>
      <c r="G104" s="1344">
        <v>88</v>
      </c>
      <c r="H104" s="1344">
        <v>85</v>
      </c>
      <c r="I104" s="1344"/>
      <c r="J104" s="1344"/>
      <c r="K104" s="1344"/>
      <c r="L104" s="1344"/>
      <c r="M104" s="1344"/>
      <c r="N104" s="2942"/>
      <c r="O104" s="2942"/>
      <c r="P104" s="1702"/>
      <c r="Q104" s="1414"/>
    </row>
    <row r="105" ht="15.75" spans="1:17">
      <c r="A105" s="1372"/>
      <c r="B105" s="1345" t="s">
        <v>918</v>
      </c>
      <c r="C105" s="2947" t="s">
        <v>920</v>
      </c>
      <c r="D105" s="2947" t="s">
        <v>919</v>
      </c>
      <c r="E105" s="1366"/>
      <c r="F105" s="1366"/>
      <c r="G105" s="1366"/>
      <c r="H105" s="1366"/>
      <c r="I105" s="1366"/>
      <c r="J105" s="1366"/>
      <c r="K105" s="1065"/>
      <c r="L105" s="1065"/>
      <c r="M105" s="1408"/>
      <c r="N105" s="2941"/>
      <c r="O105" s="2941"/>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942"/>
      <c r="O106" s="2942"/>
      <c r="P106" s="1697"/>
      <c r="Q106" s="1382"/>
    </row>
    <row r="107" ht="15.75" spans="1:17">
      <c r="A107" s="1372"/>
      <c r="B107" s="1345" t="s">
        <v>921</v>
      </c>
      <c r="C107" s="1366" t="s">
        <v>898</v>
      </c>
      <c r="D107" s="1366"/>
      <c r="E107" s="1366"/>
      <c r="F107" s="1366"/>
      <c r="G107" s="1366"/>
      <c r="H107" s="1366"/>
      <c r="I107" s="1366"/>
      <c r="J107" s="1366"/>
      <c r="K107" s="1065"/>
      <c r="L107" s="1065"/>
      <c r="M107" s="1408"/>
      <c r="N107" s="2941"/>
      <c r="O107" s="2941"/>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942"/>
      <c r="O108" s="2942"/>
      <c r="P108" s="1697"/>
      <c r="Q108" s="1382"/>
    </row>
    <row r="109" ht="15.75" spans="1:17">
      <c r="A109" s="1372"/>
      <c r="B109" s="1345" t="s">
        <v>922</v>
      </c>
      <c r="C109" s="2947" t="s">
        <v>931</v>
      </c>
      <c r="D109" s="1353"/>
      <c r="E109" s="1353"/>
      <c r="F109" s="1366"/>
      <c r="G109" s="1366"/>
      <c r="H109" s="1366"/>
      <c r="I109" s="1366"/>
      <c r="J109" s="1366"/>
      <c r="K109" s="1065"/>
      <c r="L109" s="1065"/>
      <c r="M109" s="1408"/>
      <c r="N109" s="2941"/>
      <c r="O109" s="2941"/>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942"/>
      <c r="O110" s="2942"/>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955"/>
      <c r="O111" s="2955"/>
      <c r="P111" s="1702"/>
      <c r="Q111" s="1414"/>
    </row>
    <row r="112" s="1082" customFormat="1" ht="15" spans="1:17">
      <c r="A112" s="1369"/>
      <c r="B112" s="1349"/>
      <c r="C112" s="642">
        <v>0.5</v>
      </c>
      <c r="D112" s="642">
        <v>0.6</v>
      </c>
      <c r="E112" s="642">
        <v>0.7</v>
      </c>
      <c r="F112" s="642">
        <v>0.8</v>
      </c>
      <c r="G112" s="642">
        <v>0.9</v>
      </c>
      <c r="H112" s="642">
        <v>1.0001</v>
      </c>
      <c r="I112" s="642"/>
      <c r="J112" s="2957"/>
      <c r="K112" s="2957"/>
      <c r="L112" s="2957"/>
      <c r="M112" s="2958"/>
      <c r="N112" s="2955"/>
      <c r="O112" s="295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955"/>
      <c r="O113" s="2955"/>
      <c r="P113" s="1702"/>
      <c r="Q113" s="1414"/>
    </row>
    <row r="114" ht="15.75" spans="1:17">
      <c r="A114" s="1372"/>
      <c r="B114" s="1345" t="s">
        <v>924</v>
      </c>
      <c r="C114" s="2947" t="s">
        <v>925</v>
      </c>
      <c r="D114" s="2947" t="s">
        <v>926</v>
      </c>
      <c r="E114" s="1366"/>
      <c r="F114" s="1366"/>
      <c r="G114" s="1366"/>
      <c r="H114" s="1366"/>
      <c r="I114" s="1366"/>
      <c r="J114" s="1366"/>
      <c r="K114" s="1065"/>
      <c r="L114" s="1065"/>
      <c r="M114" s="1408"/>
      <c r="N114" s="2941"/>
      <c r="O114" s="2941"/>
      <c r="P114" s="1697"/>
      <c r="Q114" s="1382"/>
    </row>
    <row r="115" ht="15.75" spans="1:17">
      <c r="A115" s="1342"/>
      <c r="B115" s="1347"/>
      <c r="C115" s="1348">
        <v>100</v>
      </c>
      <c r="D115" s="1348">
        <f t="shared" ref="D115:M115" si="27">C115-$K38</f>
        <v>99.5</v>
      </c>
      <c r="E115" s="1348">
        <f t="shared" si="27"/>
        <v>99</v>
      </c>
      <c r="F115" s="1348">
        <f t="shared" si="27"/>
        <v>98.5</v>
      </c>
      <c r="G115" s="1348">
        <f t="shared" si="27"/>
        <v>98</v>
      </c>
      <c r="H115" s="1348">
        <f t="shared" si="27"/>
        <v>97.5</v>
      </c>
      <c r="I115" s="1348">
        <f t="shared" si="27"/>
        <v>97</v>
      </c>
      <c r="J115" s="1348">
        <f t="shared" si="27"/>
        <v>96.5</v>
      </c>
      <c r="K115" s="1348">
        <f t="shared" si="27"/>
        <v>96</v>
      </c>
      <c r="L115" s="1348">
        <f t="shared" si="27"/>
        <v>95.5</v>
      </c>
      <c r="M115" s="1348">
        <f t="shared" si="27"/>
        <v>95</v>
      </c>
      <c r="N115" s="2942"/>
      <c r="O115" s="2942"/>
      <c r="P115" s="1697"/>
      <c r="Q115" s="1382"/>
    </row>
    <row r="116" ht="15.75" spans="1:17">
      <c r="A116" s="1372"/>
      <c r="B116" s="1345" t="s">
        <v>927</v>
      </c>
      <c r="C116" s="2947" t="s">
        <v>900</v>
      </c>
      <c r="D116" s="1353"/>
      <c r="E116" s="1353"/>
      <c r="F116" s="1353"/>
      <c r="G116" s="1353"/>
      <c r="H116" s="1366"/>
      <c r="I116" s="1366"/>
      <c r="J116" s="1366"/>
      <c r="K116" s="1065"/>
      <c r="L116" s="1065"/>
      <c r="M116" s="1408"/>
      <c r="N116" s="2941"/>
      <c r="O116" s="2941"/>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942"/>
      <c r="O117" s="2942"/>
      <c r="P117" s="1697"/>
      <c r="Q117" s="1382"/>
    </row>
    <row r="118" ht="15.75" spans="1:17">
      <c r="A118" s="1372"/>
      <c r="B118" s="1345" t="s">
        <v>928</v>
      </c>
      <c r="C118" s="1366"/>
      <c r="D118" s="1366"/>
      <c r="E118" s="1366"/>
      <c r="F118" s="1366"/>
      <c r="G118" s="1366"/>
      <c r="H118" s="1366"/>
      <c r="I118" s="1366"/>
      <c r="J118" s="1366"/>
      <c r="K118" s="1065"/>
      <c r="L118" s="1065"/>
      <c r="M118" s="1408"/>
      <c r="N118" s="2941"/>
      <c r="O118" s="2941"/>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942"/>
      <c r="O119" s="2942"/>
      <c r="P119" s="1697"/>
      <c r="Q119" s="1382"/>
    </row>
    <row r="120" s="1082" customFormat="1" ht="28.5" spans="1:17">
      <c r="A120" s="1369"/>
      <c r="B120" s="1345" t="s">
        <v>929</v>
      </c>
      <c r="C120" s="1353"/>
      <c r="D120" s="1353"/>
      <c r="E120" s="1353"/>
      <c r="F120" s="1353"/>
      <c r="G120" s="1353"/>
      <c r="H120" s="1353"/>
      <c r="I120" s="1353"/>
      <c r="J120" s="1353"/>
      <c r="K120" s="1353"/>
      <c r="L120" s="1353"/>
      <c r="M120" s="1655"/>
      <c r="N120" s="2955"/>
      <c r="O120" s="2955"/>
      <c r="P120" s="1702"/>
      <c r="Q120" s="1414"/>
    </row>
    <row r="121" s="1082" customFormat="1" ht="15.75" spans="1:17">
      <c r="A121" s="1352"/>
      <c r="B121" s="1343"/>
      <c r="C121" s="1354"/>
      <c r="D121" s="1344"/>
      <c r="E121" s="1344"/>
      <c r="F121" s="1344"/>
      <c r="G121" s="1344"/>
      <c r="H121" s="1344"/>
      <c r="I121" s="1344"/>
      <c r="J121" s="1344"/>
      <c r="K121" s="1344"/>
      <c r="L121" s="1344"/>
      <c r="M121" s="1344"/>
      <c r="N121" s="2955"/>
      <c r="O121" s="2955"/>
      <c r="P121" s="1702"/>
      <c r="Q121" s="1414"/>
    </row>
    <row r="122" ht="15.75" spans="1:17">
      <c r="A122" s="1372"/>
      <c r="B122" s="1345" t="s">
        <v>930</v>
      </c>
      <c r="C122" s="2947" t="s">
        <v>963</v>
      </c>
      <c r="D122" s="2947" t="s">
        <v>932</v>
      </c>
      <c r="E122" s="2947" t="s">
        <v>931</v>
      </c>
      <c r="F122" s="2954" t="s">
        <v>964</v>
      </c>
      <c r="G122" s="1366"/>
      <c r="H122" s="1366"/>
      <c r="I122" s="1366"/>
      <c r="J122" s="1366"/>
      <c r="K122" s="1065"/>
      <c r="L122" s="1065"/>
      <c r="M122" s="1408"/>
      <c r="N122" s="2941"/>
      <c r="O122" s="2941"/>
      <c r="P122" s="1697"/>
      <c r="Q122" s="1382"/>
    </row>
    <row r="123" ht="15.75" spans="1:17">
      <c r="A123" s="1342"/>
      <c r="B123" s="1347"/>
      <c r="C123" s="1348">
        <v>100</v>
      </c>
      <c r="D123" s="1348">
        <f t="shared" ref="D123:M123" si="29">C123-$K42</f>
        <v>95</v>
      </c>
      <c r="E123" s="1348">
        <f t="shared" si="29"/>
        <v>90</v>
      </c>
      <c r="F123" s="1348">
        <f t="shared" si="29"/>
        <v>85</v>
      </c>
      <c r="G123" s="1348">
        <f t="shared" si="29"/>
        <v>80</v>
      </c>
      <c r="H123" s="1348">
        <f t="shared" si="29"/>
        <v>75</v>
      </c>
      <c r="I123" s="1348">
        <f t="shared" si="29"/>
        <v>70</v>
      </c>
      <c r="J123" s="1348">
        <f t="shared" si="29"/>
        <v>65</v>
      </c>
      <c r="K123" s="1348">
        <f t="shared" si="29"/>
        <v>60</v>
      </c>
      <c r="L123" s="1348">
        <f t="shared" si="29"/>
        <v>55</v>
      </c>
      <c r="M123" s="1348">
        <f t="shared" si="29"/>
        <v>50</v>
      </c>
      <c r="N123" s="2942"/>
      <c r="O123" s="2942"/>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941"/>
      <c r="O124" s="2941"/>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942"/>
      <c r="O125" s="2942"/>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955"/>
      <c r="O126" s="2955"/>
      <c r="P126" s="1702"/>
      <c r="Q126" s="1414"/>
    </row>
    <row r="127" s="1082" customFormat="1" ht="15.75" spans="1:17">
      <c r="A127" s="1352"/>
      <c r="B127" s="1347"/>
      <c r="C127" s="1354"/>
      <c r="D127" s="1344"/>
      <c r="E127" s="1344"/>
      <c r="F127" s="1344"/>
      <c r="G127" s="1354"/>
      <c r="H127" s="1355"/>
      <c r="I127" s="1355"/>
      <c r="J127" s="1355"/>
      <c r="K127" s="1355"/>
      <c r="L127" s="1355"/>
      <c r="M127" s="1400"/>
      <c r="N127" s="2955"/>
      <c r="O127" s="2955"/>
      <c r="P127" s="1702"/>
      <c r="Q127" s="1414"/>
    </row>
    <row r="128" ht="15.75" spans="1:17">
      <c r="A128" s="1372"/>
      <c r="B128" s="1345">
        <f>B45</f>
        <v>111</v>
      </c>
      <c r="C128" s="1353"/>
      <c r="D128" s="1353"/>
      <c r="E128" s="1353"/>
      <c r="F128" s="1353"/>
      <c r="G128" s="1366"/>
      <c r="H128" s="1366"/>
      <c r="I128" s="1366"/>
      <c r="J128" s="1366"/>
      <c r="K128" s="1065"/>
      <c r="L128" s="1065"/>
      <c r="M128" s="1408"/>
      <c r="N128" s="2941"/>
      <c r="O128" s="2941"/>
      <c r="P128" s="1697"/>
      <c r="Q128" s="1382"/>
    </row>
    <row r="129" ht="15.75" spans="1:17">
      <c r="A129" s="1342"/>
      <c r="B129" s="1347"/>
      <c r="C129" s="1354"/>
      <c r="D129" s="1354"/>
      <c r="E129" s="1354"/>
      <c r="F129" s="1354"/>
      <c r="G129" s="1344"/>
      <c r="H129" s="1344"/>
      <c r="I129" s="1344"/>
      <c r="J129" s="1344"/>
      <c r="K129" s="1344"/>
      <c r="L129" s="1344"/>
      <c r="M129" s="1392"/>
      <c r="N129" s="2942"/>
      <c r="O129" s="2942"/>
      <c r="P129" s="1697"/>
      <c r="Q129" s="1382"/>
    </row>
    <row r="130" ht="15.75" spans="1:17">
      <c r="A130" s="1372"/>
      <c r="B130" s="1349">
        <f>B46</f>
        <v>111</v>
      </c>
      <c r="C130" s="1353"/>
      <c r="D130" s="1353"/>
      <c r="E130" s="1353"/>
      <c r="F130" s="1353"/>
      <c r="G130" s="1367"/>
      <c r="H130" s="1367"/>
      <c r="I130" s="1367"/>
      <c r="J130" s="1367"/>
      <c r="K130" s="1026"/>
      <c r="L130" s="1026"/>
      <c r="M130" s="1409"/>
      <c r="N130" s="2941"/>
      <c r="O130" s="2941"/>
      <c r="P130" s="1697"/>
      <c r="Q130" s="1382"/>
    </row>
    <row r="131" ht="15.75" spans="1:17">
      <c r="A131" s="1653"/>
      <c r="B131" s="1357"/>
      <c r="C131" s="1358"/>
      <c r="D131" s="1358"/>
      <c r="E131" s="1358"/>
      <c r="F131" s="1358"/>
      <c r="G131" s="1368"/>
      <c r="H131" s="1368"/>
      <c r="I131" s="1368"/>
      <c r="J131" s="1368"/>
      <c r="K131" s="1368"/>
      <c r="L131" s="1368"/>
      <c r="M131" s="1410"/>
      <c r="N131" s="2942"/>
      <c r="O131" s="2942"/>
      <c r="P131" s="1697"/>
      <c r="Q131" s="1382"/>
    </row>
    <row r="136" ht="15" spans="2:2">
      <c r="B136" s="2959" t="s">
        <v>965</v>
      </c>
    </row>
    <row r="137" ht="15" spans="2:11">
      <c r="B137" s="2960" t="s">
        <v>966</v>
      </c>
      <c r="C137" s="2961"/>
      <c r="D137" s="2961"/>
      <c r="E137" s="2961"/>
      <c r="F137" s="2961"/>
      <c r="G137" s="2962"/>
      <c r="H137" s="2963"/>
      <c r="I137" s="2987" t="s">
        <v>967</v>
      </c>
      <c r="J137" s="2961"/>
      <c r="K137" s="2988"/>
    </row>
    <row r="138" ht="15" spans="2:11">
      <c r="B138" s="2964"/>
      <c r="C138" s="1218" t="s">
        <v>968</v>
      </c>
      <c r="D138" s="1218" t="s">
        <v>969</v>
      </c>
      <c r="E138" s="2965" t="s">
        <v>970</v>
      </c>
      <c r="F138" s="2966" t="s">
        <v>971</v>
      </c>
      <c r="G138" s="1218" t="s">
        <v>969</v>
      </c>
      <c r="H138" s="2967" t="s">
        <v>970</v>
      </c>
      <c r="I138" s="2989"/>
      <c r="J138" s="1218" t="s">
        <v>972</v>
      </c>
      <c r="K138" s="2967" t="s">
        <v>973</v>
      </c>
    </row>
    <row r="139" ht="15" spans="2:11">
      <c r="B139" s="2968">
        <v>6</v>
      </c>
      <c r="C139" s="2969">
        <v>96</v>
      </c>
      <c r="D139" s="2970" t="s">
        <v>974</v>
      </c>
      <c r="E139" s="2971">
        <v>100</v>
      </c>
      <c r="F139" s="2972">
        <v>102.5</v>
      </c>
      <c r="G139" s="2970" t="s">
        <v>974</v>
      </c>
      <c r="H139" s="2973">
        <v>105</v>
      </c>
      <c r="I139" s="2990" t="s">
        <v>975</v>
      </c>
      <c r="J139" s="2969">
        <v>20</v>
      </c>
      <c r="K139" s="2991">
        <f>C145/(J139-2)</f>
        <v>0.00405555555555556</v>
      </c>
    </row>
    <row r="140" ht="15" spans="2:11">
      <c r="B140" s="2974">
        <v>5</v>
      </c>
      <c r="C140" s="2975">
        <v>100</v>
      </c>
      <c r="D140" s="2975"/>
      <c r="E140" s="2976"/>
      <c r="F140" s="2977">
        <v>102</v>
      </c>
      <c r="G140" s="2975"/>
      <c r="H140" s="2978"/>
      <c r="I140" s="2992" t="s">
        <v>976</v>
      </c>
      <c r="J140" s="2993">
        <f>ROUNDUP((J139-1)/2,0)</f>
        <v>10</v>
      </c>
      <c r="K140" s="2994">
        <v>100</v>
      </c>
    </row>
    <row r="141" ht="15" spans="2:11">
      <c r="B141" s="2974">
        <v>4</v>
      </c>
      <c r="C141" s="2975">
        <v>102</v>
      </c>
      <c r="D141" s="2975"/>
      <c r="E141" s="2976"/>
      <c r="F141" s="2977">
        <v>101.5</v>
      </c>
      <c r="G141" s="2975"/>
      <c r="H141" s="2978"/>
      <c r="I141" s="2992" t="s">
        <v>977</v>
      </c>
      <c r="J141" s="2993">
        <v>1</v>
      </c>
      <c r="K141" s="2995">
        <f>ROUND(100+(J141-J140)*K139*100,1)</f>
        <v>96.4</v>
      </c>
    </row>
    <row r="142" ht="15" spans="2:11">
      <c r="B142" s="2974">
        <v>3</v>
      </c>
      <c r="C142" s="2975">
        <v>103</v>
      </c>
      <c r="D142" s="2975"/>
      <c r="E142" s="2976"/>
      <c r="F142" s="2977">
        <v>101</v>
      </c>
      <c r="G142" s="2975"/>
      <c r="H142" s="2978"/>
      <c r="I142" s="2992" t="s">
        <v>978</v>
      </c>
      <c r="J142" s="2993">
        <f>J139</f>
        <v>20</v>
      </c>
      <c r="K142" s="2996">
        <v>95</v>
      </c>
    </row>
    <row r="143" ht="15" spans="2:11">
      <c r="B143" s="2974">
        <v>2</v>
      </c>
      <c r="C143" s="2975">
        <v>100</v>
      </c>
      <c r="D143" s="2975"/>
      <c r="E143" s="2976"/>
      <c r="F143" s="2977">
        <v>100.5</v>
      </c>
      <c r="G143" s="2975"/>
      <c r="H143" s="2978"/>
      <c r="I143" s="2992" t="s">
        <v>979</v>
      </c>
      <c r="J143" s="2975">
        <v>15</v>
      </c>
      <c r="K143" s="2995">
        <f>ROUND(100+(J143-J140)*K139*100,1)</f>
        <v>102</v>
      </c>
    </row>
    <row r="144" ht="15" spans="2:11">
      <c r="B144" s="2974">
        <v>1</v>
      </c>
      <c r="C144" s="2975">
        <v>98</v>
      </c>
      <c r="D144" s="2979" t="s">
        <v>980</v>
      </c>
      <c r="E144" s="2976">
        <v>102</v>
      </c>
      <c r="F144" s="2980">
        <v>100</v>
      </c>
      <c r="G144" s="2979" t="s">
        <v>980</v>
      </c>
      <c r="H144" s="2978">
        <v>105</v>
      </c>
      <c r="I144" s="2992" t="s">
        <v>979</v>
      </c>
      <c r="J144" s="2975">
        <v>18</v>
      </c>
      <c r="K144" s="2995">
        <f>ROUND(100+(J144-J140)*K139*100,1)</f>
        <v>103.2</v>
      </c>
    </row>
    <row r="145" ht="15.75" spans="2:11">
      <c r="B145" s="2981" t="s">
        <v>981</v>
      </c>
      <c r="C145" s="2982">
        <f>ROUND(MAX(C139:C144)/MIN(C139:C144)-1,3)</f>
        <v>0.073</v>
      </c>
      <c r="D145" s="2983"/>
      <c r="E145" s="2983"/>
      <c r="F145" s="2984" t="s">
        <v>982</v>
      </c>
      <c r="G145" s="2985"/>
      <c r="H145" s="2986"/>
      <c r="I145" s="2997" t="s">
        <v>979</v>
      </c>
      <c r="J145" s="2998">
        <v>8</v>
      </c>
      <c r="K145" s="2999">
        <f>ROUND(100+(J145-J140)*K139*100,1)</f>
        <v>99.2</v>
      </c>
    </row>
    <row r="147" spans="2:2">
      <c r="B147" s="2959" t="s">
        <v>983</v>
      </c>
    </row>
    <row r="148" spans="2:2">
      <c r="B148" s="2959" t="s">
        <v>984</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U311"/>
  <sheetViews>
    <sheetView topLeftCell="F1" workbookViewId="0">
      <selection activeCell="T324" sqref="T324"/>
    </sheetView>
  </sheetViews>
  <sheetFormatPr defaultColWidth="9" defaultRowHeight="13.5"/>
  <cols>
    <col min="1" max="1" width="29.125" style="2481" customWidth="1"/>
    <col min="2" max="5" width="9" style="2481"/>
    <col min="6" max="6" width="15.125" style="2481" customWidth="1"/>
    <col min="7" max="16384" width="9" style="2481"/>
  </cols>
  <sheetData>
    <row r="1" spans="1:73">
      <c r="A1" s="2511"/>
      <c r="B1" s="2512"/>
      <c r="C1" s="2511"/>
      <c r="D1" s="2511"/>
      <c r="E1" s="2511"/>
      <c r="F1" s="2511"/>
      <c r="G1" s="2511"/>
      <c r="H1" s="2511"/>
      <c r="I1" s="2511"/>
      <c r="J1" s="2511"/>
      <c r="K1" s="2512"/>
      <c r="L1" s="2540"/>
      <c r="M1" s="2512"/>
      <c r="N1" s="2512"/>
      <c r="O1" s="2512"/>
      <c r="P1" s="2512"/>
      <c r="Q1" s="2552"/>
      <c r="R1" s="2540"/>
      <c r="S1" s="2540"/>
      <c r="T1" s="2553"/>
      <c r="U1" s="2552"/>
      <c r="V1" s="2512" t="s">
        <v>985</v>
      </c>
      <c r="W1" s="2512"/>
      <c r="X1" s="2553"/>
      <c r="Y1" s="2512"/>
      <c r="Z1" s="2512" t="s">
        <v>986</v>
      </c>
      <c r="AA1" s="2512"/>
      <c r="AB1" s="2512"/>
      <c r="AC1" s="2512"/>
      <c r="AD1" s="2512"/>
      <c r="AE1" s="2512"/>
      <c r="AF1" s="2512"/>
      <c r="AG1" s="2512"/>
      <c r="AH1" s="2512"/>
      <c r="AI1" s="2512"/>
      <c r="AJ1" s="2597"/>
      <c r="AK1" s="2512"/>
      <c r="AL1" s="2495" t="s">
        <v>987</v>
      </c>
      <c r="AM1" s="2495"/>
      <c r="AN1" s="2495" t="s">
        <v>988</v>
      </c>
      <c r="AO1" s="2495" t="s">
        <v>989</v>
      </c>
      <c r="AP1" s="2495"/>
      <c r="AQ1" s="2495"/>
      <c r="AR1" s="2482"/>
      <c r="AS1" s="2482" t="s">
        <v>990</v>
      </c>
      <c r="AT1" s="2482"/>
      <c r="AU1" s="2482"/>
      <c r="AV1" s="2495"/>
      <c r="AW1" s="2624"/>
      <c r="AX1" s="2624"/>
      <c r="AY1" s="2625"/>
      <c r="AZ1" s="2624"/>
      <c r="BA1" s="2624"/>
      <c r="BB1" s="2625"/>
      <c r="BC1" s="2624"/>
      <c r="BD1" s="2626"/>
      <c r="BE1" s="2624"/>
      <c r="BF1" s="2645"/>
      <c r="BG1" s="2646"/>
      <c r="BH1" s="2624"/>
      <c r="BI1" s="2624"/>
      <c r="BJ1" s="2647" t="s">
        <v>991</v>
      </c>
      <c r="BK1" s="2647" t="s">
        <v>992</v>
      </c>
      <c r="BL1" s="2512"/>
      <c r="BM1" s="2675"/>
      <c r="BN1" s="2675"/>
      <c r="BO1" s="2675"/>
      <c r="BP1" s="2675"/>
      <c r="BQ1" s="2482"/>
      <c r="BR1" s="2482"/>
      <c r="BS1" s="2676"/>
      <c r="BT1" s="2676"/>
      <c r="BU1" s="2676"/>
    </row>
    <row r="2" spans="1:73">
      <c r="A2" s="2513" t="s">
        <v>690</v>
      </c>
      <c r="B2" s="2495" t="s">
        <v>993</v>
      </c>
      <c r="C2" s="2513" t="s">
        <v>994</v>
      </c>
      <c r="D2" s="2513" t="s">
        <v>995</v>
      </c>
      <c r="E2" s="2513" t="s">
        <v>996</v>
      </c>
      <c r="F2" s="2513" t="s">
        <v>997</v>
      </c>
      <c r="G2" s="2513" t="s">
        <v>998</v>
      </c>
      <c r="H2" s="2513" t="s">
        <v>999</v>
      </c>
      <c r="I2" s="2513" t="s">
        <v>1000</v>
      </c>
      <c r="J2" s="2513" t="s">
        <v>1001</v>
      </c>
      <c r="K2" s="2495" t="s">
        <v>1002</v>
      </c>
      <c r="L2" s="2541" t="s">
        <v>1003</v>
      </c>
      <c r="M2" s="2495" t="s">
        <v>1004</v>
      </c>
      <c r="N2" s="2495" t="s">
        <v>1005</v>
      </c>
      <c r="O2" s="2495" t="s">
        <v>1006</v>
      </c>
      <c r="P2" s="2495" t="s">
        <v>1007</v>
      </c>
      <c r="Q2" s="2554" t="s">
        <v>1008</v>
      </c>
      <c r="R2" s="2541" t="s">
        <v>1009</v>
      </c>
      <c r="S2" s="2541" t="s">
        <v>1010</v>
      </c>
      <c r="T2" s="2555" t="s">
        <v>1011</v>
      </c>
      <c r="U2" s="2554" t="s">
        <v>1012</v>
      </c>
      <c r="V2" s="2495" t="s">
        <v>1013</v>
      </c>
      <c r="W2" s="2495" t="s">
        <v>1014</v>
      </c>
      <c r="X2" s="2555" t="s">
        <v>716</v>
      </c>
      <c r="Y2" s="2495" t="s">
        <v>1015</v>
      </c>
      <c r="Z2" s="2495" t="s">
        <v>1016</v>
      </c>
      <c r="AA2" s="2495" t="s">
        <v>1017</v>
      </c>
      <c r="AB2" s="2495" t="s">
        <v>1018</v>
      </c>
      <c r="AC2" s="2495" t="s">
        <v>1019</v>
      </c>
      <c r="AD2" s="2495" t="s">
        <v>1020</v>
      </c>
      <c r="AE2" s="2495" t="s">
        <v>1021</v>
      </c>
      <c r="AF2" s="2495" t="s">
        <v>1022</v>
      </c>
      <c r="AG2" s="2495" t="s">
        <v>1023</v>
      </c>
      <c r="AH2" s="2495" t="s">
        <v>1024</v>
      </c>
      <c r="AI2" s="2495" t="s">
        <v>1025</v>
      </c>
      <c r="AJ2" s="2598" t="s">
        <v>1026</v>
      </c>
      <c r="AK2" s="2495" t="s">
        <v>1027</v>
      </c>
      <c r="AL2" s="2495" t="s">
        <v>1028</v>
      </c>
      <c r="AM2" s="2495" t="s">
        <v>1029</v>
      </c>
      <c r="AN2" s="2495" t="s">
        <v>1030</v>
      </c>
      <c r="AO2" s="2495" t="s">
        <v>1031</v>
      </c>
      <c r="AP2" s="2495" t="s">
        <v>1032</v>
      </c>
      <c r="AQ2" s="2495" t="s">
        <v>1033</v>
      </c>
      <c r="AR2" s="2482" t="s">
        <v>1015</v>
      </c>
      <c r="AS2" s="2482" t="s">
        <v>1016</v>
      </c>
      <c r="AT2" s="2482" t="s">
        <v>1017</v>
      </c>
      <c r="AU2" s="2482" t="s">
        <v>1034</v>
      </c>
      <c r="AV2" s="2495" t="s">
        <v>1035</v>
      </c>
      <c r="AW2" s="2627" t="s">
        <v>1036</v>
      </c>
      <c r="AX2" s="2628" t="s">
        <v>1037</v>
      </c>
      <c r="AY2" s="2629" t="s">
        <v>1038</v>
      </c>
      <c r="AZ2" s="2627" t="s">
        <v>1039</v>
      </c>
      <c r="BA2" s="2627" t="s">
        <v>1040</v>
      </c>
      <c r="BB2" s="2629" t="s">
        <v>1041</v>
      </c>
      <c r="BC2" s="2627" t="s">
        <v>1042</v>
      </c>
      <c r="BD2" s="2630" t="s">
        <v>1043</v>
      </c>
      <c r="BE2" s="2627" t="s">
        <v>995</v>
      </c>
      <c r="BF2" s="2648" t="s">
        <v>1044</v>
      </c>
      <c r="BG2" s="2649" t="s">
        <v>1045</v>
      </c>
      <c r="BH2" s="2649" t="s">
        <v>1046</v>
      </c>
      <c r="BI2" s="2649" t="s">
        <v>1047</v>
      </c>
      <c r="BJ2" s="2647" t="s">
        <v>1048</v>
      </c>
      <c r="BK2" s="2647" t="s">
        <v>1049</v>
      </c>
      <c r="BL2" s="2482" t="s">
        <v>1050</v>
      </c>
      <c r="BM2" s="2675" t="s">
        <v>1051</v>
      </c>
      <c r="BN2" s="2675" t="s">
        <v>1052</v>
      </c>
      <c r="BO2" s="2675" t="s">
        <v>1053</v>
      </c>
      <c r="BP2" s="2675"/>
      <c r="BQ2" s="2482" t="s">
        <v>1054</v>
      </c>
      <c r="BR2" s="2482" t="s">
        <v>1055</v>
      </c>
      <c r="BS2" s="2677"/>
      <c r="BT2" s="2677"/>
      <c r="BU2" s="2677"/>
    </row>
    <row r="3" hidden="1" spans="1:73">
      <c r="A3" s="2514" t="s">
        <v>1056</v>
      </c>
      <c r="B3" s="2514" t="s">
        <v>1057</v>
      </c>
      <c r="C3" s="2514" t="s">
        <v>1058</v>
      </c>
      <c r="D3" s="2515" t="s">
        <v>1059</v>
      </c>
      <c r="E3" s="2514" t="s">
        <v>1060</v>
      </c>
      <c r="F3" s="2514" t="s">
        <v>1061</v>
      </c>
      <c r="G3" s="2514"/>
      <c r="H3" s="2516" t="s">
        <v>1062</v>
      </c>
      <c r="I3" s="2515"/>
      <c r="J3" s="2516" t="s">
        <v>1063</v>
      </c>
      <c r="K3" s="2514"/>
      <c r="L3" s="2542">
        <v>88.29</v>
      </c>
      <c r="M3" s="2516">
        <v>14</v>
      </c>
      <c r="N3" s="2514" t="s">
        <v>1064</v>
      </c>
      <c r="O3" s="2514"/>
      <c r="P3" s="2514" t="s">
        <v>1065</v>
      </c>
      <c r="Q3" s="2556">
        <v>405000</v>
      </c>
      <c r="R3" s="2542">
        <v>4587</v>
      </c>
      <c r="S3" s="2542">
        <v>37.2</v>
      </c>
      <c r="T3" s="2557">
        <v>372000</v>
      </c>
      <c r="U3" s="2556">
        <v>4214</v>
      </c>
      <c r="V3" s="2558">
        <v>0.05</v>
      </c>
      <c r="W3" s="2559">
        <v>35.34</v>
      </c>
      <c r="X3" s="2560">
        <v>353400</v>
      </c>
      <c r="Y3" s="2514">
        <v>2004</v>
      </c>
      <c r="Z3" s="2514">
        <v>5</v>
      </c>
      <c r="AA3" s="2514">
        <v>27</v>
      </c>
      <c r="AB3" s="2517">
        <v>1860</v>
      </c>
      <c r="AC3" s="2514" t="s">
        <v>1066</v>
      </c>
      <c r="AD3" s="2514"/>
      <c r="AE3" s="2514" t="s">
        <v>1067</v>
      </c>
      <c r="AF3" s="2514" t="s">
        <v>1068</v>
      </c>
      <c r="AG3" s="2514" t="s">
        <v>1069</v>
      </c>
      <c r="AH3" s="2514"/>
      <c r="AI3" s="2514" t="s">
        <v>1070</v>
      </c>
      <c r="AJ3" s="2516"/>
      <c r="AK3" s="2599" t="s">
        <v>1071</v>
      </c>
      <c r="AL3" s="2514">
        <v>82253558</v>
      </c>
      <c r="AM3" s="2514"/>
      <c r="AN3" s="2514" t="s">
        <v>1072</v>
      </c>
      <c r="AO3" s="2514"/>
      <c r="AP3" s="2514" t="s">
        <v>1073</v>
      </c>
      <c r="AQ3" s="2514" t="s">
        <v>1074</v>
      </c>
      <c r="AR3" s="2514"/>
      <c r="AS3" s="2514"/>
      <c r="AT3" s="2514"/>
      <c r="AU3" s="2514"/>
      <c r="AV3" s="2514"/>
      <c r="AW3" s="2514" t="s">
        <v>1075</v>
      </c>
      <c r="AX3" s="2514"/>
      <c r="AY3" s="2523"/>
      <c r="AZ3" s="2514"/>
      <c r="BA3" s="2514"/>
      <c r="BB3" s="2514"/>
      <c r="BC3" s="2514" t="s">
        <v>1076</v>
      </c>
      <c r="BD3" s="2514"/>
      <c r="BE3" s="2514"/>
      <c r="BF3" s="2514"/>
      <c r="BG3" s="2605"/>
      <c r="BH3" s="2514"/>
      <c r="BI3" s="2523" t="s">
        <v>1067</v>
      </c>
      <c r="BJ3" s="2650">
        <v>38126</v>
      </c>
      <c r="BK3" s="2650"/>
      <c r="BL3" s="2514"/>
      <c r="BM3" s="2514" t="s">
        <v>888</v>
      </c>
      <c r="BN3" s="2514" t="s">
        <v>1077</v>
      </c>
      <c r="BO3" s="2514" t="s">
        <v>1078</v>
      </c>
      <c r="BP3" s="2514"/>
      <c r="BQ3" s="2514"/>
      <c r="BR3" s="2514"/>
      <c r="BS3" s="2678"/>
      <c r="BT3" s="2678"/>
      <c r="BU3" s="2678"/>
    </row>
    <row r="4" spans="1:73">
      <c r="A4" s="2517" t="s">
        <v>1079</v>
      </c>
      <c r="B4" s="2514" t="s">
        <v>1080</v>
      </c>
      <c r="C4" s="2518" t="s">
        <v>1081</v>
      </c>
      <c r="D4" s="2518" t="s">
        <v>1082</v>
      </c>
      <c r="E4" s="2514" t="s">
        <v>1060</v>
      </c>
      <c r="F4" s="2514" t="s">
        <v>1083</v>
      </c>
      <c r="G4" s="2514"/>
      <c r="H4" s="2514" t="s">
        <v>1084</v>
      </c>
      <c r="I4" s="2514"/>
      <c r="J4" s="2518" t="s">
        <v>1085</v>
      </c>
      <c r="K4" s="2514" t="s">
        <v>1086</v>
      </c>
      <c r="L4" s="2542">
        <v>79.79</v>
      </c>
      <c r="M4" s="2514">
        <v>4</v>
      </c>
      <c r="N4" s="2515" t="s">
        <v>1064</v>
      </c>
      <c r="O4" s="2514"/>
      <c r="P4" s="2514" t="s">
        <v>1065</v>
      </c>
      <c r="Q4" s="2556">
        <v>390013.52</v>
      </c>
      <c r="R4" s="2542">
        <v>4888</v>
      </c>
      <c r="S4" s="2542">
        <v>37.62</v>
      </c>
      <c r="T4" s="2561">
        <v>376200</v>
      </c>
      <c r="U4" s="2556">
        <v>4716</v>
      </c>
      <c r="V4" s="2558">
        <v>0.05</v>
      </c>
      <c r="W4" s="2559">
        <v>35.73</v>
      </c>
      <c r="X4" s="2562">
        <v>357300</v>
      </c>
      <c r="Y4" s="2591">
        <v>2004</v>
      </c>
      <c r="Z4" s="2591">
        <v>1</v>
      </c>
      <c r="AA4" s="2591">
        <v>5</v>
      </c>
      <c r="AB4" s="2517">
        <v>1880</v>
      </c>
      <c r="AC4" s="2514" t="s">
        <v>1066</v>
      </c>
      <c r="AD4" s="2517"/>
      <c r="AE4" s="2514" t="s">
        <v>179</v>
      </c>
      <c r="AF4" s="2514" t="s">
        <v>1068</v>
      </c>
      <c r="AG4" s="2514" t="s">
        <v>1069</v>
      </c>
      <c r="AH4" s="2514"/>
      <c r="AI4" s="2514" t="s">
        <v>1070</v>
      </c>
      <c r="AJ4" s="2600"/>
      <c r="AK4" s="2601" t="s">
        <v>1087</v>
      </c>
      <c r="AL4" s="2591">
        <v>67641700</v>
      </c>
      <c r="AM4" s="2591"/>
      <c r="AN4" s="2591" t="s">
        <v>1088</v>
      </c>
      <c r="AO4" s="2591"/>
      <c r="AP4" s="2591" t="s">
        <v>1073</v>
      </c>
      <c r="AQ4" s="2523" t="s">
        <v>1089</v>
      </c>
      <c r="AR4" s="2591"/>
      <c r="AS4" s="2591"/>
      <c r="AT4" s="2591"/>
      <c r="AU4" s="2591"/>
      <c r="AV4" s="2591"/>
      <c r="AW4" s="2591" t="s">
        <v>1090</v>
      </c>
      <c r="AX4" s="2591"/>
      <c r="AY4" s="2631"/>
      <c r="AZ4" s="2591"/>
      <c r="BA4" s="2591"/>
      <c r="BB4" s="2631"/>
      <c r="BC4" s="2591"/>
      <c r="BD4" s="2632"/>
      <c r="BE4" s="2591"/>
      <c r="BF4" s="2651"/>
      <c r="BG4" s="2652">
        <v>37959</v>
      </c>
      <c r="BH4" s="2591"/>
      <c r="BI4" s="2594" t="s">
        <v>1091</v>
      </c>
      <c r="BJ4" s="2653">
        <v>37964</v>
      </c>
      <c r="BK4" s="2653"/>
      <c r="BL4" s="2591" t="s">
        <v>1092</v>
      </c>
      <c r="BM4" s="2591" t="s">
        <v>888</v>
      </c>
      <c r="BN4" s="2591" t="s">
        <v>1077</v>
      </c>
      <c r="BO4" s="2591" t="s">
        <v>1093</v>
      </c>
      <c r="BP4" s="2591"/>
      <c r="BQ4" s="2591"/>
      <c r="BR4" s="2591"/>
      <c r="BS4" s="2678"/>
      <c r="BT4" s="2678"/>
      <c r="BU4" s="2678"/>
    </row>
    <row r="5" hidden="1" spans="1:73">
      <c r="A5" s="2517" t="s">
        <v>1094</v>
      </c>
      <c r="B5" s="2514" t="s">
        <v>1095</v>
      </c>
      <c r="C5" s="2518" t="s">
        <v>1096</v>
      </c>
      <c r="D5" s="2515">
        <v>13701286069</v>
      </c>
      <c r="E5" s="2514" t="s">
        <v>1060</v>
      </c>
      <c r="F5" s="2514" t="s">
        <v>1097</v>
      </c>
      <c r="G5" s="2514"/>
      <c r="H5" s="2514" t="s">
        <v>1098</v>
      </c>
      <c r="I5" s="2514" t="s">
        <v>1099</v>
      </c>
      <c r="J5" s="2514" t="s">
        <v>1100</v>
      </c>
      <c r="K5" s="2514" t="s">
        <v>1095</v>
      </c>
      <c r="L5" s="2542">
        <v>162.88</v>
      </c>
      <c r="M5" s="2514">
        <v>4</v>
      </c>
      <c r="N5" s="2515" t="s">
        <v>1101</v>
      </c>
      <c r="O5" s="2514"/>
      <c r="P5" s="2514" t="s">
        <v>1065</v>
      </c>
      <c r="Q5" s="2556">
        <v>900000</v>
      </c>
      <c r="R5" s="2542">
        <v>5526</v>
      </c>
      <c r="S5" s="2542">
        <v>115.4</v>
      </c>
      <c r="T5" s="2557">
        <v>1154000</v>
      </c>
      <c r="U5" s="2556">
        <v>7085</v>
      </c>
      <c r="V5" s="2558">
        <v>0.05</v>
      </c>
      <c r="W5" s="2559">
        <v>109.63</v>
      </c>
      <c r="X5" s="2557">
        <v>1096300</v>
      </c>
      <c r="Y5" s="2591">
        <v>2004</v>
      </c>
      <c r="Z5" s="2591">
        <v>1</v>
      </c>
      <c r="AA5" s="2514">
        <v>12</v>
      </c>
      <c r="AB5" s="2592">
        <v>5385</v>
      </c>
      <c r="AC5" s="2514" t="s">
        <v>1066</v>
      </c>
      <c r="AD5" s="2514"/>
      <c r="AE5" s="2514" t="s">
        <v>175</v>
      </c>
      <c r="AF5" s="2514" t="s">
        <v>1068</v>
      </c>
      <c r="AG5" s="2523" t="s">
        <v>1069</v>
      </c>
      <c r="AH5" s="2514"/>
      <c r="AI5" s="2514"/>
      <c r="AJ5" s="2600"/>
      <c r="AK5" s="2599" t="s">
        <v>1087</v>
      </c>
      <c r="AL5" s="2514">
        <v>82253559</v>
      </c>
      <c r="AM5" s="2514"/>
      <c r="AN5" s="2523" t="s">
        <v>1071</v>
      </c>
      <c r="AO5" s="2514"/>
      <c r="AP5" s="2514" t="s">
        <v>175</v>
      </c>
      <c r="AQ5" s="2514" t="s">
        <v>1074</v>
      </c>
      <c r="AR5" s="2514"/>
      <c r="AS5" s="2514"/>
      <c r="AT5" s="2514"/>
      <c r="AU5" s="2514"/>
      <c r="AV5" s="2514"/>
      <c r="AW5" s="2514" t="s">
        <v>1102</v>
      </c>
      <c r="AX5" s="2514"/>
      <c r="AY5" s="2518"/>
      <c r="AZ5" s="2514" t="s">
        <v>1095</v>
      </c>
      <c r="BA5" s="2514"/>
      <c r="BB5" s="2518"/>
      <c r="BC5" s="2514"/>
      <c r="BD5" s="2633"/>
      <c r="BE5" s="2514"/>
      <c r="BF5" s="2654"/>
      <c r="BG5" s="2605">
        <v>37419</v>
      </c>
      <c r="BH5" s="2514"/>
      <c r="BI5" s="2523" t="s">
        <v>175</v>
      </c>
      <c r="BJ5" s="2650">
        <v>37992</v>
      </c>
      <c r="BK5" s="2655"/>
      <c r="BL5" s="2514"/>
      <c r="BM5" s="2591" t="s">
        <v>1103</v>
      </c>
      <c r="BN5" s="2591" t="s">
        <v>1077</v>
      </c>
      <c r="BO5" s="2591" t="s">
        <v>1104</v>
      </c>
      <c r="BP5" s="2591"/>
      <c r="BQ5" s="2591" t="e">
        <v>#DIV/0!</v>
      </c>
      <c r="BR5" s="2591" t="e">
        <v>#DIV/0!</v>
      </c>
      <c r="BS5" s="2678"/>
      <c r="BT5" s="2678"/>
      <c r="BU5" s="2678"/>
    </row>
    <row r="6" hidden="1" spans="1:73">
      <c r="A6" s="2517" t="s">
        <v>1105</v>
      </c>
      <c r="B6" s="2514" t="s">
        <v>1106</v>
      </c>
      <c r="C6" s="2519" t="s">
        <v>1107</v>
      </c>
      <c r="D6" s="2515">
        <v>68408437</v>
      </c>
      <c r="E6" s="2514" t="s">
        <v>1060</v>
      </c>
      <c r="F6" s="2514" t="s">
        <v>1108</v>
      </c>
      <c r="G6" s="2514"/>
      <c r="H6" s="2520" t="s">
        <v>1109</v>
      </c>
      <c r="I6" s="2514"/>
      <c r="J6" s="2520" t="s">
        <v>1110</v>
      </c>
      <c r="K6" s="2514" t="s">
        <v>1106</v>
      </c>
      <c r="L6" s="2542">
        <v>64.1</v>
      </c>
      <c r="M6" s="2514">
        <v>10</v>
      </c>
      <c r="N6" s="2515" t="s">
        <v>1111</v>
      </c>
      <c r="O6" s="2514"/>
      <c r="P6" s="2514" t="s">
        <v>1065</v>
      </c>
      <c r="Q6" s="2556">
        <v>380000</v>
      </c>
      <c r="R6" s="2563">
        <v>5928</v>
      </c>
      <c r="S6" s="2564">
        <v>35.28</v>
      </c>
      <c r="T6" s="2561">
        <v>352800</v>
      </c>
      <c r="U6" s="2556">
        <v>5505</v>
      </c>
      <c r="V6" s="2558">
        <v>0.2</v>
      </c>
      <c r="W6" s="2559">
        <v>28.22</v>
      </c>
      <c r="X6" s="2562">
        <v>282200</v>
      </c>
      <c r="Y6" s="2591">
        <v>2004</v>
      </c>
      <c r="Z6" s="2591">
        <v>8</v>
      </c>
      <c r="AA6" s="2514">
        <v>18</v>
      </c>
      <c r="AB6" s="2563">
        <v>1055</v>
      </c>
      <c r="AC6" s="2514" t="s">
        <v>1112</v>
      </c>
      <c r="AD6" s="2514"/>
      <c r="AE6" s="2563" t="s">
        <v>1067</v>
      </c>
      <c r="AF6" s="2514" t="s">
        <v>1068</v>
      </c>
      <c r="AG6" s="2523" t="s">
        <v>1069</v>
      </c>
      <c r="AH6" s="2514"/>
      <c r="AI6" s="2514" t="s">
        <v>175</v>
      </c>
      <c r="AJ6" s="2600"/>
      <c r="AK6" s="2599" t="s">
        <v>1113</v>
      </c>
      <c r="AL6" s="2514">
        <v>82253557</v>
      </c>
      <c r="AM6" s="2514"/>
      <c r="AN6" s="2523" t="s">
        <v>1072</v>
      </c>
      <c r="AO6" s="2514"/>
      <c r="AP6" s="2514" t="s">
        <v>1073</v>
      </c>
      <c r="AQ6" s="2591" t="s">
        <v>1074</v>
      </c>
      <c r="AR6" s="2514"/>
      <c r="AS6" s="2514"/>
      <c r="AT6" s="2514"/>
      <c r="AU6" s="2514"/>
      <c r="AV6" s="2514" t="s">
        <v>1114</v>
      </c>
      <c r="AW6" s="2514" t="s">
        <v>1075</v>
      </c>
      <c r="AX6" s="2514"/>
      <c r="AY6" s="2518"/>
      <c r="AZ6" s="2514" t="s">
        <v>1115</v>
      </c>
      <c r="BA6" s="2514"/>
      <c r="BB6" s="2518"/>
      <c r="BC6" s="2514"/>
      <c r="BD6" s="2633"/>
      <c r="BE6" s="2514"/>
      <c r="BF6" s="2654"/>
      <c r="BG6" s="2605">
        <v>38145</v>
      </c>
      <c r="BH6" s="2514"/>
      <c r="BI6" s="2523" t="s">
        <v>1067</v>
      </c>
      <c r="BJ6" s="2650"/>
      <c r="BK6" s="2655"/>
      <c r="BL6" s="2514"/>
      <c r="BM6" s="2591" t="s">
        <v>888</v>
      </c>
      <c r="BN6" s="2591" t="s">
        <v>1077</v>
      </c>
      <c r="BO6" s="2591" t="s">
        <v>1116</v>
      </c>
      <c r="BP6" s="2591"/>
      <c r="BQ6" s="2591"/>
      <c r="BR6" s="2591"/>
      <c r="BS6" s="2678"/>
      <c r="BT6" s="2678"/>
      <c r="BU6" s="2678"/>
    </row>
    <row r="7" hidden="1" spans="1:73">
      <c r="A7" s="2517" t="s">
        <v>1117</v>
      </c>
      <c r="B7" s="2514" t="s">
        <v>1118</v>
      </c>
      <c r="C7" s="2518" t="s">
        <v>1119</v>
      </c>
      <c r="D7" s="2515">
        <v>62641968</v>
      </c>
      <c r="E7" s="2514" t="s">
        <v>1060</v>
      </c>
      <c r="F7" s="2514" t="s">
        <v>1120</v>
      </c>
      <c r="G7" s="2514"/>
      <c r="H7" s="2514" t="s">
        <v>1121</v>
      </c>
      <c r="I7" s="2514"/>
      <c r="J7" s="2514" t="s">
        <v>1122</v>
      </c>
      <c r="K7" s="2514" t="s">
        <v>1118</v>
      </c>
      <c r="L7" s="2514">
        <v>85.3</v>
      </c>
      <c r="M7" s="2514">
        <v>9</v>
      </c>
      <c r="N7" s="2515" t="s">
        <v>1123</v>
      </c>
      <c r="O7" s="2514"/>
      <c r="P7" s="2514" t="s">
        <v>1065</v>
      </c>
      <c r="Q7" s="2565">
        <v>500000</v>
      </c>
      <c r="R7" s="2565">
        <v>5862</v>
      </c>
      <c r="S7" s="2564">
        <v>48</v>
      </c>
      <c r="T7" s="2557">
        <v>480000</v>
      </c>
      <c r="U7" s="2514">
        <v>5628</v>
      </c>
      <c r="V7" s="2558">
        <v>0.05</v>
      </c>
      <c r="W7" s="2559">
        <v>45.6</v>
      </c>
      <c r="X7" s="2557">
        <v>456000</v>
      </c>
      <c r="Y7" s="2591">
        <v>2004</v>
      </c>
      <c r="Z7" s="2591">
        <v>9</v>
      </c>
      <c r="AA7" s="2514">
        <v>6</v>
      </c>
      <c r="AB7" s="2514">
        <v>1440</v>
      </c>
      <c r="AC7" s="2514" t="s">
        <v>1112</v>
      </c>
      <c r="AD7" s="2514"/>
      <c r="AE7" s="2514" t="s">
        <v>175</v>
      </c>
      <c r="AF7" s="2514" t="s">
        <v>1068</v>
      </c>
      <c r="AG7" s="2523" t="s">
        <v>1069</v>
      </c>
      <c r="AH7" s="2514"/>
      <c r="AI7" s="2514"/>
      <c r="AJ7" s="2602"/>
      <c r="AK7" s="2599" t="s">
        <v>1124</v>
      </c>
      <c r="AL7" s="2514">
        <v>82253558</v>
      </c>
      <c r="AM7" s="2514"/>
      <c r="AN7" s="2523" t="s">
        <v>1088</v>
      </c>
      <c r="AO7" s="2514"/>
      <c r="AP7" s="2514" t="s">
        <v>175</v>
      </c>
      <c r="AQ7" s="2514" t="s">
        <v>1074</v>
      </c>
      <c r="AR7" s="2514">
        <v>2004</v>
      </c>
      <c r="AS7" s="2514">
        <v>9</v>
      </c>
      <c r="AT7" s="2514">
        <v>6</v>
      </c>
      <c r="AU7" s="2514"/>
      <c r="AV7" s="2514"/>
      <c r="AW7" s="2514" t="s">
        <v>1125</v>
      </c>
      <c r="AX7" s="2514"/>
      <c r="AY7" s="2518"/>
      <c r="AZ7" s="2514"/>
      <c r="BA7" s="2514"/>
      <c r="BB7" s="2518"/>
      <c r="BC7" s="2514"/>
      <c r="BD7" s="2633"/>
      <c r="BE7" s="2514"/>
      <c r="BF7" s="2654"/>
      <c r="BG7" s="2650">
        <v>37939</v>
      </c>
      <c r="BH7" s="2514"/>
      <c r="BI7" s="2514" t="s">
        <v>175</v>
      </c>
      <c r="BJ7" s="2650" t="s">
        <v>1126</v>
      </c>
      <c r="BK7" s="2655"/>
      <c r="BL7" s="2514" t="s">
        <v>1092</v>
      </c>
      <c r="BM7" s="2591" t="s">
        <v>1127</v>
      </c>
      <c r="BN7" s="2591" t="s">
        <v>1077</v>
      </c>
      <c r="BO7" s="2591" t="s">
        <v>1128</v>
      </c>
      <c r="BP7" s="2591"/>
      <c r="BQ7" s="2591"/>
      <c r="BR7" s="2591"/>
      <c r="BS7" s="2678"/>
      <c r="BT7" s="2678"/>
      <c r="BU7" s="2678"/>
    </row>
    <row r="8" hidden="1" spans="1:73">
      <c r="A8" s="2517" t="s">
        <v>1129</v>
      </c>
      <c r="B8" s="2514" t="s">
        <v>1130</v>
      </c>
      <c r="C8" s="2518" t="s">
        <v>1131</v>
      </c>
      <c r="D8" s="2518" t="s">
        <v>1132</v>
      </c>
      <c r="E8" s="2514" t="s">
        <v>1060</v>
      </c>
      <c r="F8" s="2521" t="s">
        <v>1133</v>
      </c>
      <c r="G8" s="2514"/>
      <c r="H8" s="2514"/>
      <c r="I8" s="2514" t="s">
        <v>1134</v>
      </c>
      <c r="J8" s="2518" t="s">
        <v>1135</v>
      </c>
      <c r="K8" s="2514" t="s">
        <v>1130</v>
      </c>
      <c r="L8" s="2514">
        <v>79.3</v>
      </c>
      <c r="M8" s="2514">
        <v>1</v>
      </c>
      <c r="N8" s="2514" t="s">
        <v>1064</v>
      </c>
      <c r="O8" s="2514">
        <v>52.5</v>
      </c>
      <c r="P8" s="2514" t="s">
        <v>1065</v>
      </c>
      <c r="Q8" s="2565">
        <v>380000</v>
      </c>
      <c r="R8" s="2563">
        <v>4792</v>
      </c>
      <c r="S8" s="2564">
        <v>44.21</v>
      </c>
      <c r="T8" s="2561">
        <v>442100</v>
      </c>
      <c r="U8" s="2514">
        <v>5576</v>
      </c>
      <c r="V8" s="2558">
        <v>0.2</v>
      </c>
      <c r="W8" s="2559">
        <v>35.36</v>
      </c>
      <c r="X8" s="2562">
        <v>353600</v>
      </c>
      <c r="Y8" s="2591">
        <v>2004</v>
      </c>
      <c r="Z8" s="2591">
        <v>11</v>
      </c>
      <c r="AA8" s="2591">
        <v>22</v>
      </c>
      <c r="AB8" s="2563">
        <v>1325</v>
      </c>
      <c r="AC8" s="2514" t="s">
        <v>1112</v>
      </c>
      <c r="AD8" s="2517"/>
      <c r="AE8" s="2591" t="s">
        <v>1067</v>
      </c>
      <c r="AF8" s="2514" t="s">
        <v>1068</v>
      </c>
      <c r="AG8" s="2523" t="s">
        <v>1069</v>
      </c>
      <c r="AH8" s="2517"/>
      <c r="AI8" s="2514" t="s">
        <v>175</v>
      </c>
      <c r="AJ8" s="2602"/>
      <c r="AK8" s="2599" t="s">
        <v>1136</v>
      </c>
      <c r="AL8" s="2591">
        <v>82253558</v>
      </c>
      <c r="AM8" s="2591"/>
      <c r="AN8" s="2591"/>
      <c r="AO8" s="2591"/>
      <c r="AP8" s="2515" t="s">
        <v>1067</v>
      </c>
      <c r="AQ8" s="2514" t="s">
        <v>1074</v>
      </c>
      <c r="AR8" s="2591"/>
      <c r="AS8" s="2591"/>
      <c r="AT8" s="2591"/>
      <c r="AU8" s="2591"/>
      <c r="AV8" s="2591"/>
      <c r="AW8" s="2591" t="s">
        <v>1075</v>
      </c>
      <c r="AX8" s="2591"/>
      <c r="AY8" s="2631"/>
      <c r="AZ8" s="2591"/>
      <c r="BA8" s="2591"/>
      <c r="BB8" s="2631"/>
      <c r="BC8" s="2591"/>
      <c r="BD8" s="2632"/>
      <c r="BE8" s="2591"/>
      <c r="BF8" s="2651"/>
      <c r="BG8" s="2656">
        <v>38307</v>
      </c>
      <c r="BH8" s="2591"/>
      <c r="BI8" s="2548" t="s">
        <v>1067</v>
      </c>
      <c r="BJ8" s="2653"/>
      <c r="BK8" s="2653"/>
      <c r="BL8" s="2514"/>
      <c r="BM8" s="2591" t="s">
        <v>1137</v>
      </c>
      <c r="BN8" s="2591" t="s">
        <v>1077</v>
      </c>
      <c r="BO8" s="2591" t="s">
        <v>1128</v>
      </c>
      <c r="BP8" s="2591"/>
      <c r="BQ8" s="2591">
        <v>8422</v>
      </c>
      <c r="BR8" s="2591">
        <v>7238</v>
      </c>
      <c r="BS8" s="2678"/>
      <c r="BT8" s="2678"/>
      <c r="BU8" s="2678"/>
    </row>
    <row r="9" ht="14.25" hidden="1" spans="1:73">
      <c r="A9" s="2514" t="s">
        <v>1138</v>
      </c>
      <c r="B9" s="2514" t="s">
        <v>1139</v>
      </c>
      <c r="C9" s="2514" t="s">
        <v>1140</v>
      </c>
      <c r="D9" s="2515" t="s">
        <v>1141</v>
      </c>
      <c r="E9" s="2514" t="s">
        <v>1060</v>
      </c>
      <c r="F9" s="2514" t="s">
        <v>1142</v>
      </c>
      <c r="G9" s="2514"/>
      <c r="H9" s="2516"/>
      <c r="I9" s="2515" t="s">
        <v>1143</v>
      </c>
      <c r="J9" s="2516" t="s">
        <v>1144</v>
      </c>
      <c r="K9" s="2514" t="s">
        <v>1145</v>
      </c>
      <c r="L9" s="2542">
        <v>55.3</v>
      </c>
      <c r="M9" s="2516">
        <v>6</v>
      </c>
      <c r="N9" s="2514" t="s">
        <v>1064</v>
      </c>
      <c r="O9" s="2514"/>
      <c r="P9" s="2514" t="s">
        <v>1065</v>
      </c>
      <c r="Q9" s="2556">
        <v>325000</v>
      </c>
      <c r="R9" s="2542">
        <v>5877</v>
      </c>
      <c r="S9" s="2542">
        <v>30.85</v>
      </c>
      <c r="T9" s="2557">
        <v>308500</v>
      </c>
      <c r="U9" s="2556">
        <v>5580</v>
      </c>
      <c r="V9" s="2558">
        <v>0.05</v>
      </c>
      <c r="W9" s="2559">
        <v>29.3</v>
      </c>
      <c r="X9" s="2560">
        <v>293000</v>
      </c>
      <c r="Y9" s="2514">
        <v>2004</v>
      </c>
      <c r="Z9" s="2514">
        <v>3</v>
      </c>
      <c r="AA9" s="2514">
        <v>19</v>
      </c>
      <c r="AB9" s="2517">
        <v>1540</v>
      </c>
      <c r="AC9" s="2514" t="s">
        <v>1146</v>
      </c>
      <c r="AD9" s="2514"/>
      <c r="AE9" s="2514" t="s">
        <v>179</v>
      </c>
      <c r="AF9" s="2514" t="s">
        <v>1068</v>
      </c>
      <c r="AG9" s="2514" t="s">
        <v>1069</v>
      </c>
      <c r="AH9" s="2514" t="s">
        <v>1147</v>
      </c>
      <c r="AI9" s="2514" t="s">
        <v>1070</v>
      </c>
      <c r="AJ9" s="2516"/>
      <c r="AK9" s="2514" t="s">
        <v>1072</v>
      </c>
      <c r="AL9" s="2514">
        <v>67641700</v>
      </c>
      <c r="AM9" s="2514"/>
      <c r="AN9" s="2514" t="s">
        <v>1072</v>
      </c>
      <c r="AO9" s="2514"/>
      <c r="AP9" s="2514" t="s">
        <v>1073</v>
      </c>
      <c r="AQ9" s="2514" t="s">
        <v>1089</v>
      </c>
      <c r="AR9" s="2514"/>
      <c r="AS9" s="2514"/>
      <c r="AT9" s="2514"/>
      <c r="AU9" s="2514"/>
      <c r="AV9" s="2514"/>
      <c r="AW9" s="2514" t="s">
        <v>1075</v>
      </c>
      <c r="AX9" s="2514"/>
      <c r="AY9" s="2523"/>
      <c r="AZ9" s="2514" t="s">
        <v>1145</v>
      </c>
      <c r="BA9" s="2514"/>
      <c r="BB9" s="2514"/>
      <c r="BC9" s="2514"/>
      <c r="BD9" s="2514"/>
      <c r="BE9" s="2514"/>
      <c r="BF9" s="2514"/>
      <c r="BG9" s="2605">
        <v>37996</v>
      </c>
      <c r="BH9" s="2514"/>
      <c r="BI9" s="2523" t="s">
        <v>1073</v>
      </c>
      <c r="BJ9" s="2650">
        <v>38002</v>
      </c>
      <c r="BK9" s="2650"/>
      <c r="BL9" s="2514"/>
      <c r="BM9" s="2514" t="s">
        <v>1127</v>
      </c>
      <c r="BN9" s="2514" t="s">
        <v>1148</v>
      </c>
      <c r="BO9" s="2514" t="s">
        <v>1149</v>
      </c>
      <c r="BP9" s="2514"/>
      <c r="BQ9" s="2679"/>
      <c r="BR9" s="2679"/>
      <c r="BS9" s="2499"/>
      <c r="BT9" s="2499"/>
      <c r="BU9" s="2499"/>
    </row>
    <row r="10" hidden="1" spans="1:73">
      <c r="A10" s="2517" t="s">
        <v>1150</v>
      </c>
      <c r="B10" s="2514" t="s">
        <v>1151</v>
      </c>
      <c r="C10" s="2518" t="s">
        <v>1152</v>
      </c>
      <c r="D10" s="2518" t="s">
        <v>1153</v>
      </c>
      <c r="E10" s="2514" t="s">
        <v>1060</v>
      </c>
      <c r="F10" s="2521" t="s">
        <v>1154</v>
      </c>
      <c r="G10" s="2514"/>
      <c r="H10" s="2514" t="s">
        <v>1155</v>
      </c>
      <c r="I10" s="2514"/>
      <c r="J10" s="2518" t="s">
        <v>1156</v>
      </c>
      <c r="K10" s="2514" t="s">
        <v>1151</v>
      </c>
      <c r="L10" s="2542">
        <v>41.3</v>
      </c>
      <c r="M10" s="2514">
        <v>2</v>
      </c>
      <c r="N10" s="2514" t="s">
        <v>1157</v>
      </c>
      <c r="O10" s="2514"/>
      <c r="P10" s="2514" t="s">
        <v>1065</v>
      </c>
      <c r="Q10" s="2556">
        <v>210000</v>
      </c>
      <c r="R10" s="2542">
        <v>5085</v>
      </c>
      <c r="S10" s="2542">
        <v>21.88</v>
      </c>
      <c r="T10" s="2561">
        <v>218800</v>
      </c>
      <c r="U10" s="2556">
        <v>5300</v>
      </c>
      <c r="V10" s="2558">
        <v>0.05</v>
      </c>
      <c r="W10" s="2559">
        <v>20.78</v>
      </c>
      <c r="X10" s="2562">
        <v>207800</v>
      </c>
      <c r="Y10" s="2591">
        <v>2004</v>
      </c>
      <c r="Z10" s="2591">
        <v>2</v>
      </c>
      <c r="AA10" s="2591">
        <v>4</v>
      </c>
      <c r="AB10" s="2517">
        <v>1090</v>
      </c>
      <c r="AC10" s="2514" t="s">
        <v>1066</v>
      </c>
      <c r="AD10" s="2517"/>
      <c r="AE10" s="2514" t="s">
        <v>1067</v>
      </c>
      <c r="AF10" s="2514" t="s">
        <v>1068</v>
      </c>
      <c r="AG10" s="2514" t="s">
        <v>1069</v>
      </c>
      <c r="AH10" s="2591" t="s">
        <v>1158</v>
      </c>
      <c r="AI10" s="2514" t="s">
        <v>175</v>
      </c>
      <c r="AJ10" s="2600"/>
      <c r="AK10" s="2603" t="s">
        <v>1088</v>
      </c>
      <c r="AL10" s="2591"/>
      <c r="AM10" s="2591"/>
      <c r="AN10" s="2591" t="s">
        <v>1087</v>
      </c>
      <c r="AO10" s="2591"/>
      <c r="AP10" s="2514" t="s">
        <v>1067</v>
      </c>
      <c r="AQ10" s="2514" t="s">
        <v>1074</v>
      </c>
      <c r="AR10" s="2591"/>
      <c r="AS10" s="2591"/>
      <c r="AT10" s="2591"/>
      <c r="AU10" s="2591"/>
      <c r="AV10" s="2591"/>
      <c r="AW10" s="2591" t="s">
        <v>1159</v>
      </c>
      <c r="AX10" s="2591"/>
      <c r="AY10" s="2631"/>
      <c r="AZ10" s="2591"/>
      <c r="BA10" s="2591"/>
      <c r="BB10" s="2631"/>
      <c r="BC10" s="2591"/>
      <c r="BD10" s="2632"/>
      <c r="BE10" s="2591"/>
      <c r="BF10" s="2651"/>
      <c r="BG10" s="2652">
        <v>38001</v>
      </c>
      <c r="BH10" s="2591"/>
      <c r="BI10" s="2594" t="s">
        <v>1067</v>
      </c>
      <c r="BJ10" s="2653">
        <v>38019</v>
      </c>
      <c r="BK10" s="2653"/>
      <c r="BL10" s="2514" t="s">
        <v>1092</v>
      </c>
      <c r="BM10" s="2591" t="s">
        <v>1127</v>
      </c>
      <c r="BN10" s="2591" t="s">
        <v>1148</v>
      </c>
      <c r="BO10" s="2591" t="s">
        <v>1160</v>
      </c>
      <c r="BP10" s="2591"/>
      <c r="BQ10" s="2591" t="e">
        <v>#DIV/0!</v>
      </c>
      <c r="BR10" s="2591" t="e">
        <v>#DIV/0!</v>
      </c>
      <c r="BS10" s="2678"/>
      <c r="BT10" s="2678"/>
      <c r="BU10" s="2678"/>
    </row>
    <row r="11" hidden="1" spans="1:73">
      <c r="A11" s="2514" t="s">
        <v>1161</v>
      </c>
      <c r="B11" s="2514" t="s">
        <v>1162</v>
      </c>
      <c r="C11" s="2518" t="s">
        <v>1163</v>
      </c>
      <c r="D11" s="2518" t="s">
        <v>1164</v>
      </c>
      <c r="E11" s="2514" t="s">
        <v>1060</v>
      </c>
      <c r="F11" s="2514" t="s">
        <v>1165</v>
      </c>
      <c r="G11" s="2514"/>
      <c r="H11" s="2514" t="s">
        <v>1155</v>
      </c>
      <c r="I11" s="2514" t="s">
        <v>1099</v>
      </c>
      <c r="J11" s="2518" t="s">
        <v>1166</v>
      </c>
      <c r="K11" s="2514" t="s">
        <v>1162</v>
      </c>
      <c r="L11" s="2542">
        <v>55.8</v>
      </c>
      <c r="M11" s="2514">
        <v>3</v>
      </c>
      <c r="N11" s="2514" t="s">
        <v>1064</v>
      </c>
      <c r="O11" s="2514"/>
      <c r="P11" s="2514" t="s">
        <v>1065</v>
      </c>
      <c r="Q11" s="2556">
        <v>340000</v>
      </c>
      <c r="R11" s="2542">
        <v>6093</v>
      </c>
      <c r="S11" s="2542">
        <v>30.69</v>
      </c>
      <c r="T11" s="2561">
        <v>306900</v>
      </c>
      <c r="U11" s="2556">
        <v>5500</v>
      </c>
      <c r="V11" s="2558">
        <v>0.05</v>
      </c>
      <c r="W11" s="2559">
        <v>29.15</v>
      </c>
      <c r="X11" s="2562">
        <v>291500</v>
      </c>
      <c r="Y11" s="2591">
        <v>2004</v>
      </c>
      <c r="Z11" s="2591">
        <v>2</v>
      </c>
      <c r="AA11" s="2591">
        <v>12</v>
      </c>
      <c r="AB11" s="2517">
        <v>1530</v>
      </c>
      <c r="AC11" s="2514" t="s">
        <v>1066</v>
      </c>
      <c r="AD11" s="2517"/>
      <c r="AE11" s="2514" t="s">
        <v>1067</v>
      </c>
      <c r="AF11" s="2514" t="s">
        <v>1068</v>
      </c>
      <c r="AG11" s="2514" t="s">
        <v>1069</v>
      </c>
      <c r="AH11" s="2517"/>
      <c r="AI11" s="2514"/>
      <c r="AJ11" s="2600"/>
      <c r="AK11" s="2603" t="s">
        <v>1088</v>
      </c>
      <c r="AL11" s="2591">
        <v>82253572</v>
      </c>
      <c r="AM11" s="2591"/>
      <c r="AN11" s="2591"/>
      <c r="AO11" s="2591"/>
      <c r="AP11" s="2591"/>
      <c r="AQ11" s="2591"/>
      <c r="AR11" s="2591"/>
      <c r="AS11" s="2591"/>
      <c r="AT11" s="2591"/>
      <c r="AU11" s="2591"/>
      <c r="AV11" s="2591"/>
      <c r="AW11" s="2591" t="s">
        <v>1075</v>
      </c>
      <c r="AX11" s="2591"/>
      <c r="AY11" s="2631"/>
      <c r="AZ11" s="2591" t="s">
        <v>1167</v>
      </c>
      <c r="BA11" s="2591"/>
      <c r="BB11" s="2631"/>
      <c r="BC11" s="2591"/>
      <c r="BD11" s="2632"/>
      <c r="BE11" s="2591"/>
      <c r="BF11" s="2651"/>
      <c r="BG11" s="2652">
        <v>38003</v>
      </c>
      <c r="BH11" s="2591"/>
      <c r="BI11" s="2594" t="s">
        <v>1067</v>
      </c>
      <c r="BJ11" s="2653">
        <v>38026</v>
      </c>
      <c r="BK11" s="2653"/>
      <c r="BL11" s="2514"/>
      <c r="BM11" s="2591" t="s">
        <v>888</v>
      </c>
      <c r="BN11" s="2591" t="s">
        <v>1077</v>
      </c>
      <c r="BO11" s="2591" t="s">
        <v>1168</v>
      </c>
      <c r="BP11" s="2591"/>
      <c r="BQ11" s="2591" t="e">
        <v>#DIV/0!</v>
      </c>
      <c r="BR11" s="2591" t="e">
        <v>#DIV/0!</v>
      </c>
      <c r="BS11" s="2678"/>
      <c r="BT11" s="2678"/>
      <c r="BU11" s="2678"/>
    </row>
    <row r="12" hidden="1" spans="1:73">
      <c r="A12" s="2522" t="s">
        <v>1169</v>
      </c>
      <c r="B12" s="2523" t="s">
        <v>1170</v>
      </c>
      <c r="C12" s="2524">
        <v>110111721127801</v>
      </c>
      <c r="D12" s="2525" t="s">
        <v>1171</v>
      </c>
      <c r="E12" s="2515" t="s">
        <v>1060</v>
      </c>
      <c r="F12" s="2515" t="s">
        <v>1172</v>
      </c>
      <c r="G12" s="2523"/>
      <c r="H12" s="2515">
        <v>3</v>
      </c>
      <c r="I12" s="2515"/>
      <c r="J12" s="2525" t="s">
        <v>1173</v>
      </c>
      <c r="K12" s="2515" t="s">
        <v>1170</v>
      </c>
      <c r="L12" s="2542">
        <v>59.9</v>
      </c>
      <c r="M12" s="2516">
        <v>11</v>
      </c>
      <c r="N12" s="2514" t="s">
        <v>1111</v>
      </c>
      <c r="O12" s="2516"/>
      <c r="P12" s="2523" t="s">
        <v>1065</v>
      </c>
      <c r="Q12" s="2556">
        <v>340000</v>
      </c>
      <c r="R12" s="2542">
        <v>5676</v>
      </c>
      <c r="S12" s="2542">
        <v>32.86</v>
      </c>
      <c r="T12" s="2557">
        <v>328600</v>
      </c>
      <c r="U12" s="2556">
        <v>5487</v>
      </c>
      <c r="V12" s="2566">
        <v>0.05</v>
      </c>
      <c r="W12" s="2559">
        <v>31.21</v>
      </c>
      <c r="X12" s="2560">
        <v>312100</v>
      </c>
      <c r="Y12" s="2591">
        <v>2004</v>
      </c>
      <c r="Z12" s="2591">
        <v>2</v>
      </c>
      <c r="AA12" s="2591">
        <v>18</v>
      </c>
      <c r="AB12" s="2517">
        <v>1640</v>
      </c>
      <c r="AC12" s="2514" t="s">
        <v>1066</v>
      </c>
      <c r="AD12" s="2593"/>
      <c r="AE12" s="2594" t="s">
        <v>1067</v>
      </c>
      <c r="AF12" s="2515" t="s">
        <v>1068</v>
      </c>
      <c r="AG12" s="2515" t="s">
        <v>1069</v>
      </c>
      <c r="AH12" s="2523"/>
      <c r="AI12" s="2523"/>
      <c r="AJ12" s="2600"/>
      <c r="AK12" s="2604">
        <v>2</v>
      </c>
      <c r="AL12" s="2591">
        <v>82253572</v>
      </c>
      <c r="AM12" s="2591"/>
      <c r="AN12" s="2591"/>
      <c r="AO12" s="2514"/>
      <c r="AP12" s="2591"/>
      <c r="AQ12" s="2523"/>
      <c r="AR12" s="2523"/>
      <c r="AS12" s="2523"/>
      <c r="AT12" s="2523"/>
      <c r="AU12" s="2620"/>
      <c r="AV12" s="2621"/>
      <c r="AW12" s="2514" t="s">
        <v>1174</v>
      </c>
      <c r="AX12" s="2591"/>
      <c r="AY12" s="2634"/>
      <c r="AZ12" s="2635" t="s">
        <v>1175</v>
      </c>
      <c r="BA12" s="2635"/>
      <c r="BB12" s="2636"/>
      <c r="BC12" s="2635"/>
      <c r="BD12" s="2637"/>
      <c r="BE12" s="2635"/>
      <c r="BF12" s="2657"/>
      <c r="BG12" s="2652">
        <v>38026</v>
      </c>
      <c r="BH12" s="2620"/>
      <c r="BI12" s="2523" t="s">
        <v>1067</v>
      </c>
      <c r="BJ12" s="2656">
        <v>38026</v>
      </c>
      <c r="BK12" s="2656"/>
      <c r="BL12" s="2591" t="s">
        <v>1092</v>
      </c>
      <c r="BM12" s="2591" t="s">
        <v>888</v>
      </c>
      <c r="BN12" s="2591" t="s">
        <v>1077</v>
      </c>
      <c r="BO12" s="2591" t="s">
        <v>1128</v>
      </c>
      <c r="BP12" s="2591"/>
      <c r="BQ12" s="2591"/>
      <c r="BR12" s="2591"/>
      <c r="BS12" s="2678"/>
      <c r="BT12" s="2678"/>
      <c r="BU12" s="2678"/>
    </row>
    <row r="13" hidden="1" spans="1:73">
      <c r="A13" s="2514" t="s">
        <v>1176</v>
      </c>
      <c r="B13" s="2514" t="s">
        <v>1177</v>
      </c>
      <c r="C13" s="2518" t="s">
        <v>1178</v>
      </c>
      <c r="D13" s="2523">
        <v>13681189443</v>
      </c>
      <c r="E13" s="2514" t="s">
        <v>1060</v>
      </c>
      <c r="F13" s="2514" t="s">
        <v>1179</v>
      </c>
      <c r="G13" s="2514"/>
      <c r="H13" s="2515" t="s">
        <v>1180</v>
      </c>
      <c r="I13" s="2515"/>
      <c r="J13" s="2515" t="s">
        <v>1181</v>
      </c>
      <c r="K13" s="2514" t="s">
        <v>1177</v>
      </c>
      <c r="L13" s="2542">
        <v>60.39</v>
      </c>
      <c r="M13" s="2516">
        <v>18</v>
      </c>
      <c r="N13" s="2515" t="s">
        <v>1064</v>
      </c>
      <c r="O13" s="2516"/>
      <c r="P13" s="2515" t="s">
        <v>1065</v>
      </c>
      <c r="Q13" s="2556">
        <v>415000.08</v>
      </c>
      <c r="R13" s="2542">
        <v>6872</v>
      </c>
      <c r="S13" s="2542">
        <v>41.05</v>
      </c>
      <c r="T13" s="2561">
        <v>410500</v>
      </c>
      <c r="U13" s="2556">
        <v>6798</v>
      </c>
      <c r="V13" s="2566">
        <v>0.05</v>
      </c>
      <c r="W13" s="2559">
        <v>38.99</v>
      </c>
      <c r="X13" s="2562">
        <v>389900</v>
      </c>
      <c r="Y13" s="2516">
        <v>2004</v>
      </c>
      <c r="Z13" s="2516">
        <v>2</v>
      </c>
      <c r="AA13" s="2516">
        <v>23</v>
      </c>
      <c r="AB13" s="2517">
        <v>2050</v>
      </c>
      <c r="AC13" s="2514" t="s">
        <v>1066</v>
      </c>
      <c r="AD13" s="2514"/>
      <c r="AE13" s="2514" t="s">
        <v>179</v>
      </c>
      <c r="AF13" s="2514" t="s">
        <v>1068</v>
      </c>
      <c r="AG13" s="2514" t="s">
        <v>1069</v>
      </c>
      <c r="AH13" s="2514"/>
      <c r="AI13" s="2514" t="s">
        <v>1070</v>
      </c>
      <c r="AJ13" s="2605"/>
      <c r="AK13" s="2603" t="s">
        <v>1088</v>
      </c>
      <c r="AL13" s="2514">
        <v>67641700</v>
      </c>
      <c r="AM13" s="2514"/>
      <c r="AN13" s="2591" t="s">
        <v>1182</v>
      </c>
      <c r="AO13" s="2514"/>
      <c r="AP13" s="2514" t="s">
        <v>1073</v>
      </c>
      <c r="AQ13" s="2523" t="s">
        <v>1074</v>
      </c>
      <c r="AR13" s="2514"/>
      <c r="AS13" s="2514"/>
      <c r="AT13" s="2514"/>
      <c r="AU13" s="2514"/>
      <c r="AV13" s="2516"/>
      <c r="AW13" s="2514" t="s">
        <v>1075</v>
      </c>
      <c r="AX13" s="2514"/>
      <c r="AY13" s="2516"/>
      <c r="AZ13" s="2514" t="s">
        <v>1183</v>
      </c>
      <c r="BA13" s="2514"/>
      <c r="BB13" s="2514"/>
      <c r="BC13" s="2514"/>
      <c r="BD13" s="2514"/>
      <c r="BE13" s="2514"/>
      <c r="BF13" s="2658"/>
      <c r="BG13" s="2605">
        <v>37977</v>
      </c>
      <c r="BH13" s="2514"/>
      <c r="BI13" s="2523" t="s">
        <v>1073</v>
      </c>
      <c r="BJ13" s="2650">
        <v>38034</v>
      </c>
      <c r="BK13" s="2650"/>
      <c r="BL13" s="2514"/>
      <c r="BM13" s="2591" t="s">
        <v>888</v>
      </c>
      <c r="BN13" s="2591" t="s">
        <v>1077</v>
      </c>
      <c r="BO13" s="2591" t="s">
        <v>1184</v>
      </c>
      <c r="BP13" s="2591"/>
      <c r="BQ13" s="2591"/>
      <c r="BR13" s="2591"/>
      <c r="BS13" s="2678"/>
      <c r="BT13" s="2678"/>
      <c r="BU13" s="2678"/>
    </row>
    <row r="14" hidden="1" spans="1:73">
      <c r="A14" s="2514" t="s">
        <v>1185</v>
      </c>
      <c r="B14" s="2514" t="s">
        <v>1186</v>
      </c>
      <c r="C14" s="2518" t="s">
        <v>1187</v>
      </c>
      <c r="D14" s="2518" t="s">
        <v>1188</v>
      </c>
      <c r="E14" s="2514" t="s">
        <v>1060</v>
      </c>
      <c r="F14" s="2521" t="s">
        <v>1189</v>
      </c>
      <c r="G14" s="2514"/>
      <c r="H14" s="2514" t="s">
        <v>1180</v>
      </c>
      <c r="I14" s="2514"/>
      <c r="J14" s="2518" t="s">
        <v>1190</v>
      </c>
      <c r="K14" s="2514" t="s">
        <v>1186</v>
      </c>
      <c r="L14" s="2542">
        <v>82</v>
      </c>
      <c r="M14" s="2514">
        <v>15</v>
      </c>
      <c r="N14" s="2514" t="s">
        <v>1064</v>
      </c>
      <c r="O14" s="2514"/>
      <c r="P14" s="2514" t="s">
        <v>1065</v>
      </c>
      <c r="Q14" s="2556">
        <v>450000</v>
      </c>
      <c r="R14" s="2542">
        <v>5488</v>
      </c>
      <c r="S14" s="2542">
        <v>43.46</v>
      </c>
      <c r="T14" s="2561">
        <v>434600</v>
      </c>
      <c r="U14" s="2556">
        <v>5300</v>
      </c>
      <c r="V14" s="2558">
        <v>0.2</v>
      </c>
      <c r="W14" s="2559">
        <v>34.76</v>
      </c>
      <c r="X14" s="2562">
        <v>347600</v>
      </c>
      <c r="Y14" s="2591">
        <v>2004</v>
      </c>
      <c r="Z14" s="2591">
        <v>3</v>
      </c>
      <c r="AA14" s="2591">
        <v>16</v>
      </c>
      <c r="AB14" s="2517">
        <v>2170</v>
      </c>
      <c r="AC14" s="2514" t="s">
        <v>1112</v>
      </c>
      <c r="AD14" s="2517"/>
      <c r="AE14" s="2514" t="s">
        <v>179</v>
      </c>
      <c r="AF14" s="2514" t="s">
        <v>1068</v>
      </c>
      <c r="AG14" s="2514" t="s">
        <v>1069</v>
      </c>
      <c r="AH14" s="2517"/>
      <c r="AI14" s="2514" t="s">
        <v>1070</v>
      </c>
      <c r="AJ14" s="2600"/>
      <c r="AK14" s="2603" t="s">
        <v>1072</v>
      </c>
      <c r="AL14" s="2591">
        <v>67641700</v>
      </c>
      <c r="AM14" s="2591"/>
      <c r="AN14" s="2591" t="s">
        <v>1088</v>
      </c>
      <c r="AO14" s="2591"/>
      <c r="AP14" s="2591" t="s">
        <v>1191</v>
      </c>
      <c r="AQ14" s="2591" t="s">
        <v>1074</v>
      </c>
      <c r="AR14" s="2591">
        <v>2004</v>
      </c>
      <c r="AS14" s="2591">
        <v>3</v>
      </c>
      <c r="AT14" s="2591">
        <v>9</v>
      </c>
      <c r="AU14" s="2591"/>
      <c r="AV14" s="2591"/>
      <c r="AW14" s="2591"/>
      <c r="AX14" s="2591"/>
      <c r="AY14" s="2631"/>
      <c r="AZ14" s="2591"/>
      <c r="BA14" s="2591"/>
      <c r="BB14" s="2631"/>
      <c r="BC14" s="2591"/>
      <c r="BD14" s="2632"/>
      <c r="BE14" s="2591"/>
      <c r="BF14" s="2651"/>
      <c r="BG14" s="2652"/>
      <c r="BH14" s="2591"/>
      <c r="BI14" s="2594" t="s">
        <v>1191</v>
      </c>
      <c r="BJ14" s="2653"/>
      <c r="BK14" s="2653"/>
      <c r="BL14" s="2514"/>
      <c r="BM14" s="2591"/>
      <c r="BN14" s="2591"/>
      <c r="BO14" s="2591"/>
      <c r="BP14" s="2591"/>
      <c r="BQ14" s="2591" t="e">
        <v>#DIV/0!</v>
      </c>
      <c r="BR14" s="2591" t="e">
        <v>#DIV/0!</v>
      </c>
      <c r="BS14" s="2678"/>
      <c r="BT14" s="2678"/>
      <c r="BU14" s="2678"/>
    </row>
    <row r="15" hidden="1" spans="1:73">
      <c r="A15" s="2514" t="s">
        <v>1192</v>
      </c>
      <c r="B15" s="2514" t="s">
        <v>1193</v>
      </c>
      <c r="C15" s="2514" t="s">
        <v>1194</v>
      </c>
      <c r="D15" s="2515">
        <v>68635640</v>
      </c>
      <c r="E15" s="2514" t="s">
        <v>1060</v>
      </c>
      <c r="F15" s="2514" t="s">
        <v>1195</v>
      </c>
      <c r="G15" s="2514"/>
      <c r="H15" s="2516" t="s">
        <v>1084</v>
      </c>
      <c r="I15" s="2515" t="s">
        <v>1196</v>
      </c>
      <c r="J15" s="2516" t="s">
        <v>1197</v>
      </c>
      <c r="K15" s="2514" t="s">
        <v>1198</v>
      </c>
      <c r="L15" s="2542">
        <v>49.8</v>
      </c>
      <c r="M15" s="2516">
        <v>1</v>
      </c>
      <c r="N15" s="2514" t="s">
        <v>1064</v>
      </c>
      <c r="O15" s="2514"/>
      <c r="P15" s="2514" t="s">
        <v>1065</v>
      </c>
      <c r="Q15" s="2556">
        <v>180000</v>
      </c>
      <c r="R15" s="2542">
        <v>3614</v>
      </c>
      <c r="S15" s="2542">
        <v>24.86</v>
      </c>
      <c r="T15" s="2557">
        <v>248600</v>
      </c>
      <c r="U15" s="2556">
        <v>4993</v>
      </c>
      <c r="V15" s="2558">
        <v>0.05</v>
      </c>
      <c r="W15" s="2559">
        <v>23.61</v>
      </c>
      <c r="X15" s="2560">
        <v>236100</v>
      </c>
      <c r="Y15" s="2514">
        <v>2004</v>
      </c>
      <c r="Z15" s="2514">
        <v>4</v>
      </c>
      <c r="AA15" s="2514">
        <v>9</v>
      </c>
      <c r="AB15" s="2517">
        <v>1240</v>
      </c>
      <c r="AC15" s="2514" t="s">
        <v>1066</v>
      </c>
      <c r="AD15" s="2514"/>
      <c r="AE15" s="2514" t="s">
        <v>1067</v>
      </c>
      <c r="AF15" s="2514" t="s">
        <v>1068</v>
      </c>
      <c r="AG15" s="2514" t="s">
        <v>1069</v>
      </c>
      <c r="AH15" s="2514"/>
      <c r="AI15" s="2514" t="s">
        <v>1067</v>
      </c>
      <c r="AJ15" s="2516"/>
      <c r="AK15" s="2514" t="s">
        <v>1182</v>
      </c>
      <c r="AL15" s="2514">
        <v>82253557</v>
      </c>
      <c r="AM15" s="2514"/>
      <c r="AN15" s="2514" t="s">
        <v>1088</v>
      </c>
      <c r="AO15" s="2514"/>
      <c r="AP15" s="2514" t="s">
        <v>1073</v>
      </c>
      <c r="AQ15" s="2514" t="s">
        <v>1089</v>
      </c>
      <c r="AR15" s="2514"/>
      <c r="AS15" s="2514"/>
      <c r="AT15" s="2514"/>
      <c r="AU15" s="2514"/>
      <c r="AV15" s="2514"/>
      <c r="AW15" s="2514" t="s">
        <v>1174</v>
      </c>
      <c r="AX15" s="2514"/>
      <c r="AY15" s="2523"/>
      <c r="AZ15" s="2514" t="s">
        <v>1198</v>
      </c>
      <c r="BA15" s="2514"/>
      <c r="BB15" s="2514"/>
      <c r="BC15" s="2514"/>
      <c r="BD15" s="2514"/>
      <c r="BE15" s="2514"/>
      <c r="BF15" s="2514"/>
      <c r="BG15" s="2605">
        <v>38051</v>
      </c>
      <c r="BH15" s="2514"/>
      <c r="BI15" s="2523" t="s">
        <v>175</v>
      </c>
      <c r="BJ15" s="2650">
        <v>38062</v>
      </c>
      <c r="BK15" s="2650"/>
      <c r="BL15" s="2514" t="s">
        <v>1199</v>
      </c>
      <c r="BM15" s="2514" t="s">
        <v>1200</v>
      </c>
      <c r="BN15" s="2514" t="s">
        <v>1077</v>
      </c>
      <c r="BO15" s="2514" t="s">
        <v>1128</v>
      </c>
      <c r="BP15" s="2514"/>
      <c r="BQ15" s="2514"/>
      <c r="BR15" s="2514"/>
      <c r="BS15" s="2678"/>
      <c r="BT15" s="2678"/>
      <c r="BU15" s="2678"/>
    </row>
    <row r="16" hidden="1" spans="1:73">
      <c r="A16" s="2514" t="s">
        <v>1201</v>
      </c>
      <c r="B16" s="2514" t="s">
        <v>1202</v>
      </c>
      <c r="C16" s="2518" t="s">
        <v>1203</v>
      </c>
      <c r="D16" s="2515" t="s">
        <v>1204</v>
      </c>
      <c r="E16" s="2514" t="s">
        <v>1060</v>
      </c>
      <c r="F16" s="2514" t="s">
        <v>1205</v>
      </c>
      <c r="G16" s="2514"/>
      <c r="H16" s="2516" t="s">
        <v>1098</v>
      </c>
      <c r="I16" s="2515"/>
      <c r="J16" s="2516" t="s">
        <v>1206</v>
      </c>
      <c r="K16" s="2514"/>
      <c r="L16" s="2542">
        <v>94.3</v>
      </c>
      <c r="M16" s="2516">
        <v>3</v>
      </c>
      <c r="N16" s="2514" t="s">
        <v>1064</v>
      </c>
      <c r="O16" s="2514"/>
      <c r="P16" s="2514" t="s">
        <v>1065</v>
      </c>
      <c r="Q16" s="2556">
        <v>650000</v>
      </c>
      <c r="R16" s="2542">
        <v>6893</v>
      </c>
      <c r="S16" s="2542">
        <v>63.05</v>
      </c>
      <c r="T16" s="2557">
        <v>630500</v>
      </c>
      <c r="U16" s="2556">
        <v>6687</v>
      </c>
      <c r="V16" s="2558">
        <v>0.05</v>
      </c>
      <c r="W16" s="2559">
        <v>59.89</v>
      </c>
      <c r="X16" s="2560">
        <v>598900</v>
      </c>
      <c r="Y16" s="2514">
        <v>2004</v>
      </c>
      <c r="Z16" s="2514">
        <v>3</v>
      </c>
      <c r="AA16" s="2514">
        <v>17</v>
      </c>
      <c r="AB16" s="2517">
        <v>3150</v>
      </c>
      <c r="AC16" s="2514" t="s">
        <v>1066</v>
      </c>
      <c r="AD16" s="2514"/>
      <c r="AE16" s="2514" t="s">
        <v>1067</v>
      </c>
      <c r="AF16" s="2514" t="s">
        <v>1068</v>
      </c>
      <c r="AG16" s="2514" t="s">
        <v>1069</v>
      </c>
      <c r="AH16" s="2514" t="s">
        <v>1207</v>
      </c>
      <c r="AI16" s="2514" t="s">
        <v>175</v>
      </c>
      <c r="AJ16" s="2516"/>
      <c r="AK16" s="2514" t="s">
        <v>1072</v>
      </c>
      <c r="AL16" s="2514">
        <v>82253557</v>
      </c>
      <c r="AM16" s="2514"/>
      <c r="AN16" s="2514" t="s">
        <v>1072</v>
      </c>
      <c r="AO16" s="2514"/>
      <c r="AP16" s="2514" t="s">
        <v>1208</v>
      </c>
      <c r="AQ16" s="2514" t="s">
        <v>1074</v>
      </c>
      <c r="AR16" s="2514"/>
      <c r="AS16" s="2514"/>
      <c r="AT16" s="2514"/>
      <c r="AU16" s="2514"/>
      <c r="AV16" s="2514"/>
      <c r="AW16" s="2514" t="s">
        <v>1075</v>
      </c>
      <c r="AX16" s="2514"/>
      <c r="AY16" s="2523"/>
      <c r="AZ16" s="2514" t="s">
        <v>1209</v>
      </c>
      <c r="BA16" s="2514"/>
      <c r="BB16" s="2514"/>
      <c r="BC16" s="2514"/>
      <c r="BD16" s="2514"/>
      <c r="BE16" s="2514">
        <v>82579062</v>
      </c>
      <c r="BF16" s="2514"/>
      <c r="BG16" s="2605">
        <v>38061</v>
      </c>
      <c r="BH16" s="2514"/>
      <c r="BI16" s="2523" t="s">
        <v>1208</v>
      </c>
      <c r="BJ16" s="2650">
        <v>38061</v>
      </c>
      <c r="BK16" s="2650"/>
      <c r="BL16" s="2514" t="s">
        <v>1092</v>
      </c>
      <c r="BM16" s="2514" t="s">
        <v>888</v>
      </c>
      <c r="BN16" s="2514" t="s">
        <v>1077</v>
      </c>
      <c r="BO16" s="2514" t="s">
        <v>1184</v>
      </c>
      <c r="BP16" s="2514"/>
      <c r="BQ16" s="2679" t="e">
        <v>#DIV/0!</v>
      </c>
      <c r="BR16" s="2679" t="e">
        <v>#DIV/0!</v>
      </c>
      <c r="BS16" s="2678"/>
      <c r="BT16" s="2678"/>
      <c r="BU16" s="2678"/>
    </row>
    <row r="17" hidden="1" spans="1:73">
      <c r="A17" s="2514" t="s">
        <v>1210</v>
      </c>
      <c r="B17" s="2514" t="s">
        <v>1211</v>
      </c>
      <c r="C17" s="2514" t="s">
        <v>1212</v>
      </c>
      <c r="D17" s="2515">
        <v>13601369298</v>
      </c>
      <c r="E17" s="2514" t="s">
        <v>1060</v>
      </c>
      <c r="F17" s="2514" t="s">
        <v>1213</v>
      </c>
      <c r="G17" s="2514"/>
      <c r="H17" s="2516" t="s">
        <v>1084</v>
      </c>
      <c r="I17" s="2515"/>
      <c r="J17" s="2516" t="s">
        <v>1214</v>
      </c>
      <c r="K17" s="2514" t="s">
        <v>1211</v>
      </c>
      <c r="L17" s="2542">
        <v>80.5</v>
      </c>
      <c r="M17" s="2516">
        <v>12</v>
      </c>
      <c r="N17" s="2514" t="s">
        <v>1064</v>
      </c>
      <c r="O17" s="2514"/>
      <c r="P17" s="2514" t="s">
        <v>1065</v>
      </c>
      <c r="Q17" s="2556">
        <v>500000</v>
      </c>
      <c r="R17" s="2542">
        <v>6211</v>
      </c>
      <c r="S17" s="2542">
        <v>47.89</v>
      </c>
      <c r="T17" s="2557">
        <v>478900</v>
      </c>
      <c r="U17" s="2556">
        <v>5950</v>
      </c>
      <c r="V17" s="2558">
        <v>0.2</v>
      </c>
      <c r="W17" s="2559">
        <v>38.31</v>
      </c>
      <c r="X17" s="2560">
        <v>383100</v>
      </c>
      <c r="Y17" s="2514">
        <v>2004</v>
      </c>
      <c r="Z17" s="2514">
        <v>4</v>
      </c>
      <c r="AA17" s="2514">
        <v>13</v>
      </c>
      <c r="AB17" s="2517">
        <v>2390</v>
      </c>
      <c r="AC17" s="2514" t="s">
        <v>1112</v>
      </c>
      <c r="AD17" s="2514"/>
      <c r="AE17" s="2514" t="s">
        <v>175</v>
      </c>
      <c r="AF17" s="2514" t="s">
        <v>1068</v>
      </c>
      <c r="AG17" s="2514" t="s">
        <v>1069</v>
      </c>
      <c r="AH17" s="2514"/>
      <c r="AI17" s="2514" t="s">
        <v>1070</v>
      </c>
      <c r="AJ17" s="2516"/>
      <c r="AK17" s="2514" t="s">
        <v>1182</v>
      </c>
      <c r="AL17" s="2514">
        <v>82253557</v>
      </c>
      <c r="AM17" s="2514"/>
      <c r="AN17" s="2514" t="s">
        <v>1072</v>
      </c>
      <c r="AO17" s="2514"/>
      <c r="AP17" s="2514" t="s">
        <v>1073</v>
      </c>
      <c r="AQ17" s="2514" t="s">
        <v>1089</v>
      </c>
      <c r="AR17" s="2514"/>
      <c r="AS17" s="2514"/>
      <c r="AT17" s="2514"/>
      <c r="AU17" s="2514"/>
      <c r="AV17" s="2514"/>
      <c r="AW17" s="2514" t="s">
        <v>1174</v>
      </c>
      <c r="AX17" s="2514"/>
      <c r="AY17" s="2523"/>
      <c r="AZ17" s="2514" t="s">
        <v>1215</v>
      </c>
      <c r="BA17" s="2514"/>
      <c r="BB17" s="2514"/>
      <c r="BC17" s="2514"/>
      <c r="BD17" s="2514"/>
      <c r="BE17" s="2514"/>
      <c r="BF17" s="2514"/>
      <c r="BG17" s="2605">
        <v>38064</v>
      </c>
      <c r="BH17" s="2514"/>
      <c r="BI17" s="2523" t="s">
        <v>175</v>
      </c>
      <c r="BJ17" s="2650"/>
      <c r="BK17" s="2650"/>
      <c r="BL17" s="2514"/>
      <c r="BM17" s="2514" t="s">
        <v>888</v>
      </c>
      <c r="BN17" s="2514" t="s">
        <v>1174</v>
      </c>
      <c r="BO17" s="2514" t="s">
        <v>1128</v>
      </c>
      <c r="BP17" s="2514"/>
      <c r="BQ17" s="2514"/>
      <c r="BR17" s="2514"/>
      <c r="BS17" s="2532"/>
      <c r="BT17" s="2532"/>
      <c r="BU17" s="2532"/>
    </row>
    <row r="18" hidden="1" spans="1:73">
      <c r="A18" s="2514" t="s">
        <v>1216</v>
      </c>
      <c r="B18" s="2514" t="s">
        <v>1217</v>
      </c>
      <c r="C18" s="2514" t="s">
        <v>1218</v>
      </c>
      <c r="D18" s="2515" t="s">
        <v>1219</v>
      </c>
      <c r="E18" s="2514" t="s">
        <v>1060</v>
      </c>
      <c r="F18" s="2514" t="s">
        <v>1220</v>
      </c>
      <c r="G18" s="2514"/>
      <c r="H18" s="2516" t="s">
        <v>1221</v>
      </c>
      <c r="I18" s="2515" t="s">
        <v>1222</v>
      </c>
      <c r="J18" s="2516" t="s">
        <v>1223</v>
      </c>
      <c r="K18" s="2514" t="s">
        <v>1217</v>
      </c>
      <c r="L18" s="2542">
        <v>58.7</v>
      </c>
      <c r="M18" s="2516">
        <v>6</v>
      </c>
      <c r="N18" s="2514" t="s">
        <v>1064</v>
      </c>
      <c r="O18" s="2514"/>
      <c r="P18" s="2514" t="s">
        <v>1065</v>
      </c>
      <c r="Q18" s="2556">
        <v>250000</v>
      </c>
      <c r="R18" s="2542">
        <v>4259</v>
      </c>
      <c r="S18" s="2542">
        <v>24.59</v>
      </c>
      <c r="T18" s="2561">
        <v>245900</v>
      </c>
      <c r="U18" s="2556">
        <v>4190</v>
      </c>
      <c r="V18" s="2558">
        <v>0.05</v>
      </c>
      <c r="W18" s="2559">
        <v>23.36</v>
      </c>
      <c r="X18" s="2562">
        <v>233600</v>
      </c>
      <c r="Y18" s="2514">
        <v>2004</v>
      </c>
      <c r="Z18" s="2514">
        <v>4</v>
      </c>
      <c r="AA18" s="2514">
        <v>2</v>
      </c>
      <c r="AB18" s="2517">
        <v>1225</v>
      </c>
      <c r="AC18" s="2514" t="s">
        <v>1066</v>
      </c>
      <c r="AD18" s="2514"/>
      <c r="AE18" s="2514" t="s">
        <v>1067</v>
      </c>
      <c r="AF18" s="2514" t="s">
        <v>1068</v>
      </c>
      <c r="AG18" s="2514" t="s">
        <v>1069</v>
      </c>
      <c r="AH18" s="2514"/>
      <c r="AI18" s="2514" t="s">
        <v>175</v>
      </c>
      <c r="AJ18" s="2516"/>
      <c r="AK18" s="2514" t="s">
        <v>1182</v>
      </c>
      <c r="AL18" s="2514">
        <v>82253557</v>
      </c>
      <c r="AM18" s="2514"/>
      <c r="AN18" s="2514" t="s">
        <v>1087</v>
      </c>
      <c r="AO18" s="2514"/>
      <c r="AP18" s="2514" t="s">
        <v>1073</v>
      </c>
      <c r="AQ18" s="2514" t="s">
        <v>1089</v>
      </c>
      <c r="AR18" s="2514"/>
      <c r="AS18" s="2514"/>
      <c r="AT18" s="2514"/>
      <c r="AU18" s="2514"/>
      <c r="AV18" s="2514"/>
      <c r="AW18" s="2514" t="s">
        <v>1224</v>
      </c>
      <c r="AX18" s="2514"/>
      <c r="AY18" s="2523"/>
      <c r="AZ18" s="2514"/>
      <c r="BA18" s="2514"/>
      <c r="BB18" s="2514"/>
      <c r="BC18" s="2514"/>
      <c r="BD18" s="2514"/>
      <c r="BE18" s="2514"/>
      <c r="BF18" s="2514"/>
      <c r="BG18" s="2605">
        <v>38063</v>
      </c>
      <c r="BH18" s="2514"/>
      <c r="BI18" s="2523" t="s">
        <v>1067</v>
      </c>
      <c r="BJ18" s="2650">
        <v>38063</v>
      </c>
      <c r="BK18" s="2650"/>
      <c r="BL18" s="2514" t="s">
        <v>1092</v>
      </c>
      <c r="BM18" s="2514" t="s">
        <v>888</v>
      </c>
      <c r="BN18" s="2514" t="s">
        <v>1077</v>
      </c>
      <c r="BO18" s="2514" t="s">
        <v>1225</v>
      </c>
      <c r="BP18" s="2514"/>
      <c r="BQ18" s="2514" t="e">
        <v>#DIV/0!</v>
      </c>
      <c r="BR18" s="2514" t="e">
        <v>#DIV/0!</v>
      </c>
      <c r="BS18" s="2532"/>
      <c r="BT18" s="2532"/>
      <c r="BU18" s="2532"/>
    </row>
    <row r="19" hidden="1" spans="1:73">
      <c r="A19" s="2514" t="s">
        <v>1226</v>
      </c>
      <c r="B19" s="2514" t="s">
        <v>1227</v>
      </c>
      <c r="C19" s="2518" t="s">
        <v>1228</v>
      </c>
      <c r="D19" s="2515" t="s">
        <v>1229</v>
      </c>
      <c r="E19" s="2514" t="s">
        <v>1060</v>
      </c>
      <c r="F19" s="2514" t="s">
        <v>1230</v>
      </c>
      <c r="G19" s="2514"/>
      <c r="H19" s="2516" t="s">
        <v>1180</v>
      </c>
      <c r="I19" s="2515"/>
      <c r="J19" s="2516" t="s">
        <v>1231</v>
      </c>
      <c r="K19" s="2514" t="s">
        <v>1227</v>
      </c>
      <c r="L19" s="2542">
        <v>110.99</v>
      </c>
      <c r="M19" s="2516">
        <v>21</v>
      </c>
      <c r="N19" s="2514" t="s">
        <v>1232</v>
      </c>
      <c r="O19" s="2514"/>
      <c r="P19" s="2514" t="s">
        <v>1065</v>
      </c>
      <c r="Q19" s="2556">
        <v>630000</v>
      </c>
      <c r="R19" s="2542">
        <v>5676</v>
      </c>
      <c r="S19" s="2542">
        <v>59.42</v>
      </c>
      <c r="T19" s="2557">
        <v>594200</v>
      </c>
      <c r="U19" s="2556">
        <v>5354</v>
      </c>
      <c r="V19" s="2558">
        <v>0.05</v>
      </c>
      <c r="W19" s="2559">
        <v>56.44</v>
      </c>
      <c r="X19" s="2560">
        <v>564400</v>
      </c>
      <c r="Y19" s="2514">
        <v>2004</v>
      </c>
      <c r="Z19" s="2514">
        <v>3</v>
      </c>
      <c r="AA19" s="2514">
        <v>24</v>
      </c>
      <c r="AB19" s="2517">
        <v>2970</v>
      </c>
      <c r="AC19" s="2514" t="s">
        <v>1066</v>
      </c>
      <c r="AD19" s="2514"/>
      <c r="AE19" s="2514" t="s">
        <v>179</v>
      </c>
      <c r="AF19" s="2514" t="s">
        <v>1068</v>
      </c>
      <c r="AG19" s="2514" t="s">
        <v>1069</v>
      </c>
      <c r="AH19" s="2514"/>
      <c r="AI19" s="2514" t="s">
        <v>1070</v>
      </c>
      <c r="AJ19" s="2516"/>
      <c r="AK19" s="2514" t="s">
        <v>1072</v>
      </c>
      <c r="AL19" s="2591">
        <v>82253557</v>
      </c>
      <c r="AM19" s="2514"/>
      <c r="AN19" s="2514" t="s">
        <v>1182</v>
      </c>
      <c r="AO19" s="2514"/>
      <c r="AP19" s="2514" t="s">
        <v>1073</v>
      </c>
      <c r="AQ19" s="2514" t="s">
        <v>1074</v>
      </c>
      <c r="AR19" s="2514"/>
      <c r="AS19" s="2514"/>
      <c r="AT19" s="2514"/>
      <c r="AU19" s="2514"/>
      <c r="AV19" s="2514"/>
      <c r="AW19" s="2514" t="s">
        <v>1174</v>
      </c>
      <c r="AX19" s="2514"/>
      <c r="AY19" s="2523"/>
      <c r="AZ19" s="2514" t="s">
        <v>1233</v>
      </c>
      <c r="BA19" s="2514"/>
      <c r="BB19" s="2514"/>
      <c r="BC19" s="2514"/>
      <c r="BD19" s="2514"/>
      <c r="BE19" s="2514"/>
      <c r="BF19" s="2514"/>
      <c r="BG19" s="2605">
        <v>37979</v>
      </c>
      <c r="BH19" s="2514"/>
      <c r="BI19" s="2523" t="s">
        <v>1073</v>
      </c>
      <c r="BJ19" s="2650">
        <v>38065</v>
      </c>
      <c r="BK19" s="2650"/>
      <c r="BL19" s="2514" t="s">
        <v>1199</v>
      </c>
      <c r="BM19" s="2514" t="s">
        <v>888</v>
      </c>
      <c r="BN19" s="2514" t="s">
        <v>1148</v>
      </c>
      <c r="BO19" s="2514" t="s">
        <v>1234</v>
      </c>
      <c r="BP19" s="2514"/>
      <c r="BQ19" s="2591" t="e">
        <v>#DIV/0!</v>
      </c>
      <c r="BR19" s="2591" t="e">
        <v>#DIV/0!</v>
      </c>
      <c r="BS19" s="2532"/>
      <c r="BT19" s="2532"/>
      <c r="BU19" s="2532"/>
    </row>
    <row r="20" hidden="1" spans="1:73">
      <c r="A20" s="2514" t="s">
        <v>1235</v>
      </c>
      <c r="B20" s="2514" t="s">
        <v>1236</v>
      </c>
      <c r="C20" s="2514" t="s">
        <v>1237</v>
      </c>
      <c r="D20" s="2515">
        <v>13901169721</v>
      </c>
      <c r="E20" s="2514" t="s">
        <v>1060</v>
      </c>
      <c r="F20" s="2514" t="s">
        <v>1238</v>
      </c>
      <c r="G20" s="2514"/>
      <c r="H20" s="2516" t="s">
        <v>1239</v>
      </c>
      <c r="I20" s="2515"/>
      <c r="J20" s="2516" t="s">
        <v>1240</v>
      </c>
      <c r="K20" s="2514" t="s">
        <v>1241</v>
      </c>
      <c r="L20" s="2542">
        <v>103.49</v>
      </c>
      <c r="M20" s="2516">
        <v>12</v>
      </c>
      <c r="N20" s="2514" t="s">
        <v>1123</v>
      </c>
      <c r="O20" s="2514"/>
      <c r="P20" s="2514" t="s">
        <v>1065</v>
      </c>
      <c r="Q20" s="2556">
        <v>550000</v>
      </c>
      <c r="R20" s="2542">
        <v>5315</v>
      </c>
      <c r="S20" s="2542">
        <v>59.29</v>
      </c>
      <c r="T20" s="2557">
        <v>592900</v>
      </c>
      <c r="U20" s="2556">
        <v>5730</v>
      </c>
      <c r="V20" s="2558">
        <v>0.05</v>
      </c>
      <c r="W20" s="2559">
        <v>56.32</v>
      </c>
      <c r="X20" s="2560">
        <v>563200</v>
      </c>
      <c r="Y20" s="2514">
        <v>2004</v>
      </c>
      <c r="Z20" s="2514">
        <v>5</v>
      </c>
      <c r="AA20" s="2514">
        <v>13</v>
      </c>
      <c r="AB20" s="2592">
        <v>2960</v>
      </c>
      <c r="AC20" s="2514" t="s">
        <v>1066</v>
      </c>
      <c r="AD20" s="2514"/>
      <c r="AE20" s="2514" t="s">
        <v>175</v>
      </c>
      <c r="AF20" s="2514" t="s">
        <v>1068</v>
      </c>
      <c r="AG20" s="2514" t="s">
        <v>1069</v>
      </c>
      <c r="AH20" s="2514"/>
      <c r="AI20" s="2514" t="s">
        <v>1070</v>
      </c>
      <c r="AJ20" s="2516"/>
      <c r="AK20" s="2599" t="s">
        <v>1071</v>
      </c>
      <c r="AL20" s="2514">
        <v>82253557</v>
      </c>
      <c r="AM20" s="2514"/>
      <c r="AN20" s="2514" t="s">
        <v>1087</v>
      </c>
      <c r="AO20" s="2514"/>
      <c r="AP20" s="2514" t="s">
        <v>1073</v>
      </c>
      <c r="AQ20" s="2514" t="s">
        <v>1089</v>
      </c>
      <c r="AR20" s="2514"/>
      <c r="AS20" s="2514"/>
      <c r="AT20" s="2514"/>
      <c r="AU20" s="2514"/>
      <c r="AV20" s="2514"/>
      <c r="AW20" s="2514" t="s">
        <v>1174</v>
      </c>
      <c r="AX20" s="2514"/>
      <c r="AY20" s="2523"/>
      <c r="AZ20" s="2514" t="s">
        <v>1241</v>
      </c>
      <c r="BA20" s="2514"/>
      <c r="BB20" s="2514"/>
      <c r="BC20" s="2514"/>
      <c r="BD20" s="2514"/>
      <c r="BE20" s="2514"/>
      <c r="BF20" s="2514"/>
      <c r="BG20" s="2605">
        <v>38001</v>
      </c>
      <c r="BH20" s="2514"/>
      <c r="BI20" s="2523" t="s">
        <v>175</v>
      </c>
      <c r="BJ20" s="2650">
        <v>38072</v>
      </c>
      <c r="BK20" s="2650"/>
      <c r="BL20" s="2514"/>
      <c r="BM20" s="2514" t="s">
        <v>1242</v>
      </c>
      <c r="BN20" s="2514" t="s">
        <v>1174</v>
      </c>
      <c r="BO20" s="2514" t="s">
        <v>1243</v>
      </c>
      <c r="BP20" s="2514"/>
      <c r="BQ20" s="2514"/>
      <c r="BR20" s="2514"/>
      <c r="BS20" s="2532"/>
      <c r="BT20" s="2532"/>
      <c r="BU20" s="2532"/>
    </row>
    <row r="21" hidden="1" spans="1:73">
      <c r="A21" s="2515" t="s">
        <v>1244</v>
      </c>
      <c r="B21" s="2514" t="s">
        <v>1245</v>
      </c>
      <c r="C21" s="2518" t="s">
        <v>1246</v>
      </c>
      <c r="D21" s="2515">
        <v>82475329</v>
      </c>
      <c r="E21" s="2514" t="s">
        <v>1060</v>
      </c>
      <c r="F21" s="2515" t="s">
        <v>1247</v>
      </c>
      <c r="G21" s="2514"/>
      <c r="H21" s="2516" t="s">
        <v>1248</v>
      </c>
      <c r="I21" s="2515" t="s">
        <v>1143</v>
      </c>
      <c r="J21" s="2516" t="s">
        <v>1249</v>
      </c>
      <c r="K21" s="2514" t="s">
        <v>1245</v>
      </c>
      <c r="L21" s="2542">
        <v>68.12</v>
      </c>
      <c r="M21" s="2516">
        <v>5</v>
      </c>
      <c r="N21" s="2514" t="s">
        <v>1064</v>
      </c>
      <c r="O21" s="2514"/>
      <c r="P21" s="2514" t="s">
        <v>1065</v>
      </c>
      <c r="Q21" s="2556">
        <v>220000</v>
      </c>
      <c r="R21" s="2542">
        <v>3230</v>
      </c>
      <c r="S21" s="2542">
        <v>17.03</v>
      </c>
      <c r="T21" s="2561">
        <v>170300</v>
      </c>
      <c r="U21" s="2556">
        <v>2500</v>
      </c>
      <c r="V21" s="2558">
        <v>0.05</v>
      </c>
      <c r="W21" s="2559">
        <v>16.17</v>
      </c>
      <c r="X21" s="2562">
        <v>161700</v>
      </c>
      <c r="Y21" s="2514">
        <v>2004</v>
      </c>
      <c r="Z21" s="2514">
        <v>4</v>
      </c>
      <c r="AA21" s="2515">
        <v>8</v>
      </c>
      <c r="AB21" s="2515">
        <v>850</v>
      </c>
      <c r="AC21" s="2514" t="s">
        <v>1066</v>
      </c>
      <c r="AD21" s="2515"/>
      <c r="AE21" s="2515" t="s">
        <v>175</v>
      </c>
      <c r="AF21" s="2515" t="s">
        <v>1068</v>
      </c>
      <c r="AG21" s="2515" t="s">
        <v>1069</v>
      </c>
      <c r="AH21" s="2514"/>
      <c r="AI21" s="2514"/>
      <c r="AJ21" s="2516"/>
      <c r="AK21" s="2514" t="s">
        <v>1182</v>
      </c>
      <c r="AL21" s="2514">
        <v>82253572</v>
      </c>
      <c r="AM21" s="2514"/>
      <c r="AN21" s="2514" t="s">
        <v>1088</v>
      </c>
      <c r="AO21" s="2514"/>
      <c r="AP21" s="2514" t="s">
        <v>175</v>
      </c>
      <c r="AQ21" s="2514" t="s">
        <v>1074</v>
      </c>
      <c r="AR21" s="2514"/>
      <c r="AS21" s="2514"/>
      <c r="AT21" s="2514"/>
      <c r="AU21" s="2514"/>
      <c r="AV21" s="2514"/>
      <c r="AW21" s="2514" t="s">
        <v>1250</v>
      </c>
      <c r="AX21" s="2514"/>
      <c r="AY21" s="2523"/>
      <c r="AZ21" s="2514" t="s">
        <v>1251</v>
      </c>
      <c r="BA21" s="2514"/>
      <c r="BB21" s="2514"/>
      <c r="BC21" s="2514"/>
      <c r="BD21" s="2514"/>
      <c r="BE21" s="2514"/>
      <c r="BF21" s="2514"/>
      <c r="BG21" s="2605" t="s">
        <v>1252</v>
      </c>
      <c r="BH21" s="2514"/>
      <c r="BI21" s="2523" t="s">
        <v>175</v>
      </c>
      <c r="BJ21" s="2650">
        <v>38082</v>
      </c>
      <c r="BK21" s="2650"/>
      <c r="BL21" s="2514"/>
      <c r="BM21" s="2514" t="s">
        <v>1253</v>
      </c>
      <c r="BN21" s="2514" t="s">
        <v>1077</v>
      </c>
      <c r="BO21" s="2514" t="s">
        <v>1104</v>
      </c>
      <c r="BP21" s="2514"/>
      <c r="BQ21" s="2514"/>
      <c r="BR21" s="2514"/>
      <c r="BS21" s="2532"/>
      <c r="BT21" s="2532"/>
      <c r="BU21" s="2532"/>
    </row>
    <row r="22" hidden="1" spans="1:73">
      <c r="A22" s="2514" t="s">
        <v>1254</v>
      </c>
      <c r="B22" s="2514" t="s">
        <v>1255</v>
      </c>
      <c r="C22" s="2514" t="s">
        <v>1256</v>
      </c>
      <c r="D22" s="2515" t="s">
        <v>1257</v>
      </c>
      <c r="E22" s="2514" t="s">
        <v>1060</v>
      </c>
      <c r="F22" s="2514" t="s">
        <v>1258</v>
      </c>
      <c r="G22" s="2514"/>
      <c r="H22" s="2516" t="s">
        <v>1084</v>
      </c>
      <c r="I22" s="2515"/>
      <c r="J22" s="2516" t="s">
        <v>1166</v>
      </c>
      <c r="K22" s="2514"/>
      <c r="L22" s="2542">
        <v>60.29</v>
      </c>
      <c r="M22" s="2516">
        <v>3</v>
      </c>
      <c r="N22" s="2514" t="s">
        <v>1259</v>
      </c>
      <c r="O22" s="2514"/>
      <c r="P22" s="2514" t="s">
        <v>1065</v>
      </c>
      <c r="Q22" s="2556">
        <v>300000</v>
      </c>
      <c r="R22" s="2542">
        <v>4976</v>
      </c>
      <c r="S22" s="2542">
        <v>31.19</v>
      </c>
      <c r="T22" s="2557">
        <v>311900</v>
      </c>
      <c r="U22" s="2556">
        <v>5174</v>
      </c>
      <c r="V22" s="2558">
        <v>0.05</v>
      </c>
      <c r="W22" s="2559">
        <v>29.63</v>
      </c>
      <c r="X22" s="2560">
        <v>296300</v>
      </c>
      <c r="Y22" s="2514">
        <v>2004</v>
      </c>
      <c r="Z22" s="2514">
        <v>6</v>
      </c>
      <c r="AA22" s="2514">
        <v>8</v>
      </c>
      <c r="AB22" s="2517">
        <v>1555</v>
      </c>
      <c r="AC22" s="2514" t="s">
        <v>1066</v>
      </c>
      <c r="AD22" s="2514"/>
      <c r="AE22" s="2514" t="s">
        <v>1067</v>
      </c>
      <c r="AF22" s="2514" t="s">
        <v>1068</v>
      </c>
      <c r="AG22" s="2514" t="s">
        <v>1069</v>
      </c>
      <c r="AH22" s="2514" t="s">
        <v>1260</v>
      </c>
      <c r="AI22" s="2514" t="s">
        <v>1070</v>
      </c>
      <c r="AJ22" s="2516"/>
      <c r="AK22" s="2514" t="s">
        <v>1261</v>
      </c>
      <c r="AL22" s="2514">
        <v>82253572</v>
      </c>
      <c r="AM22" s="2514"/>
      <c r="AN22" s="2514" t="s">
        <v>1088</v>
      </c>
      <c r="AO22" s="2514"/>
      <c r="AP22" s="2514" t="s">
        <v>1073</v>
      </c>
      <c r="AQ22" s="2514" t="s">
        <v>1089</v>
      </c>
      <c r="AR22" s="2514"/>
      <c r="AS22" s="2514"/>
      <c r="AT22" s="2514"/>
      <c r="AU22" s="2514"/>
      <c r="AV22" s="2514"/>
      <c r="AW22" s="2514" t="s">
        <v>1075</v>
      </c>
      <c r="AX22" s="2514"/>
      <c r="AY22" s="2523"/>
      <c r="AZ22" s="2514" t="s">
        <v>1262</v>
      </c>
      <c r="BA22" s="2514"/>
      <c r="BB22" s="2514"/>
      <c r="BC22" s="2514"/>
      <c r="BD22" s="2514"/>
      <c r="BE22" s="2514">
        <v>13601291836</v>
      </c>
      <c r="BF22" s="2514"/>
      <c r="BG22" s="2605">
        <v>38075</v>
      </c>
      <c r="BH22" s="2514"/>
      <c r="BI22" s="2523" t="s">
        <v>1067</v>
      </c>
      <c r="BJ22" s="2650">
        <v>38083</v>
      </c>
      <c r="BK22" s="2650"/>
      <c r="BL22" s="2514"/>
      <c r="BM22" s="2514" t="s">
        <v>1263</v>
      </c>
      <c r="BN22" s="2514" t="s">
        <v>1077</v>
      </c>
      <c r="BO22" s="2514" t="s">
        <v>1234</v>
      </c>
      <c r="BP22" s="2514"/>
      <c r="BQ22" s="2514"/>
      <c r="BR22" s="2514"/>
      <c r="BS22" s="2532"/>
      <c r="BT22" s="2532"/>
      <c r="BU22" s="2532"/>
    </row>
    <row r="23" hidden="1" spans="1:73">
      <c r="A23" s="2517" t="s">
        <v>1264</v>
      </c>
      <c r="B23" s="2514" t="s">
        <v>1265</v>
      </c>
      <c r="C23" s="2518" t="s">
        <v>1266</v>
      </c>
      <c r="D23" s="2515">
        <v>13911833277</v>
      </c>
      <c r="E23" s="2514" t="s">
        <v>1060</v>
      </c>
      <c r="F23" s="2514" t="s">
        <v>1267</v>
      </c>
      <c r="G23" s="2514"/>
      <c r="H23" s="2514" t="s">
        <v>1084</v>
      </c>
      <c r="I23" s="2514" t="s">
        <v>1134</v>
      </c>
      <c r="J23" s="2514" t="s">
        <v>1268</v>
      </c>
      <c r="K23" s="2514" t="s">
        <v>1265</v>
      </c>
      <c r="L23" s="2542">
        <v>61.1</v>
      </c>
      <c r="M23" s="2514">
        <v>5</v>
      </c>
      <c r="N23" s="2515" t="s">
        <v>1064</v>
      </c>
      <c r="O23" s="2514"/>
      <c r="P23" s="2514" t="s">
        <v>1065</v>
      </c>
      <c r="Q23" s="2556">
        <v>290000</v>
      </c>
      <c r="R23" s="2542">
        <v>4746</v>
      </c>
      <c r="S23" s="2542">
        <v>30.03</v>
      </c>
      <c r="T23" s="2557">
        <v>300300</v>
      </c>
      <c r="U23" s="2556">
        <v>4916</v>
      </c>
      <c r="V23" s="2558">
        <v>0.05</v>
      </c>
      <c r="W23" s="2559">
        <v>28.52</v>
      </c>
      <c r="X23" s="2557">
        <v>285200</v>
      </c>
      <c r="Y23" s="2591">
        <v>2004</v>
      </c>
      <c r="Z23" s="2591">
        <v>4</v>
      </c>
      <c r="AA23" s="2514">
        <v>12</v>
      </c>
      <c r="AB23" s="2592">
        <v>1500</v>
      </c>
      <c r="AC23" s="2514" t="s">
        <v>1066</v>
      </c>
      <c r="AD23" s="2514"/>
      <c r="AE23" s="2514" t="s">
        <v>175</v>
      </c>
      <c r="AF23" s="2514" t="s">
        <v>1068</v>
      </c>
      <c r="AG23" s="2523" t="s">
        <v>1069</v>
      </c>
      <c r="AH23" s="2514"/>
      <c r="AI23" s="2514" t="s">
        <v>1070</v>
      </c>
      <c r="AJ23" s="2600"/>
      <c r="AK23" s="2599" t="s">
        <v>1182</v>
      </c>
      <c r="AL23" s="2514">
        <v>82253557</v>
      </c>
      <c r="AM23" s="2514"/>
      <c r="AN23" s="2514" t="s">
        <v>1072</v>
      </c>
      <c r="AO23" s="2514"/>
      <c r="AP23" s="2514" t="s">
        <v>175</v>
      </c>
      <c r="AQ23" s="2514"/>
      <c r="AR23" s="2514"/>
      <c r="AS23" s="2514"/>
      <c r="AT23" s="2514"/>
      <c r="AU23" s="2514"/>
      <c r="AV23" s="2514" t="s">
        <v>1114</v>
      </c>
      <c r="AW23" s="2514" t="s">
        <v>1075</v>
      </c>
      <c r="AX23" s="2514"/>
      <c r="AY23" s="2518"/>
      <c r="AZ23" s="2514" t="s">
        <v>1269</v>
      </c>
      <c r="BA23" s="2514"/>
      <c r="BB23" s="2518"/>
      <c r="BC23" s="2514"/>
      <c r="BD23" s="2633"/>
      <c r="BE23" s="2514"/>
      <c r="BF23" s="2654"/>
      <c r="BG23" s="2605">
        <v>38075</v>
      </c>
      <c r="BH23" s="2514"/>
      <c r="BI23" s="2523" t="s">
        <v>175</v>
      </c>
      <c r="BJ23" s="2650">
        <v>38083</v>
      </c>
      <c r="BK23" s="2655"/>
      <c r="BL23" s="2514"/>
      <c r="BM23" s="2591" t="s">
        <v>1270</v>
      </c>
      <c r="BN23" s="2591" t="s">
        <v>1077</v>
      </c>
      <c r="BO23" s="2591" t="s">
        <v>1234</v>
      </c>
      <c r="BP23" s="2591"/>
      <c r="BQ23" s="2591"/>
      <c r="BR23" s="2591"/>
      <c r="BS23" s="2678"/>
      <c r="BT23" s="2678"/>
      <c r="BU23" s="2678"/>
    </row>
    <row r="24" hidden="1" spans="1:73">
      <c r="A24" s="2517" t="s">
        <v>1271</v>
      </c>
      <c r="B24" s="2514" t="s">
        <v>1272</v>
      </c>
      <c r="C24" s="2518" t="s">
        <v>1273</v>
      </c>
      <c r="D24" s="2515">
        <v>62326495</v>
      </c>
      <c r="E24" s="2514" t="s">
        <v>1060</v>
      </c>
      <c r="F24" s="2514" t="s">
        <v>1274</v>
      </c>
      <c r="G24" s="2514"/>
      <c r="H24" s="2514" t="s">
        <v>1239</v>
      </c>
      <c r="I24" s="2514"/>
      <c r="J24" s="2514" t="s">
        <v>1275</v>
      </c>
      <c r="K24" s="2514" t="s">
        <v>1276</v>
      </c>
      <c r="L24" s="2542">
        <v>87.64</v>
      </c>
      <c r="M24" s="2514">
        <v>1</v>
      </c>
      <c r="N24" s="2515" t="s">
        <v>1064</v>
      </c>
      <c r="O24" s="2514"/>
      <c r="P24" s="2514" t="s">
        <v>1065</v>
      </c>
      <c r="Q24" s="2556">
        <v>398000</v>
      </c>
      <c r="R24" s="2542">
        <v>4541</v>
      </c>
      <c r="S24" s="2542">
        <v>41.32</v>
      </c>
      <c r="T24" s="2557">
        <v>413200</v>
      </c>
      <c r="U24" s="2556">
        <v>4715</v>
      </c>
      <c r="V24" s="2558">
        <v>0.2</v>
      </c>
      <c r="W24" s="2559">
        <v>33.05</v>
      </c>
      <c r="X24" s="2557">
        <v>330500</v>
      </c>
      <c r="Y24" s="2591">
        <v>2004</v>
      </c>
      <c r="Z24" s="2591">
        <v>4</v>
      </c>
      <c r="AA24" s="2514">
        <v>12</v>
      </c>
      <c r="AB24" s="2592">
        <v>2065</v>
      </c>
      <c r="AC24" s="2514" t="s">
        <v>1112</v>
      </c>
      <c r="AD24" s="2514"/>
      <c r="AE24" s="2514" t="s">
        <v>175</v>
      </c>
      <c r="AF24" s="2514" t="s">
        <v>1068</v>
      </c>
      <c r="AG24" s="2523" t="s">
        <v>1069</v>
      </c>
      <c r="AH24" s="2514"/>
      <c r="AI24" s="2514" t="s">
        <v>1070</v>
      </c>
      <c r="AJ24" s="2600"/>
      <c r="AK24" s="2599" t="s">
        <v>1182</v>
      </c>
      <c r="AL24" s="2514">
        <v>82253557</v>
      </c>
      <c r="AM24" s="2514"/>
      <c r="AN24" s="2523" t="s">
        <v>1072</v>
      </c>
      <c r="AO24" s="2514"/>
      <c r="AP24" s="2514" t="s">
        <v>175</v>
      </c>
      <c r="AQ24" s="2514"/>
      <c r="AR24" s="2514"/>
      <c r="AS24" s="2514"/>
      <c r="AT24" s="2514"/>
      <c r="AU24" s="2514"/>
      <c r="AV24" s="2514" t="s">
        <v>1114</v>
      </c>
      <c r="AW24" s="2514" t="s">
        <v>1075</v>
      </c>
      <c r="AX24" s="2514"/>
      <c r="AY24" s="2518"/>
      <c r="AZ24" s="2514" t="s">
        <v>1276</v>
      </c>
      <c r="BA24" s="2514"/>
      <c r="BB24" s="2518"/>
      <c r="BC24" s="2514"/>
      <c r="BD24" s="2633"/>
      <c r="BE24" s="2514"/>
      <c r="BF24" s="2654"/>
      <c r="BG24" s="2605">
        <v>38106</v>
      </c>
      <c r="BH24" s="2514"/>
      <c r="BI24" s="2523" t="s">
        <v>175</v>
      </c>
      <c r="BJ24" s="2650"/>
      <c r="BK24" s="2655"/>
      <c r="BL24" s="2514"/>
      <c r="BM24" s="2591" t="s">
        <v>888</v>
      </c>
      <c r="BN24" s="2591" t="s">
        <v>1077</v>
      </c>
      <c r="BO24" s="2591" t="s">
        <v>1234</v>
      </c>
      <c r="BP24" s="2591"/>
      <c r="BQ24" s="2591"/>
      <c r="BR24" s="2591"/>
      <c r="BS24" s="2678"/>
      <c r="BT24" s="2678"/>
      <c r="BU24" s="2678"/>
    </row>
    <row r="25" hidden="1" spans="1:73">
      <c r="A25" s="2517" t="s">
        <v>1277</v>
      </c>
      <c r="B25" s="2514" t="s">
        <v>1278</v>
      </c>
      <c r="C25" s="2518" t="s">
        <v>1279</v>
      </c>
      <c r="D25" s="2525" t="s">
        <v>1280</v>
      </c>
      <c r="E25" s="2514" t="s">
        <v>1060</v>
      </c>
      <c r="F25" s="2514" t="s">
        <v>1281</v>
      </c>
      <c r="G25" s="2514"/>
      <c r="H25" s="2516" t="s">
        <v>1239</v>
      </c>
      <c r="I25" s="2514" t="s">
        <v>1222</v>
      </c>
      <c r="J25" s="2518" t="s">
        <v>1282</v>
      </c>
      <c r="K25" s="2514" t="s">
        <v>1278</v>
      </c>
      <c r="L25" s="2542">
        <v>71.8</v>
      </c>
      <c r="M25" s="2514">
        <v>1</v>
      </c>
      <c r="N25" s="2514" t="s">
        <v>1123</v>
      </c>
      <c r="O25" s="2514"/>
      <c r="P25" s="2514" t="s">
        <v>1065</v>
      </c>
      <c r="Q25" s="2556">
        <v>380000</v>
      </c>
      <c r="R25" s="2542">
        <v>5292</v>
      </c>
      <c r="S25" s="2542">
        <v>35.72</v>
      </c>
      <c r="T25" s="2561">
        <v>357200</v>
      </c>
      <c r="U25" s="2556">
        <v>4975</v>
      </c>
      <c r="V25" s="2558">
        <v>0.05</v>
      </c>
      <c r="W25" s="2559">
        <v>33.93</v>
      </c>
      <c r="X25" s="2562">
        <v>339300</v>
      </c>
      <c r="Y25" s="2591">
        <v>2004</v>
      </c>
      <c r="Z25" s="2591">
        <v>5</v>
      </c>
      <c r="AA25" s="2591">
        <v>13</v>
      </c>
      <c r="AB25" s="2517">
        <v>1785</v>
      </c>
      <c r="AC25" s="2514" t="s">
        <v>1066</v>
      </c>
      <c r="AD25" s="2517"/>
      <c r="AE25" s="2514" t="s">
        <v>1067</v>
      </c>
      <c r="AF25" s="2514" t="s">
        <v>1068</v>
      </c>
      <c r="AG25" s="2514" t="s">
        <v>1069</v>
      </c>
      <c r="AH25" s="2517"/>
      <c r="AI25" s="2514" t="s">
        <v>1070</v>
      </c>
      <c r="AJ25" s="2600"/>
      <c r="AK25" s="2603" t="s">
        <v>1071</v>
      </c>
      <c r="AL25" s="2591">
        <v>82253572</v>
      </c>
      <c r="AM25" s="2591"/>
      <c r="AN25" s="2591" t="s">
        <v>1087</v>
      </c>
      <c r="AO25" s="2591"/>
      <c r="AP25" s="2591" t="s">
        <v>1073</v>
      </c>
      <c r="AQ25" s="2591" t="s">
        <v>1089</v>
      </c>
      <c r="AR25" s="2591"/>
      <c r="AS25" s="2591"/>
      <c r="AT25" s="2591"/>
      <c r="AU25" s="2591"/>
      <c r="AV25" s="2591"/>
      <c r="AW25" s="2591"/>
      <c r="AX25" s="2591"/>
      <c r="AY25" s="2631"/>
      <c r="AZ25" s="2514" t="s">
        <v>1283</v>
      </c>
      <c r="BA25" s="2591"/>
      <c r="BB25" s="2631"/>
      <c r="BC25" s="2591"/>
      <c r="BD25" s="2632"/>
      <c r="BE25" s="2591">
        <v>62123664</v>
      </c>
      <c r="BF25" s="2651"/>
      <c r="BG25" s="2652">
        <v>38088</v>
      </c>
      <c r="BH25" s="2591"/>
      <c r="BI25" s="2594" t="s">
        <v>1067</v>
      </c>
      <c r="BJ25" s="2650">
        <v>38089</v>
      </c>
      <c r="BK25" s="2653"/>
      <c r="BL25" s="2514"/>
      <c r="BM25" s="2591" t="s">
        <v>1127</v>
      </c>
      <c r="BN25" s="2591" t="s">
        <v>1077</v>
      </c>
      <c r="BO25" s="2591" t="s">
        <v>1128</v>
      </c>
      <c r="BP25" s="2591"/>
      <c r="BQ25" s="2591" t="e">
        <v>#DIV/0!</v>
      </c>
      <c r="BR25" s="2591" t="e">
        <v>#DIV/0!</v>
      </c>
      <c r="BS25" s="2678"/>
      <c r="BT25" s="2678"/>
      <c r="BU25" s="2678"/>
    </row>
    <row r="26" hidden="1" spans="1:73">
      <c r="A26" s="2517" t="s">
        <v>1284</v>
      </c>
      <c r="B26" s="2514" t="s">
        <v>1285</v>
      </c>
      <c r="C26" s="2518" t="s">
        <v>1286</v>
      </c>
      <c r="D26" s="2518" t="s">
        <v>1287</v>
      </c>
      <c r="E26" s="2514" t="s">
        <v>1060</v>
      </c>
      <c r="F26" s="2514" t="s">
        <v>1288</v>
      </c>
      <c r="G26" s="2514"/>
      <c r="H26" s="2523" t="s">
        <v>1239</v>
      </c>
      <c r="I26" s="2514"/>
      <c r="J26" s="2518" t="s">
        <v>1289</v>
      </c>
      <c r="K26" s="2515" t="s">
        <v>1285</v>
      </c>
      <c r="L26" s="2542">
        <v>95.2</v>
      </c>
      <c r="M26" s="2514">
        <v>14</v>
      </c>
      <c r="N26" s="2515" t="s">
        <v>1290</v>
      </c>
      <c r="O26" s="2514"/>
      <c r="P26" s="2515" t="s">
        <v>1065</v>
      </c>
      <c r="Q26" s="2556">
        <v>520000</v>
      </c>
      <c r="R26" s="2542">
        <v>5462</v>
      </c>
      <c r="S26" s="2542">
        <v>51.51</v>
      </c>
      <c r="T26" s="2561">
        <v>515100</v>
      </c>
      <c r="U26" s="2556">
        <v>5411</v>
      </c>
      <c r="V26" s="2558">
        <v>0.05</v>
      </c>
      <c r="W26" s="2559">
        <v>48.93</v>
      </c>
      <c r="X26" s="2562">
        <v>489300</v>
      </c>
      <c r="Y26" s="2591">
        <v>2004</v>
      </c>
      <c r="Z26" s="2591">
        <v>5</v>
      </c>
      <c r="AA26" s="2591">
        <v>20</v>
      </c>
      <c r="AB26" s="2517">
        <v>2575</v>
      </c>
      <c r="AC26" s="2514" t="s">
        <v>1066</v>
      </c>
      <c r="AD26" s="2517"/>
      <c r="AE26" s="2514" t="s">
        <v>1067</v>
      </c>
      <c r="AF26" s="2514" t="s">
        <v>1068</v>
      </c>
      <c r="AG26" s="2514" t="s">
        <v>1069</v>
      </c>
      <c r="AH26" s="2517"/>
      <c r="AI26" s="2514" t="s">
        <v>175</v>
      </c>
      <c r="AJ26" s="2600"/>
      <c r="AK26" s="2606" t="s">
        <v>1071</v>
      </c>
      <c r="AL26" s="2591"/>
      <c r="AM26" s="2591"/>
      <c r="AN26" s="2591" t="s">
        <v>1088</v>
      </c>
      <c r="AO26" s="2591"/>
      <c r="AP26" s="2514" t="s">
        <v>1073</v>
      </c>
      <c r="AQ26" s="2514" t="s">
        <v>1089</v>
      </c>
      <c r="AR26" s="2591"/>
      <c r="AS26" s="2591"/>
      <c r="AT26" s="2591"/>
      <c r="AU26" s="2591"/>
      <c r="AV26" s="2591"/>
      <c r="AW26" s="2591"/>
      <c r="AX26" s="2591"/>
      <c r="AY26" s="2631"/>
      <c r="AZ26" s="2591"/>
      <c r="BA26" s="2591"/>
      <c r="BB26" s="2631"/>
      <c r="BC26" s="2591"/>
      <c r="BD26" s="2632"/>
      <c r="BE26" s="2591"/>
      <c r="BF26" s="2651"/>
      <c r="BG26" s="2652">
        <v>38097</v>
      </c>
      <c r="BH26" s="2591"/>
      <c r="BI26" s="2523" t="s">
        <v>1073</v>
      </c>
      <c r="BJ26" s="2653">
        <v>38103</v>
      </c>
      <c r="BK26" s="2653"/>
      <c r="BL26" s="2514"/>
      <c r="BM26" s="2591" t="s">
        <v>1127</v>
      </c>
      <c r="BN26" s="2591" t="s">
        <v>1077</v>
      </c>
      <c r="BO26" s="2591" t="s">
        <v>1116</v>
      </c>
      <c r="BP26" s="2591"/>
      <c r="BQ26" s="2591" t="e">
        <v>#DIV/0!</v>
      </c>
      <c r="BR26" s="2591" t="e">
        <v>#DIV/0!</v>
      </c>
      <c r="BS26" s="2678"/>
      <c r="BT26" s="2678"/>
      <c r="BU26" s="2678"/>
    </row>
    <row r="27" hidden="1" spans="1:73">
      <c r="A27" s="2514" t="s">
        <v>1291</v>
      </c>
      <c r="B27" s="2514" t="s">
        <v>1292</v>
      </c>
      <c r="C27" s="2518" t="s">
        <v>1293</v>
      </c>
      <c r="D27" s="2518" t="s">
        <v>1294</v>
      </c>
      <c r="E27" s="2514" t="s">
        <v>1060</v>
      </c>
      <c r="F27" s="2514" t="s">
        <v>1295</v>
      </c>
      <c r="G27" s="2514"/>
      <c r="H27" s="2523" t="s">
        <v>1296</v>
      </c>
      <c r="I27" s="2514"/>
      <c r="J27" s="2518" t="s">
        <v>1297</v>
      </c>
      <c r="K27" s="2515" t="s">
        <v>1298</v>
      </c>
      <c r="L27" s="2542">
        <v>117.14</v>
      </c>
      <c r="M27" s="2514">
        <v>18</v>
      </c>
      <c r="N27" s="2515" t="s">
        <v>1299</v>
      </c>
      <c r="O27" s="2514"/>
      <c r="P27" s="2514" t="s">
        <v>1065</v>
      </c>
      <c r="Q27" s="2556">
        <v>700000</v>
      </c>
      <c r="R27" s="2542">
        <v>5976</v>
      </c>
      <c r="S27" s="2542">
        <v>69.54</v>
      </c>
      <c r="T27" s="2561">
        <v>695400</v>
      </c>
      <c r="U27" s="2556">
        <v>5937</v>
      </c>
      <c r="V27" s="2558">
        <v>0.05</v>
      </c>
      <c r="W27" s="2559">
        <v>66.06</v>
      </c>
      <c r="X27" s="2562">
        <v>660600</v>
      </c>
      <c r="Y27" s="2591">
        <v>2004</v>
      </c>
      <c r="Z27" s="2591">
        <v>6</v>
      </c>
      <c r="AA27" s="2591">
        <v>14</v>
      </c>
      <c r="AB27" s="2517">
        <v>3475</v>
      </c>
      <c r="AC27" s="2514" t="s">
        <v>1066</v>
      </c>
      <c r="AD27" s="2517"/>
      <c r="AE27" s="2514" t="s">
        <v>1067</v>
      </c>
      <c r="AF27" s="2514" t="s">
        <v>1068</v>
      </c>
      <c r="AG27" s="2514" t="s">
        <v>1069</v>
      </c>
      <c r="AH27" s="2517"/>
      <c r="AI27" s="2514" t="s">
        <v>1070</v>
      </c>
      <c r="AJ27" s="2600"/>
      <c r="AK27" s="2603" t="s">
        <v>1261</v>
      </c>
      <c r="AL27" s="2591">
        <v>82253558</v>
      </c>
      <c r="AM27" s="2591"/>
      <c r="AN27" s="2591" t="s">
        <v>1072</v>
      </c>
      <c r="AO27" s="2591"/>
      <c r="AP27" s="2514" t="s">
        <v>1300</v>
      </c>
      <c r="AQ27" s="2591" t="s">
        <v>1089</v>
      </c>
      <c r="AR27" s="2591"/>
      <c r="AS27" s="2591"/>
      <c r="AT27" s="2591"/>
      <c r="AU27" s="2591"/>
      <c r="AV27" s="2591"/>
      <c r="AW27" s="2591"/>
      <c r="AX27" s="2591"/>
      <c r="AY27" s="2631"/>
      <c r="AZ27" s="2591"/>
      <c r="BA27" s="2591"/>
      <c r="BB27" s="2631"/>
      <c r="BC27" s="2591"/>
      <c r="BD27" s="2632"/>
      <c r="BE27" s="2591"/>
      <c r="BF27" s="2651"/>
      <c r="BG27" s="2652">
        <v>38097</v>
      </c>
      <c r="BH27" s="2591"/>
      <c r="BI27" s="2594" t="s">
        <v>1067</v>
      </c>
      <c r="BJ27" s="2653">
        <v>38076</v>
      </c>
      <c r="BK27" s="2653"/>
      <c r="BL27" s="2514"/>
      <c r="BM27" s="2591" t="s">
        <v>888</v>
      </c>
      <c r="BN27" s="2591" t="s">
        <v>1077</v>
      </c>
      <c r="BO27" s="2514" t="s">
        <v>1128</v>
      </c>
      <c r="BP27" s="2591"/>
      <c r="BQ27" s="2591"/>
      <c r="BR27" s="2591"/>
      <c r="BS27" s="2532"/>
      <c r="BT27" s="2532"/>
      <c r="BU27" s="2532"/>
    </row>
    <row r="28" hidden="1" spans="1:73">
      <c r="A28" s="2517" t="s">
        <v>1301</v>
      </c>
      <c r="B28" s="2514" t="s">
        <v>1302</v>
      </c>
      <c r="C28" s="2518" t="s">
        <v>1303</v>
      </c>
      <c r="D28" s="2515">
        <v>13701133426</v>
      </c>
      <c r="E28" s="2514" t="s">
        <v>1060</v>
      </c>
      <c r="F28" s="2514" t="s">
        <v>1304</v>
      </c>
      <c r="G28" s="2514"/>
      <c r="H28" s="2523" t="s">
        <v>1305</v>
      </c>
      <c r="I28" s="2515"/>
      <c r="J28" s="2516" t="s">
        <v>1306</v>
      </c>
      <c r="K28" s="2515" t="s">
        <v>1307</v>
      </c>
      <c r="L28" s="2542">
        <v>110.67</v>
      </c>
      <c r="M28" s="2516">
        <v>13</v>
      </c>
      <c r="N28" s="2514" t="s">
        <v>1064</v>
      </c>
      <c r="O28" s="2514"/>
      <c r="P28" s="2514" t="s">
        <v>1065</v>
      </c>
      <c r="Q28" s="2556">
        <v>700000</v>
      </c>
      <c r="R28" s="2542">
        <v>6325</v>
      </c>
      <c r="S28" s="2542">
        <v>69.5</v>
      </c>
      <c r="T28" s="2557">
        <v>695000</v>
      </c>
      <c r="U28" s="2556">
        <v>6280</v>
      </c>
      <c r="V28" s="2558">
        <v>0.05</v>
      </c>
      <c r="W28" s="2559">
        <v>66.02</v>
      </c>
      <c r="X28" s="2557">
        <v>660200</v>
      </c>
      <c r="Y28" s="2514">
        <v>2004</v>
      </c>
      <c r="Z28" s="2514">
        <v>6</v>
      </c>
      <c r="AA28" s="2514">
        <v>10</v>
      </c>
      <c r="AB28" s="2592">
        <v>3475</v>
      </c>
      <c r="AC28" s="2514" t="s">
        <v>1066</v>
      </c>
      <c r="AD28" s="2514"/>
      <c r="AE28" s="2514" t="s">
        <v>175</v>
      </c>
      <c r="AF28" s="2514" t="s">
        <v>1068</v>
      </c>
      <c r="AG28" s="2514" t="s">
        <v>1069</v>
      </c>
      <c r="AH28" s="2514"/>
      <c r="AI28" s="2514" t="s">
        <v>1070</v>
      </c>
      <c r="AJ28" s="2516"/>
      <c r="AK28" s="2599" t="s">
        <v>1261</v>
      </c>
      <c r="AL28" s="2514">
        <v>82253558</v>
      </c>
      <c r="AM28" s="2514"/>
      <c r="AN28" s="2514" t="s">
        <v>1088</v>
      </c>
      <c r="AO28" s="2514"/>
      <c r="AP28" s="2514" t="s">
        <v>1073</v>
      </c>
      <c r="AQ28" s="2514" t="s">
        <v>1089</v>
      </c>
      <c r="AR28" s="2514"/>
      <c r="AS28" s="2514"/>
      <c r="AT28" s="2514"/>
      <c r="AU28" s="2514"/>
      <c r="AV28" s="2514"/>
      <c r="AW28" s="2514" t="s">
        <v>1174</v>
      </c>
      <c r="AX28" s="2514"/>
      <c r="AY28" s="2523"/>
      <c r="AZ28" s="2514" t="s">
        <v>1307</v>
      </c>
      <c r="BA28" s="2514"/>
      <c r="BB28" s="2514"/>
      <c r="BC28" s="2514"/>
      <c r="BD28" s="2514"/>
      <c r="BE28" s="2514"/>
      <c r="BF28" s="2514"/>
      <c r="BG28" s="2605">
        <v>38108</v>
      </c>
      <c r="BH28" s="2514"/>
      <c r="BI28" s="2523" t="s">
        <v>175</v>
      </c>
      <c r="BJ28" s="2650">
        <v>38118</v>
      </c>
      <c r="BK28" s="2650"/>
      <c r="BL28" s="2514"/>
      <c r="BM28" s="2514" t="s">
        <v>1253</v>
      </c>
      <c r="BN28" s="2591" t="s">
        <v>1077</v>
      </c>
      <c r="BO28" s="2591" t="s">
        <v>1128</v>
      </c>
      <c r="BP28" s="2514"/>
      <c r="BQ28" s="2514"/>
      <c r="BR28" s="2514"/>
      <c r="BS28" s="2678"/>
      <c r="BT28" s="2678"/>
      <c r="BU28" s="2678"/>
    </row>
    <row r="29" hidden="1" spans="1:73">
      <c r="A29" s="2517" t="s">
        <v>1308</v>
      </c>
      <c r="B29" s="2514" t="s">
        <v>1309</v>
      </c>
      <c r="C29" s="2518" t="s">
        <v>1310</v>
      </c>
      <c r="D29" s="2515">
        <v>62004562</v>
      </c>
      <c r="E29" s="2514" t="s">
        <v>1060</v>
      </c>
      <c r="F29" s="2514" t="s">
        <v>1311</v>
      </c>
      <c r="G29" s="2514"/>
      <c r="H29" s="2523" t="s">
        <v>1155</v>
      </c>
      <c r="I29" s="2515"/>
      <c r="J29" s="2516" t="s">
        <v>1312</v>
      </c>
      <c r="K29" s="2515" t="s">
        <v>1313</v>
      </c>
      <c r="L29" s="2542">
        <v>67.5</v>
      </c>
      <c r="M29" s="2516">
        <v>15</v>
      </c>
      <c r="N29" s="2514" t="s">
        <v>1064</v>
      </c>
      <c r="O29" s="2514"/>
      <c r="P29" s="2514" t="s">
        <v>1065</v>
      </c>
      <c r="Q29" s="2556">
        <v>370000</v>
      </c>
      <c r="R29" s="2542">
        <v>5481</v>
      </c>
      <c r="S29" s="2542">
        <v>35.88</v>
      </c>
      <c r="T29" s="2557">
        <v>358800</v>
      </c>
      <c r="U29" s="2556">
        <v>5316</v>
      </c>
      <c r="V29" s="2558">
        <v>0.05</v>
      </c>
      <c r="W29" s="2559">
        <v>34.08</v>
      </c>
      <c r="X29" s="2557">
        <v>340800</v>
      </c>
      <c r="Y29" s="2514">
        <v>2004</v>
      </c>
      <c r="Z29" s="2514">
        <v>5</v>
      </c>
      <c r="AA29" s="2514">
        <v>24</v>
      </c>
      <c r="AB29" s="2592">
        <v>1790</v>
      </c>
      <c r="AC29" s="2514" t="s">
        <v>1066</v>
      </c>
      <c r="AD29" s="2514"/>
      <c r="AE29" s="2514" t="s">
        <v>175</v>
      </c>
      <c r="AF29" s="2514" t="s">
        <v>1068</v>
      </c>
      <c r="AG29" s="2514" t="s">
        <v>1069</v>
      </c>
      <c r="AH29" s="2514"/>
      <c r="AI29" s="2514" t="s">
        <v>1070</v>
      </c>
      <c r="AJ29" s="2516"/>
      <c r="AK29" s="2599" t="s">
        <v>1071</v>
      </c>
      <c r="AL29" s="2514">
        <v>82253558</v>
      </c>
      <c r="AM29" s="2514"/>
      <c r="AN29" s="2514" t="s">
        <v>1088</v>
      </c>
      <c r="AO29" s="2514"/>
      <c r="AP29" s="2514" t="s">
        <v>1073</v>
      </c>
      <c r="AQ29" s="2514" t="s">
        <v>1089</v>
      </c>
      <c r="AR29" s="2514"/>
      <c r="AS29" s="2514"/>
      <c r="AT29" s="2514"/>
      <c r="AU29" s="2514"/>
      <c r="AV29" s="2514"/>
      <c r="AW29" s="2514" t="s">
        <v>1174</v>
      </c>
      <c r="AX29" s="2514"/>
      <c r="AY29" s="2523"/>
      <c r="AZ29" s="2514" t="s">
        <v>1313</v>
      </c>
      <c r="BA29" s="2514"/>
      <c r="BB29" s="2514"/>
      <c r="BC29" s="2514"/>
      <c r="BD29" s="2514"/>
      <c r="BE29" s="2514"/>
      <c r="BF29" s="2514"/>
      <c r="BG29" s="2605">
        <v>38118</v>
      </c>
      <c r="BH29" s="2514"/>
      <c r="BI29" s="2523" t="s">
        <v>175</v>
      </c>
      <c r="BJ29" s="2650">
        <v>38120</v>
      </c>
      <c r="BK29" s="2650"/>
      <c r="BL29" s="2514"/>
      <c r="BM29" s="2514" t="s">
        <v>888</v>
      </c>
      <c r="BN29" s="2591" t="s">
        <v>1077</v>
      </c>
      <c r="BO29" s="2591" t="s">
        <v>1128</v>
      </c>
      <c r="BP29" s="2514"/>
      <c r="BQ29" s="2514"/>
      <c r="BR29" s="2514"/>
      <c r="BS29" s="2678"/>
      <c r="BT29" s="2678"/>
      <c r="BU29" s="2678"/>
    </row>
    <row r="30" hidden="1" spans="1:73">
      <c r="A30" s="2514" t="s">
        <v>1314</v>
      </c>
      <c r="B30" s="2514" t="s">
        <v>1057</v>
      </c>
      <c r="C30" s="2514" t="s">
        <v>1058</v>
      </c>
      <c r="D30" s="2515" t="s">
        <v>1059</v>
      </c>
      <c r="E30" s="2514" t="s">
        <v>1060</v>
      </c>
      <c r="F30" s="2514" t="s">
        <v>1061</v>
      </c>
      <c r="G30" s="2514"/>
      <c r="H30" s="2516" t="s">
        <v>1062</v>
      </c>
      <c r="I30" s="2515"/>
      <c r="J30" s="2516" t="s">
        <v>1063</v>
      </c>
      <c r="K30" s="2514"/>
      <c r="L30" s="2542">
        <v>88.29</v>
      </c>
      <c r="M30" s="2516">
        <v>14</v>
      </c>
      <c r="N30" s="2514" t="s">
        <v>1064</v>
      </c>
      <c r="O30" s="2514"/>
      <c r="P30" s="2514" t="s">
        <v>1065</v>
      </c>
      <c r="Q30" s="2556">
        <v>405000</v>
      </c>
      <c r="R30" s="2542">
        <v>4587</v>
      </c>
      <c r="S30" s="2542">
        <v>37.2</v>
      </c>
      <c r="T30" s="2557">
        <v>372000</v>
      </c>
      <c r="U30" s="2556">
        <v>4214</v>
      </c>
      <c r="V30" s="2558">
        <v>0.05</v>
      </c>
      <c r="W30" s="2559">
        <v>35.34</v>
      </c>
      <c r="X30" s="2560">
        <v>353400</v>
      </c>
      <c r="Y30" s="2514">
        <v>2004</v>
      </c>
      <c r="Z30" s="2514">
        <v>6</v>
      </c>
      <c r="AA30" s="2514">
        <v>22</v>
      </c>
      <c r="AB30" s="2517">
        <v>1860</v>
      </c>
      <c r="AC30" s="2514" t="s">
        <v>1066</v>
      </c>
      <c r="AD30" s="2514"/>
      <c r="AE30" s="2514" t="s">
        <v>1067</v>
      </c>
      <c r="AF30" s="2514" t="s">
        <v>1068</v>
      </c>
      <c r="AG30" s="2514" t="s">
        <v>1069</v>
      </c>
      <c r="AH30" s="2514"/>
      <c r="AI30" s="2514" t="s">
        <v>1070</v>
      </c>
      <c r="AJ30" s="2516"/>
      <c r="AK30" s="2599" t="s">
        <v>1261</v>
      </c>
      <c r="AL30" s="2514">
        <v>82253558</v>
      </c>
      <c r="AM30" s="2514"/>
      <c r="AN30" s="2514" t="s">
        <v>1182</v>
      </c>
      <c r="AO30" s="2514"/>
      <c r="AP30" s="2514" t="s">
        <v>1073</v>
      </c>
      <c r="AQ30" s="2591" t="s">
        <v>1089</v>
      </c>
      <c r="AR30" s="2514"/>
      <c r="AS30" s="2514"/>
      <c r="AT30" s="2514"/>
      <c r="AU30" s="2514"/>
      <c r="AV30" s="2514"/>
      <c r="AW30" s="2514" t="s">
        <v>1075</v>
      </c>
      <c r="AX30" s="2514"/>
      <c r="AY30" s="2523"/>
      <c r="AZ30" s="2514"/>
      <c r="BA30" s="2514"/>
      <c r="BB30" s="2514"/>
      <c r="BC30" s="2514" t="s">
        <v>1076</v>
      </c>
      <c r="BD30" s="2514"/>
      <c r="BE30" s="2514"/>
      <c r="BF30" s="2514"/>
      <c r="BG30" s="2605"/>
      <c r="BH30" s="2514"/>
      <c r="BI30" s="2523" t="s">
        <v>1067</v>
      </c>
      <c r="BJ30" s="2650">
        <v>38126</v>
      </c>
      <c r="BK30" s="2650"/>
      <c r="BL30" s="2514"/>
      <c r="BM30" s="2514" t="s">
        <v>888</v>
      </c>
      <c r="BN30" s="2514" t="s">
        <v>1077</v>
      </c>
      <c r="BO30" s="2514" t="s">
        <v>1078</v>
      </c>
      <c r="BP30" s="2514"/>
      <c r="BQ30" s="2514"/>
      <c r="BR30" s="2514"/>
      <c r="BS30" s="2502"/>
      <c r="BT30" s="2502"/>
      <c r="BU30" s="2502"/>
    </row>
    <row r="31" hidden="1" spans="1:73">
      <c r="A31" s="2517" t="s">
        <v>1315</v>
      </c>
      <c r="B31" s="2514" t="s">
        <v>1316</v>
      </c>
      <c r="C31" s="2518" t="s">
        <v>1317</v>
      </c>
      <c r="D31" s="2518" t="s">
        <v>1318</v>
      </c>
      <c r="E31" s="2514" t="s">
        <v>1060</v>
      </c>
      <c r="F31" s="2514" t="s">
        <v>1319</v>
      </c>
      <c r="G31" s="2514"/>
      <c r="H31" s="2514" t="s">
        <v>1084</v>
      </c>
      <c r="I31" s="2514" t="s">
        <v>1320</v>
      </c>
      <c r="J31" s="2518" t="s">
        <v>1321</v>
      </c>
      <c r="K31" s="2514"/>
      <c r="L31" s="2542">
        <v>63.1</v>
      </c>
      <c r="M31" s="2514">
        <v>5</v>
      </c>
      <c r="N31" s="2514" t="s">
        <v>1064</v>
      </c>
      <c r="O31" s="2514"/>
      <c r="P31" s="2514" t="s">
        <v>1065</v>
      </c>
      <c r="Q31" s="2556">
        <v>246000</v>
      </c>
      <c r="R31" s="2542">
        <v>3899</v>
      </c>
      <c r="S31" s="2542">
        <v>19.56</v>
      </c>
      <c r="T31" s="2561">
        <v>195600</v>
      </c>
      <c r="U31" s="2556">
        <v>3100</v>
      </c>
      <c r="V31" s="2558">
        <v>0.05</v>
      </c>
      <c r="W31" s="2559">
        <v>18.58</v>
      </c>
      <c r="X31" s="2562">
        <v>185800</v>
      </c>
      <c r="Y31" s="2591">
        <v>2004</v>
      </c>
      <c r="Z31" s="2591">
        <v>6</v>
      </c>
      <c r="AA31" s="2591">
        <v>24</v>
      </c>
      <c r="AB31" s="2517">
        <v>975</v>
      </c>
      <c r="AC31" s="2514" t="s">
        <v>1066</v>
      </c>
      <c r="AD31" s="2517"/>
      <c r="AE31" s="2514" t="s">
        <v>1067</v>
      </c>
      <c r="AF31" s="2514" t="s">
        <v>1068</v>
      </c>
      <c r="AG31" s="2514" t="s">
        <v>1069</v>
      </c>
      <c r="AH31" s="2517"/>
      <c r="AI31" s="2514" t="s">
        <v>175</v>
      </c>
      <c r="AJ31" s="2600"/>
      <c r="AK31" s="2603" t="s">
        <v>1261</v>
      </c>
      <c r="AL31" s="2514">
        <v>82253558</v>
      </c>
      <c r="AM31" s="2591"/>
      <c r="AN31" s="2591" t="s">
        <v>1182</v>
      </c>
      <c r="AO31" s="2591"/>
      <c r="AP31" s="2591" t="s">
        <v>1073</v>
      </c>
      <c r="AQ31" s="2514" t="s">
        <v>1089</v>
      </c>
      <c r="AR31" s="2591"/>
      <c r="AS31" s="2591"/>
      <c r="AT31" s="2591"/>
      <c r="AU31" s="2591"/>
      <c r="AV31" s="2591"/>
      <c r="AW31" s="2591" t="s">
        <v>1075</v>
      </c>
      <c r="AX31" s="2591"/>
      <c r="AY31" s="2631"/>
      <c r="AZ31" s="2591"/>
      <c r="BA31" s="2591"/>
      <c r="BB31" s="2631"/>
      <c r="BC31" s="2591"/>
      <c r="BD31" s="2632"/>
      <c r="BE31" s="2591"/>
      <c r="BF31" s="2651"/>
      <c r="BG31" s="2652">
        <v>38141</v>
      </c>
      <c r="BH31" s="2591"/>
      <c r="BI31" s="2523" t="s">
        <v>1067</v>
      </c>
      <c r="BJ31" s="2653">
        <v>38148</v>
      </c>
      <c r="BK31" s="2653"/>
      <c r="BL31" s="2514"/>
      <c r="BM31" s="2591" t="s">
        <v>888</v>
      </c>
      <c r="BN31" s="2591" t="s">
        <v>1077</v>
      </c>
      <c r="BO31" s="2591" t="s">
        <v>1322</v>
      </c>
      <c r="BP31" s="2591"/>
      <c r="BQ31" s="2591"/>
      <c r="BR31" s="2591"/>
      <c r="BS31" s="2678"/>
      <c r="BT31" s="2678"/>
      <c r="BU31" s="2678"/>
    </row>
    <row r="32" hidden="1" spans="1:73">
      <c r="A32" s="2517" t="s">
        <v>1323</v>
      </c>
      <c r="B32" s="2515" t="s">
        <v>1324</v>
      </c>
      <c r="C32" s="2518" t="s">
        <v>1325</v>
      </c>
      <c r="D32" s="2515" t="s">
        <v>1326</v>
      </c>
      <c r="E32" s="2515" t="s">
        <v>1060</v>
      </c>
      <c r="F32" s="2515" t="s">
        <v>1327</v>
      </c>
      <c r="G32" s="2515"/>
      <c r="H32" s="2515" t="s">
        <v>1328</v>
      </c>
      <c r="I32" s="2515"/>
      <c r="J32" s="2515" t="s">
        <v>1329</v>
      </c>
      <c r="K32" s="2515"/>
      <c r="L32" s="2516">
        <v>74.1</v>
      </c>
      <c r="M32" s="2516">
        <v>2</v>
      </c>
      <c r="N32" s="2543" t="s">
        <v>1064</v>
      </c>
      <c r="O32" s="2516"/>
      <c r="P32" s="2515" t="s">
        <v>1065</v>
      </c>
      <c r="Q32" s="2565">
        <v>435000</v>
      </c>
      <c r="R32" s="2514">
        <v>5870</v>
      </c>
      <c r="S32" s="2564">
        <v>41.27</v>
      </c>
      <c r="T32" s="2561">
        <v>412700</v>
      </c>
      <c r="U32" s="2514">
        <v>5570</v>
      </c>
      <c r="V32" s="2566">
        <v>0.05</v>
      </c>
      <c r="W32" s="2559">
        <v>39.2</v>
      </c>
      <c r="X32" s="2567">
        <v>392000</v>
      </c>
      <c r="Y32" s="2591">
        <v>2004</v>
      </c>
      <c r="Z32" s="2514">
        <v>7</v>
      </c>
      <c r="AA32" s="2591">
        <v>30</v>
      </c>
      <c r="AB32" s="2592">
        <v>2060</v>
      </c>
      <c r="AC32" s="2514" t="s">
        <v>1066</v>
      </c>
      <c r="AD32" s="2515"/>
      <c r="AE32" s="2515" t="s">
        <v>179</v>
      </c>
      <c r="AF32" s="2515"/>
      <c r="AG32" s="2515" t="s">
        <v>1069</v>
      </c>
      <c r="AH32" s="2515"/>
      <c r="AI32" s="2515" t="s">
        <v>1070</v>
      </c>
      <c r="AJ32" s="2605"/>
      <c r="AK32" s="2607" t="s">
        <v>1330</v>
      </c>
      <c r="AL32" s="2591">
        <v>82253558</v>
      </c>
      <c r="AM32" s="2591"/>
      <c r="AN32" s="2608" t="s">
        <v>1071</v>
      </c>
      <c r="AO32" s="2591"/>
      <c r="AP32" s="2591" t="s">
        <v>1073</v>
      </c>
      <c r="AQ32" s="2591" t="s">
        <v>1074</v>
      </c>
      <c r="AR32" s="2514"/>
      <c r="AS32" s="2514"/>
      <c r="AT32" s="2514"/>
      <c r="AU32" s="2514"/>
      <c r="AV32" s="2621"/>
      <c r="AW32" s="2515"/>
      <c r="AX32" s="2515"/>
      <c r="AY32" s="2515"/>
      <c r="AZ32" s="2515"/>
      <c r="BA32" s="2515"/>
      <c r="BB32" s="2525"/>
      <c r="BC32" s="2515"/>
      <c r="BD32" s="2515"/>
      <c r="BE32" s="2515"/>
      <c r="BF32" s="2651"/>
      <c r="BG32" s="2617">
        <v>38150</v>
      </c>
      <c r="BH32" s="2515"/>
      <c r="BI32" s="2591" t="s">
        <v>1067</v>
      </c>
      <c r="BJ32" s="2653">
        <v>38153</v>
      </c>
      <c r="BK32" s="2650"/>
      <c r="BL32" s="2591"/>
      <c r="BM32" s="2514" t="s">
        <v>888</v>
      </c>
      <c r="BN32" s="2514" t="s">
        <v>1148</v>
      </c>
      <c r="BO32" s="2514" t="s">
        <v>1331</v>
      </c>
      <c r="BP32" s="2591"/>
      <c r="BQ32" s="2591"/>
      <c r="BR32" s="2591"/>
      <c r="BS32" s="2678"/>
      <c r="BT32" s="2678"/>
      <c r="BU32" s="2678"/>
    </row>
    <row r="33" s="2503" customFormat="1" spans="1:73">
      <c r="A33" s="2526" t="s">
        <v>1332</v>
      </c>
      <c r="B33" s="2527" t="s">
        <v>1333</v>
      </c>
      <c r="C33" s="2528" t="s">
        <v>1334</v>
      </c>
      <c r="D33" s="2527">
        <v>13801284957</v>
      </c>
      <c r="E33" s="2527" t="s">
        <v>1060</v>
      </c>
      <c r="F33" s="2527" t="s">
        <v>1083</v>
      </c>
      <c r="G33" s="2527"/>
      <c r="H33" s="2527" t="s">
        <v>1084</v>
      </c>
      <c r="I33" s="2527" t="s">
        <v>1099</v>
      </c>
      <c r="J33" s="2527" t="s">
        <v>1335</v>
      </c>
      <c r="K33" s="2527" t="s">
        <v>1336</v>
      </c>
      <c r="L33" s="2544">
        <v>101.1</v>
      </c>
      <c r="M33" s="2545">
        <v>7</v>
      </c>
      <c r="N33" s="2546" t="s">
        <v>1123</v>
      </c>
      <c r="O33" s="2545"/>
      <c r="P33" s="2527" t="s">
        <v>1065</v>
      </c>
      <c r="Q33" s="2568">
        <v>510000</v>
      </c>
      <c r="R33" s="2569">
        <v>5045</v>
      </c>
      <c r="S33" s="2570">
        <v>51.04</v>
      </c>
      <c r="T33" s="2571">
        <v>510400</v>
      </c>
      <c r="U33" s="2572">
        <v>5049</v>
      </c>
      <c r="V33" s="2573">
        <v>0.05</v>
      </c>
      <c r="W33" s="2574">
        <v>48.48</v>
      </c>
      <c r="X33" s="2575">
        <v>484800</v>
      </c>
      <c r="Y33" s="2595">
        <v>2004</v>
      </c>
      <c r="Z33" s="2572">
        <v>7</v>
      </c>
      <c r="AA33" s="2595">
        <v>29</v>
      </c>
      <c r="AB33" s="2572">
        <v>1500</v>
      </c>
      <c r="AC33" s="2572" t="s">
        <v>1066</v>
      </c>
      <c r="AD33" s="2527"/>
      <c r="AE33" s="2527" t="s">
        <v>179</v>
      </c>
      <c r="AF33" s="2527" t="s">
        <v>1068</v>
      </c>
      <c r="AG33" s="2527" t="s">
        <v>1069</v>
      </c>
      <c r="AH33" s="2527"/>
      <c r="AI33" s="2527" t="s">
        <v>1070</v>
      </c>
      <c r="AJ33" s="2609"/>
      <c r="AK33" s="2610" t="s">
        <v>1330</v>
      </c>
      <c r="AL33" s="2595">
        <v>67641700</v>
      </c>
      <c r="AM33" s="2595"/>
      <c r="AN33" s="2611" t="s">
        <v>1071</v>
      </c>
      <c r="AO33" s="2595"/>
      <c r="AP33" s="2595" t="s">
        <v>1073</v>
      </c>
      <c r="AQ33" s="2595" t="s">
        <v>1089</v>
      </c>
      <c r="AR33" s="2572"/>
      <c r="AS33" s="2572"/>
      <c r="AT33" s="2572"/>
      <c r="AU33" s="2572"/>
      <c r="AV33" s="2622"/>
      <c r="AW33" s="2527" t="s">
        <v>1090</v>
      </c>
      <c r="AX33" s="2527"/>
      <c r="AY33" s="2527"/>
      <c r="AZ33" s="2527"/>
      <c r="BA33" s="2527"/>
      <c r="BB33" s="2638"/>
      <c r="BC33" s="2527"/>
      <c r="BD33" s="2527"/>
      <c r="BE33" s="2527"/>
      <c r="BF33" s="2659"/>
      <c r="BG33" s="2660">
        <v>38173</v>
      </c>
      <c r="BH33" s="2527"/>
      <c r="BI33" s="2595" t="s">
        <v>1073</v>
      </c>
      <c r="BJ33" s="2661">
        <v>38173</v>
      </c>
      <c r="BK33" s="2662"/>
      <c r="BL33" s="2595"/>
      <c r="BM33" s="2572" t="s">
        <v>888</v>
      </c>
      <c r="BN33" s="2572" t="s">
        <v>1148</v>
      </c>
      <c r="BO33" s="2572" t="s">
        <v>1093</v>
      </c>
      <c r="BP33" s="2595"/>
      <c r="BQ33" s="2595"/>
      <c r="BR33" s="2595"/>
      <c r="BS33" s="2680"/>
      <c r="BT33" s="2680"/>
      <c r="BU33" s="2680"/>
    </row>
    <row r="34" hidden="1" spans="1:73">
      <c r="A34" s="2517" t="s">
        <v>1337</v>
      </c>
      <c r="B34" s="2514" t="s">
        <v>1338</v>
      </c>
      <c r="C34" s="2518" t="s">
        <v>1339</v>
      </c>
      <c r="D34" s="2518" t="s">
        <v>1340</v>
      </c>
      <c r="E34" s="2514" t="s">
        <v>1060</v>
      </c>
      <c r="F34" s="2514" t="s">
        <v>1258</v>
      </c>
      <c r="G34" s="2514"/>
      <c r="H34" s="2514" t="s">
        <v>1155</v>
      </c>
      <c r="I34" s="2514"/>
      <c r="J34" s="2518" t="s">
        <v>1341</v>
      </c>
      <c r="K34" s="2514" t="s">
        <v>1338</v>
      </c>
      <c r="L34" s="2542">
        <v>94.7</v>
      </c>
      <c r="M34" s="2514">
        <v>17</v>
      </c>
      <c r="N34" s="2514" t="s">
        <v>1064</v>
      </c>
      <c r="O34" s="2514"/>
      <c r="P34" s="2514" t="s">
        <v>1065</v>
      </c>
      <c r="Q34" s="2556">
        <v>580000</v>
      </c>
      <c r="R34" s="2514">
        <v>6125</v>
      </c>
      <c r="S34" s="2564">
        <v>55.1</v>
      </c>
      <c r="T34" s="2561">
        <v>551000</v>
      </c>
      <c r="U34" s="2514">
        <v>5819</v>
      </c>
      <c r="V34" s="2558">
        <v>0.05</v>
      </c>
      <c r="W34" s="2559">
        <v>52.34</v>
      </c>
      <c r="X34" s="2562">
        <v>523400</v>
      </c>
      <c r="Y34" s="2591">
        <v>2004</v>
      </c>
      <c r="Z34" s="2591">
        <v>8</v>
      </c>
      <c r="AA34" s="2591">
        <v>16</v>
      </c>
      <c r="AB34" s="2514">
        <v>1500</v>
      </c>
      <c r="AC34" s="2514" t="s">
        <v>1066</v>
      </c>
      <c r="AD34" s="2517"/>
      <c r="AE34" s="2591" t="s">
        <v>1342</v>
      </c>
      <c r="AF34" s="2514" t="s">
        <v>1068</v>
      </c>
      <c r="AG34" s="2514" t="s">
        <v>1069</v>
      </c>
      <c r="AH34" s="2517"/>
      <c r="AI34" s="2515" t="s">
        <v>175</v>
      </c>
      <c r="AJ34" s="2602"/>
      <c r="AK34" s="2603" t="s">
        <v>1113</v>
      </c>
      <c r="AL34" s="2591">
        <v>82253558</v>
      </c>
      <c r="AM34" s="2591"/>
      <c r="AN34" s="2591" t="s">
        <v>1072</v>
      </c>
      <c r="AO34" s="2591"/>
      <c r="AP34" s="2591" t="s">
        <v>1300</v>
      </c>
      <c r="AQ34" s="2591" t="s">
        <v>1089</v>
      </c>
      <c r="AR34" s="2591"/>
      <c r="AS34" s="2591"/>
      <c r="AT34" s="2591"/>
      <c r="AU34" s="2591"/>
      <c r="AV34" s="2591"/>
      <c r="AW34" s="2591"/>
      <c r="AX34" s="2591"/>
      <c r="AY34" s="2631"/>
      <c r="AZ34" s="2591"/>
      <c r="BA34" s="2591"/>
      <c r="BB34" s="2631"/>
      <c r="BC34" s="2591"/>
      <c r="BD34" s="2632"/>
      <c r="BE34" s="2591"/>
      <c r="BF34" s="2651"/>
      <c r="BG34" s="2656">
        <v>38176</v>
      </c>
      <c r="BH34" s="2591" t="s">
        <v>1343</v>
      </c>
      <c r="BI34" s="2591" t="s">
        <v>1342</v>
      </c>
      <c r="BJ34" s="2653">
        <v>38176</v>
      </c>
      <c r="BK34" s="2653"/>
      <c r="BL34" s="2514"/>
      <c r="BM34" s="2591" t="s">
        <v>888</v>
      </c>
      <c r="BN34" s="2591" t="s">
        <v>1077</v>
      </c>
      <c r="BO34" s="2591" t="s">
        <v>1344</v>
      </c>
      <c r="BP34" s="2591"/>
      <c r="BQ34" s="2591"/>
      <c r="BR34" s="2591"/>
      <c r="BS34" s="2678"/>
      <c r="BT34" s="2678"/>
      <c r="BU34" s="2678"/>
    </row>
    <row r="35" hidden="1" spans="1:73">
      <c r="A35" s="2517" t="s">
        <v>1345</v>
      </c>
      <c r="B35" s="2514" t="s">
        <v>1346</v>
      </c>
      <c r="C35" s="2519" t="s">
        <v>1347</v>
      </c>
      <c r="D35" s="2518" t="s">
        <v>1348</v>
      </c>
      <c r="E35" s="2514" t="s">
        <v>1060</v>
      </c>
      <c r="F35" s="2514" t="s">
        <v>1295</v>
      </c>
      <c r="G35" s="2514"/>
      <c r="H35" s="2514" t="s">
        <v>1098</v>
      </c>
      <c r="I35" s="2514"/>
      <c r="J35" s="2518" t="s">
        <v>1349</v>
      </c>
      <c r="K35" s="2514" t="s">
        <v>1346</v>
      </c>
      <c r="L35" s="2542">
        <v>78.87</v>
      </c>
      <c r="M35" s="2514" t="s">
        <v>1350</v>
      </c>
      <c r="N35" s="2514" t="s">
        <v>1064</v>
      </c>
      <c r="O35" s="2514"/>
      <c r="P35" s="2514" t="s">
        <v>1065</v>
      </c>
      <c r="Q35" s="2556">
        <v>480000</v>
      </c>
      <c r="R35" s="2514">
        <v>6086</v>
      </c>
      <c r="S35" s="2564">
        <v>46.09</v>
      </c>
      <c r="T35" s="2561">
        <v>460900</v>
      </c>
      <c r="U35" s="2514">
        <v>5845</v>
      </c>
      <c r="V35" s="2558">
        <v>0.05</v>
      </c>
      <c r="W35" s="2559">
        <v>43.78</v>
      </c>
      <c r="X35" s="2562">
        <v>437800</v>
      </c>
      <c r="Y35" s="2591">
        <v>2004</v>
      </c>
      <c r="Z35" s="2591">
        <v>8</v>
      </c>
      <c r="AA35" s="2591">
        <v>26</v>
      </c>
      <c r="AB35" s="2514">
        <v>1380</v>
      </c>
      <c r="AC35" s="2514" t="s">
        <v>1066</v>
      </c>
      <c r="AD35" s="2517"/>
      <c r="AE35" s="2591" t="s">
        <v>1067</v>
      </c>
      <c r="AF35" s="2514" t="s">
        <v>1068</v>
      </c>
      <c r="AG35" s="2514" t="s">
        <v>1069</v>
      </c>
      <c r="AH35" s="2517"/>
      <c r="AI35" s="2515" t="s">
        <v>1070</v>
      </c>
      <c r="AJ35" s="2602"/>
      <c r="AK35" s="2603" t="s">
        <v>1113</v>
      </c>
      <c r="AL35" s="2591">
        <v>67641700</v>
      </c>
      <c r="AM35" s="2591"/>
      <c r="AN35" s="2591" t="s">
        <v>1182</v>
      </c>
      <c r="AO35" s="2591"/>
      <c r="AP35" s="2591" t="s">
        <v>1073</v>
      </c>
      <c r="AQ35" s="2591" t="s">
        <v>1089</v>
      </c>
      <c r="AR35" s="2591"/>
      <c r="AS35" s="2591"/>
      <c r="AT35" s="2591"/>
      <c r="AU35" s="2591"/>
      <c r="AV35" s="2591"/>
      <c r="AW35" s="2591" t="s">
        <v>1075</v>
      </c>
      <c r="AX35" s="2591"/>
      <c r="AY35" s="2631"/>
      <c r="AZ35" s="2591" t="s">
        <v>1351</v>
      </c>
      <c r="BA35" s="2591"/>
      <c r="BB35" s="2631"/>
      <c r="BC35" s="2591"/>
      <c r="BD35" s="2632"/>
      <c r="BE35" s="2591"/>
      <c r="BF35" s="2651"/>
      <c r="BG35" s="2656">
        <v>38177</v>
      </c>
      <c r="BH35" s="2591"/>
      <c r="BI35" s="2591" t="s">
        <v>1073</v>
      </c>
      <c r="BJ35" s="2653">
        <v>38177</v>
      </c>
      <c r="BK35" s="2653"/>
      <c r="BL35" s="2514"/>
      <c r="BM35" s="2591"/>
      <c r="BN35" s="2591"/>
      <c r="BO35" s="2591"/>
      <c r="BP35" s="2591"/>
      <c r="BQ35" s="2591"/>
      <c r="BR35" s="2591"/>
      <c r="BS35" s="2678"/>
      <c r="BT35" s="2678"/>
      <c r="BU35" s="2678"/>
    </row>
    <row r="36" hidden="1" spans="1:73">
      <c r="A36" s="2517" t="s">
        <v>1352</v>
      </c>
      <c r="B36" s="2514" t="s">
        <v>1353</v>
      </c>
      <c r="C36" s="2518" t="s">
        <v>1354</v>
      </c>
      <c r="D36" s="2518" t="s">
        <v>1355</v>
      </c>
      <c r="E36" s="2514" t="s">
        <v>1060</v>
      </c>
      <c r="F36" s="2515" t="s">
        <v>1356</v>
      </c>
      <c r="G36" s="2514"/>
      <c r="H36" s="2514" t="s">
        <v>1084</v>
      </c>
      <c r="I36" s="2514"/>
      <c r="J36" s="2518" t="s">
        <v>1357</v>
      </c>
      <c r="K36" s="2514" t="s">
        <v>1358</v>
      </c>
      <c r="L36" s="2542">
        <v>65.3</v>
      </c>
      <c r="M36" s="2514">
        <v>4</v>
      </c>
      <c r="N36" s="2514" t="s">
        <v>1064</v>
      </c>
      <c r="O36" s="2514"/>
      <c r="P36" s="2514" t="s">
        <v>1065</v>
      </c>
      <c r="Q36" s="2556">
        <v>350000</v>
      </c>
      <c r="R36" s="2514">
        <v>5360</v>
      </c>
      <c r="S36" s="2564">
        <v>34.43</v>
      </c>
      <c r="T36" s="2561">
        <v>344300</v>
      </c>
      <c r="U36" s="2514">
        <v>5274</v>
      </c>
      <c r="V36" s="2558">
        <v>0.05</v>
      </c>
      <c r="W36" s="2559">
        <v>32.7</v>
      </c>
      <c r="X36" s="2562">
        <v>327000</v>
      </c>
      <c r="Y36" s="2591">
        <v>2004</v>
      </c>
      <c r="Z36" s="2591">
        <v>7</v>
      </c>
      <c r="AA36" s="2591">
        <v>22</v>
      </c>
      <c r="AB36" s="2514">
        <v>1030</v>
      </c>
      <c r="AC36" s="2514" t="s">
        <v>1066</v>
      </c>
      <c r="AD36" s="2517"/>
      <c r="AE36" s="2591" t="s">
        <v>1067</v>
      </c>
      <c r="AF36" s="2514" t="s">
        <v>1068</v>
      </c>
      <c r="AG36" s="2514" t="s">
        <v>1069</v>
      </c>
      <c r="AH36" s="2517"/>
      <c r="AI36" s="2514" t="s">
        <v>175</v>
      </c>
      <c r="AJ36" s="2602"/>
      <c r="AK36" s="2603" t="s">
        <v>1330</v>
      </c>
      <c r="AL36" s="2591">
        <v>82253558</v>
      </c>
      <c r="AM36" s="2591"/>
      <c r="AN36" s="2591"/>
      <c r="AO36" s="2591"/>
      <c r="AP36" s="2591" t="s">
        <v>1073</v>
      </c>
      <c r="AQ36" s="2514" t="s">
        <v>1074</v>
      </c>
      <c r="AR36" s="2591"/>
      <c r="AS36" s="2591"/>
      <c r="AT36" s="2591"/>
      <c r="AU36" s="2591"/>
      <c r="AV36" s="2591"/>
      <c r="AW36" s="2591"/>
      <c r="AX36" s="2591"/>
      <c r="AY36" s="2631"/>
      <c r="AZ36" s="2591"/>
      <c r="BA36" s="2591"/>
      <c r="BB36" s="2631"/>
      <c r="BC36" s="2591"/>
      <c r="BD36" s="2632"/>
      <c r="BE36" s="2591"/>
      <c r="BF36" s="2651"/>
      <c r="BG36" s="2650">
        <v>38102</v>
      </c>
      <c r="BH36" s="2591"/>
      <c r="BI36" s="2591" t="s">
        <v>1067</v>
      </c>
      <c r="BJ36" s="2653">
        <v>38188</v>
      </c>
      <c r="BK36" s="2653"/>
      <c r="BL36" s="2514"/>
      <c r="BM36" s="2591" t="s">
        <v>888</v>
      </c>
      <c r="BN36" s="2591" t="s">
        <v>1077</v>
      </c>
      <c r="BO36" s="2591" t="s">
        <v>1128</v>
      </c>
      <c r="BP36" s="2591"/>
      <c r="BQ36" s="2591" t="e">
        <v>#DIV/0!</v>
      </c>
      <c r="BR36" s="2591" t="e">
        <v>#DIV/0!</v>
      </c>
      <c r="BS36" s="2678"/>
      <c r="BT36" s="2678"/>
      <c r="BU36" s="2678"/>
    </row>
    <row r="37" s="2503" customFormat="1" spans="1:73">
      <c r="A37" s="2529" t="s">
        <v>1359</v>
      </c>
      <c r="B37" s="2530" t="s">
        <v>1360</v>
      </c>
      <c r="C37" s="2531" t="s">
        <v>1361</v>
      </c>
      <c r="D37" s="2531" t="s">
        <v>1362</v>
      </c>
      <c r="E37" s="2530" t="s">
        <v>1060</v>
      </c>
      <c r="F37" s="2527" t="s">
        <v>1363</v>
      </c>
      <c r="G37" s="2530"/>
      <c r="H37" s="2530" t="s">
        <v>1180</v>
      </c>
      <c r="I37" s="2530" t="s">
        <v>1364</v>
      </c>
      <c r="J37" s="2531" t="s">
        <v>1365</v>
      </c>
      <c r="K37" s="2530"/>
      <c r="L37" s="2530">
        <v>120.8</v>
      </c>
      <c r="M37" s="2530">
        <v>6</v>
      </c>
      <c r="N37" s="2547" t="s">
        <v>1366</v>
      </c>
      <c r="O37" s="2530"/>
      <c r="P37" s="2530" t="s">
        <v>1065</v>
      </c>
      <c r="Q37" s="2576">
        <v>600000</v>
      </c>
      <c r="R37" s="2530">
        <v>4967</v>
      </c>
      <c r="S37" s="2577">
        <v>62.38</v>
      </c>
      <c r="T37" s="2578">
        <v>623800</v>
      </c>
      <c r="U37" s="2530">
        <v>5164</v>
      </c>
      <c r="V37" s="2579">
        <v>0.05</v>
      </c>
      <c r="W37" s="2580">
        <v>59.26</v>
      </c>
      <c r="X37" s="2581">
        <v>592600</v>
      </c>
      <c r="Y37" s="2596">
        <v>2004</v>
      </c>
      <c r="Z37" s="2596">
        <v>8</v>
      </c>
      <c r="AA37" s="2596">
        <v>18</v>
      </c>
      <c r="AB37" s="2530">
        <v>1500</v>
      </c>
      <c r="AC37" s="2530" t="s">
        <v>1066</v>
      </c>
      <c r="AD37" s="2529"/>
      <c r="AE37" s="2530" t="s">
        <v>1067</v>
      </c>
      <c r="AF37" s="2530" t="s">
        <v>1068</v>
      </c>
      <c r="AG37" s="2530" t="s">
        <v>1069</v>
      </c>
      <c r="AH37" s="2529"/>
      <c r="AI37" s="2530" t="s">
        <v>175</v>
      </c>
      <c r="AJ37" s="2612"/>
      <c r="AK37" s="2613" t="s">
        <v>1113</v>
      </c>
      <c r="AL37" s="2596">
        <v>82253572</v>
      </c>
      <c r="AM37" s="2596"/>
      <c r="AN37" s="2596" t="s">
        <v>1072</v>
      </c>
      <c r="AO37" s="2596"/>
      <c r="AP37" s="2595" t="s">
        <v>1073</v>
      </c>
      <c r="AQ37" s="2595" t="s">
        <v>1089</v>
      </c>
      <c r="AR37" s="2596"/>
      <c r="AS37" s="2596"/>
      <c r="AT37" s="2596"/>
      <c r="AU37" s="2596"/>
      <c r="AV37" s="2596"/>
      <c r="AW37" s="2596"/>
      <c r="AX37" s="2596"/>
      <c r="AY37" s="2639"/>
      <c r="AZ37" s="2596"/>
      <c r="BA37" s="2596"/>
      <c r="BB37" s="2639"/>
      <c r="BC37" s="2596"/>
      <c r="BD37" s="2640"/>
      <c r="BE37" s="2596"/>
      <c r="BF37" s="2663"/>
      <c r="BG37" s="2664">
        <v>38196</v>
      </c>
      <c r="BH37" s="2596"/>
      <c r="BI37" s="2596" t="s">
        <v>1067</v>
      </c>
      <c r="BJ37" s="2665">
        <v>38197</v>
      </c>
      <c r="BK37" s="2665"/>
      <c r="BL37" s="2530"/>
      <c r="BM37" s="2596" t="s">
        <v>1367</v>
      </c>
      <c r="BN37" s="2596"/>
      <c r="BO37" s="2596" t="s">
        <v>1234</v>
      </c>
      <c r="BP37" s="2596"/>
      <c r="BQ37" s="2596"/>
      <c r="BR37" s="2596"/>
      <c r="BS37" s="2680"/>
      <c r="BT37" s="2680"/>
      <c r="BU37" s="2680"/>
    </row>
    <row r="38" spans="1:73">
      <c r="A38" s="2517" t="s">
        <v>1368</v>
      </c>
      <c r="B38" s="2514" t="s">
        <v>1369</v>
      </c>
      <c r="C38" s="2518" t="s">
        <v>1370</v>
      </c>
      <c r="D38" s="2515">
        <v>13311219217</v>
      </c>
      <c r="E38" s="2514" t="s">
        <v>1060</v>
      </c>
      <c r="F38" s="2514" t="s">
        <v>1371</v>
      </c>
      <c r="G38" s="2514"/>
      <c r="H38" s="2520" t="s">
        <v>1372</v>
      </c>
      <c r="I38" s="2514"/>
      <c r="J38" s="2514" t="s">
        <v>1373</v>
      </c>
      <c r="K38" s="2514"/>
      <c r="L38" s="2514">
        <v>102.4</v>
      </c>
      <c r="M38" s="2514" t="s">
        <v>1113</v>
      </c>
      <c r="N38" s="2515" t="s">
        <v>1374</v>
      </c>
      <c r="O38" s="2514"/>
      <c r="P38" s="2514" t="s">
        <v>1065</v>
      </c>
      <c r="Q38" s="2565">
        <v>550000</v>
      </c>
      <c r="R38" s="2565">
        <v>5371</v>
      </c>
      <c r="S38" s="2564">
        <v>50.42</v>
      </c>
      <c r="T38" s="2557">
        <v>504200</v>
      </c>
      <c r="U38" s="2514">
        <v>4924</v>
      </c>
      <c r="V38" s="2558">
        <v>0.05</v>
      </c>
      <c r="W38" s="2559">
        <v>47.89</v>
      </c>
      <c r="X38" s="2557">
        <v>478900</v>
      </c>
      <c r="Y38" s="2591">
        <v>2004</v>
      </c>
      <c r="Z38" s="2591">
        <v>8</v>
      </c>
      <c r="AA38" s="2514">
        <v>25</v>
      </c>
      <c r="AB38" s="2592">
        <v>1500</v>
      </c>
      <c r="AC38" s="2514" t="s">
        <v>1066</v>
      </c>
      <c r="AD38" s="2514"/>
      <c r="AE38" s="2514" t="s">
        <v>1073</v>
      </c>
      <c r="AF38" s="2514" t="s">
        <v>1068</v>
      </c>
      <c r="AG38" s="2523" t="s">
        <v>1069</v>
      </c>
      <c r="AH38" s="2514"/>
      <c r="AI38" s="2515" t="s">
        <v>1070</v>
      </c>
      <c r="AJ38" s="2602"/>
      <c r="AK38" s="2599" t="s">
        <v>1113</v>
      </c>
      <c r="AL38" s="2591">
        <v>67641700</v>
      </c>
      <c r="AM38" s="2514"/>
      <c r="AN38" s="2608" t="s">
        <v>1182</v>
      </c>
      <c r="AO38" s="2514"/>
      <c r="AP38" s="2514" t="s">
        <v>1073</v>
      </c>
      <c r="AQ38" s="2514" t="s">
        <v>1074</v>
      </c>
      <c r="AR38" s="2514"/>
      <c r="AS38" s="2514"/>
      <c r="AT38" s="2514"/>
      <c r="AU38" s="2514"/>
      <c r="AV38" s="2514"/>
      <c r="AW38" s="2514" t="s">
        <v>1075</v>
      </c>
      <c r="AX38" s="2514"/>
      <c r="AY38" s="2518"/>
      <c r="AZ38" s="2514"/>
      <c r="BA38" s="2514"/>
      <c r="BB38" s="2518"/>
      <c r="BC38" s="2514"/>
      <c r="BD38" s="2633"/>
      <c r="BE38" s="2514"/>
      <c r="BF38" s="2654"/>
      <c r="BG38" s="2650">
        <v>38198</v>
      </c>
      <c r="BH38" s="2514"/>
      <c r="BI38" s="2591" t="s">
        <v>1375</v>
      </c>
      <c r="BJ38" s="2650">
        <v>38198</v>
      </c>
      <c r="BK38" s="2655"/>
      <c r="BL38" s="2514"/>
      <c r="BM38" s="2591" t="s">
        <v>888</v>
      </c>
      <c r="BN38" s="2591" t="s">
        <v>1077</v>
      </c>
      <c r="BO38" s="2591" t="s">
        <v>1376</v>
      </c>
      <c r="BP38" s="2591"/>
      <c r="BQ38" s="2591" t="e">
        <v>#DIV/0!</v>
      </c>
      <c r="BR38" s="2591" t="e">
        <v>#DIV/0!</v>
      </c>
      <c r="BS38" s="2678"/>
      <c r="BT38" s="2678"/>
      <c r="BU38" s="2678"/>
    </row>
    <row r="39" hidden="1" spans="1:73">
      <c r="A39" s="2517" t="s">
        <v>1377</v>
      </c>
      <c r="B39" s="2514" t="s">
        <v>1378</v>
      </c>
      <c r="C39" s="2518" t="s">
        <v>1379</v>
      </c>
      <c r="D39" s="2515">
        <v>62977344</v>
      </c>
      <c r="E39" s="2514" t="s">
        <v>1060</v>
      </c>
      <c r="F39" s="2514" t="s">
        <v>1380</v>
      </c>
      <c r="G39" s="2532"/>
      <c r="H39" s="2514" t="s">
        <v>1098</v>
      </c>
      <c r="I39" s="2514" t="s">
        <v>1381</v>
      </c>
      <c r="J39" s="2514" t="s">
        <v>1382</v>
      </c>
      <c r="K39" s="2514" t="s">
        <v>1383</v>
      </c>
      <c r="L39" s="2514">
        <v>97.17</v>
      </c>
      <c r="M39" s="2514">
        <v>2</v>
      </c>
      <c r="N39" s="2515" t="s">
        <v>1384</v>
      </c>
      <c r="O39" s="2532"/>
      <c r="P39" s="2514" t="s">
        <v>1065</v>
      </c>
      <c r="Q39" s="2565">
        <v>480000</v>
      </c>
      <c r="R39" s="2565">
        <v>4940</v>
      </c>
      <c r="S39" s="2564">
        <v>42.94</v>
      </c>
      <c r="T39" s="2557">
        <v>429400</v>
      </c>
      <c r="U39" s="2514">
        <v>4420</v>
      </c>
      <c r="V39" s="2558">
        <v>0.05</v>
      </c>
      <c r="W39" s="2559">
        <v>40.79</v>
      </c>
      <c r="X39" s="2557">
        <v>407900</v>
      </c>
      <c r="Y39" s="2591">
        <v>2004</v>
      </c>
      <c r="Z39" s="2591">
        <v>8</v>
      </c>
      <c r="AA39" s="2514">
        <v>27</v>
      </c>
      <c r="AB39" s="2514">
        <v>1285</v>
      </c>
      <c r="AC39" s="2514" t="s">
        <v>1066</v>
      </c>
      <c r="AD39" s="2532"/>
      <c r="AE39" s="2514" t="s">
        <v>175</v>
      </c>
      <c r="AF39" s="2514" t="s">
        <v>1068</v>
      </c>
      <c r="AG39" s="2523" t="s">
        <v>1069</v>
      </c>
      <c r="AH39" s="2532"/>
      <c r="AI39" s="2532"/>
      <c r="AJ39" s="2602"/>
      <c r="AK39" s="2599" t="s">
        <v>1113</v>
      </c>
      <c r="AL39" s="2514">
        <v>82253558</v>
      </c>
      <c r="AM39" s="2532"/>
      <c r="AN39" s="2608" t="s">
        <v>1071</v>
      </c>
      <c r="AO39" s="2532"/>
      <c r="AP39" s="2514" t="s">
        <v>175</v>
      </c>
      <c r="AQ39" s="2514" t="s">
        <v>1074</v>
      </c>
      <c r="AR39" s="2532"/>
      <c r="AS39" s="2532"/>
      <c r="AT39" s="2532"/>
      <c r="AU39" s="2532"/>
      <c r="AV39" s="2532"/>
      <c r="AW39" s="2514" t="s">
        <v>1075</v>
      </c>
      <c r="AX39" s="2532"/>
      <c r="AY39" s="2518"/>
      <c r="AZ39" s="2514" t="s">
        <v>1383</v>
      </c>
      <c r="BA39" s="2532"/>
      <c r="BB39" s="2518"/>
      <c r="BC39" s="2532"/>
      <c r="BD39" s="2633"/>
      <c r="BE39" s="2532"/>
      <c r="BF39" s="2654"/>
      <c r="BG39" s="2650">
        <v>38224</v>
      </c>
      <c r="BH39" s="2532"/>
      <c r="BI39" s="2514" t="s">
        <v>175</v>
      </c>
      <c r="BJ39" s="2650">
        <v>38225</v>
      </c>
      <c r="BK39" s="2655"/>
      <c r="BL39" s="2532"/>
      <c r="BM39" s="2591" t="s">
        <v>888</v>
      </c>
      <c r="BN39" s="2591" t="s">
        <v>1077</v>
      </c>
      <c r="BO39" s="2591" t="s">
        <v>1234</v>
      </c>
      <c r="BP39" s="2591"/>
      <c r="BQ39" s="2591" t="e">
        <v>#DIV/0!</v>
      </c>
      <c r="BR39" s="2591" t="e">
        <v>#DIV/0!</v>
      </c>
      <c r="BS39" s="2678"/>
      <c r="BT39" s="2678"/>
      <c r="BU39" s="2678"/>
    </row>
    <row r="40" hidden="1" spans="1:74">
      <c r="A40" s="2517" t="s">
        <v>1385</v>
      </c>
      <c r="B40" s="2514" t="s">
        <v>1378</v>
      </c>
      <c r="C40" s="2518" t="s">
        <v>1379</v>
      </c>
      <c r="D40" s="2515">
        <v>62977344</v>
      </c>
      <c r="E40" s="2514" t="s">
        <v>1060</v>
      </c>
      <c r="F40" s="2514" t="s">
        <v>1380</v>
      </c>
      <c r="G40" s="2514"/>
      <c r="H40" s="2514" t="s">
        <v>1098</v>
      </c>
      <c r="I40" s="2514" t="s">
        <v>1381</v>
      </c>
      <c r="J40" s="2514" t="s">
        <v>1382</v>
      </c>
      <c r="K40" s="2514" t="s">
        <v>1383</v>
      </c>
      <c r="L40" s="2514">
        <v>97.17</v>
      </c>
      <c r="M40" s="2514">
        <v>2</v>
      </c>
      <c r="N40" s="2515" t="s">
        <v>1384</v>
      </c>
      <c r="O40" s="2514"/>
      <c r="P40" s="2514" t="s">
        <v>1065</v>
      </c>
      <c r="Q40" s="2565">
        <v>480000</v>
      </c>
      <c r="R40" s="2565">
        <v>4940</v>
      </c>
      <c r="S40" s="2564">
        <v>42.94</v>
      </c>
      <c r="T40" s="2557">
        <v>429400</v>
      </c>
      <c r="U40" s="2514">
        <v>4420</v>
      </c>
      <c r="V40" s="2558">
        <v>0.05</v>
      </c>
      <c r="W40" s="2559">
        <v>40.79</v>
      </c>
      <c r="X40" s="2557">
        <v>407900</v>
      </c>
      <c r="Y40" s="2591">
        <v>2004</v>
      </c>
      <c r="Z40" s="2591">
        <v>9</v>
      </c>
      <c r="AA40" s="2514">
        <v>7</v>
      </c>
      <c r="AB40" s="2514">
        <v>1285</v>
      </c>
      <c r="AC40" s="2514" t="s">
        <v>1066</v>
      </c>
      <c r="AD40" s="2514"/>
      <c r="AE40" s="2514" t="s">
        <v>175</v>
      </c>
      <c r="AF40" s="2514" t="s">
        <v>1068</v>
      </c>
      <c r="AG40" s="2523" t="s">
        <v>1069</v>
      </c>
      <c r="AH40" s="2514"/>
      <c r="AI40" s="2514" t="s">
        <v>1070</v>
      </c>
      <c r="AJ40" s="2602"/>
      <c r="AK40" s="2514" t="s">
        <v>1124</v>
      </c>
      <c r="AL40" s="2514">
        <v>82253558</v>
      </c>
      <c r="AM40" s="2514"/>
      <c r="AN40" s="2523" t="s">
        <v>1088</v>
      </c>
      <c r="AO40" s="2514"/>
      <c r="AP40" s="2514" t="s">
        <v>1073</v>
      </c>
      <c r="AQ40" s="2514" t="s">
        <v>1089</v>
      </c>
      <c r="AR40" s="2514"/>
      <c r="AS40" s="2514"/>
      <c r="AT40" s="2514"/>
      <c r="AU40" s="2514"/>
      <c r="AV40" s="2514"/>
      <c r="AW40" s="2514" t="s">
        <v>1075</v>
      </c>
      <c r="AX40" s="2514"/>
      <c r="AY40" s="2518"/>
      <c r="AZ40" s="2514" t="s">
        <v>1383</v>
      </c>
      <c r="BA40" s="2514"/>
      <c r="BB40" s="2518"/>
      <c r="BC40" s="2514"/>
      <c r="BD40" s="2633"/>
      <c r="BE40" s="2514"/>
      <c r="BF40" s="2654"/>
      <c r="BG40" s="2650">
        <v>38224</v>
      </c>
      <c r="BH40" s="2514"/>
      <c r="BI40" s="2514" t="s">
        <v>175</v>
      </c>
      <c r="BJ40" s="2650">
        <v>38225</v>
      </c>
      <c r="BK40" s="2655"/>
      <c r="BL40" s="2514"/>
      <c r="BM40" s="2591" t="s">
        <v>888</v>
      </c>
      <c r="BN40" s="2591" t="s">
        <v>1077</v>
      </c>
      <c r="BO40" s="2591" t="s">
        <v>1234</v>
      </c>
      <c r="BP40" s="2591"/>
      <c r="BQ40" s="2591" t="e">
        <v>#DIV/0!</v>
      </c>
      <c r="BR40" s="2591" t="e">
        <v>#DIV/0!</v>
      </c>
      <c r="BS40" s="2678"/>
      <c r="BT40" s="2678"/>
      <c r="BU40" s="2678"/>
      <c r="BV40" s="2514"/>
    </row>
    <row r="41" hidden="1" spans="1:73">
      <c r="A41" s="2517" t="s">
        <v>1386</v>
      </c>
      <c r="B41" s="2514" t="s">
        <v>1387</v>
      </c>
      <c r="C41" s="2518" t="s">
        <v>1388</v>
      </c>
      <c r="D41" s="2518" t="s">
        <v>1389</v>
      </c>
      <c r="E41" s="2514" t="s">
        <v>1060</v>
      </c>
      <c r="F41" s="2514" t="s">
        <v>1390</v>
      </c>
      <c r="G41" s="2514"/>
      <c r="H41" s="2514" t="s">
        <v>1391</v>
      </c>
      <c r="I41" s="2514" t="s">
        <v>1392</v>
      </c>
      <c r="J41" s="2518" t="s">
        <v>1382</v>
      </c>
      <c r="K41" s="2514"/>
      <c r="L41" s="2514">
        <v>157.01</v>
      </c>
      <c r="M41" s="2514">
        <v>2</v>
      </c>
      <c r="N41" s="2514" t="s">
        <v>1299</v>
      </c>
      <c r="O41" s="2514"/>
      <c r="P41" s="2514" t="s">
        <v>1065</v>
      </c>
      <c r="Q41" s="2565">
        <v>753648</v>
      </c>
      <c r="R41" s="2514">
        <v>4800</v>
      </c>
      <c r="S41" s="2564">
        <v>83.7</v>
      </c>
      <c r="T41" s="2561">
        <v>837000</v>
      </c>
      <c r="U41" s="2514">
        <v>5331</v>
      </c>
      <c r="V41" s="2558">
        <v>0.05</v>
      </c>
      <c r="W41" s="2559">
        <v>79.51</v>
      </c>
      <c r="X41" s="2562">
        <v>795100</v>
      </c>
      <c r="Y41" s="2591">
        <v>2004</v>
      </c>
      <c r="Z41" s="2591">
        <v>11</v>
      </c>
      <c r="AA41" s="2591">
        <v>24</v>
      </c>
      <c r="AB41" s="2514">
        <v>1500</v>
      </c>
      <c r="AC41" s="2514" t="s">
        <v>1066</v>
      </c>
      <c r="AD41" s="2517"/>
      <c r="AE41" s="2514" t="s">
        <v>1067</v>
      </c>
      <c r="AF41" s="2514" t="s">
        <v>1068</v>
      </c>
      <c r="AG41" s="2514" t="s">
        <v>1069</v>
      </c>
      <c r="AH41" s="2517" t="s">
        <v>1393</v>
      </c>
      <c r="AI41" s="2514" t="s">
        <v>175</v>
      </c>
      <c r="AJ41" s="2602"/>
      <c r="AK41" s="2514" t="s">
        <v>1136</v>
      </c>
      <c r="AL41" s="2591">
        <v>67641700</v>
      </c>
      <c r="AM41" s="2591"/>
      <c r="AN41" s="2523" t="s">
        <v>1182</v>
      </c>
      <c r="AO41" s="2591"/>
      <c r="AP41" s="2514" t="s">
        <v>1073</v>
      </c>
      <c r="AQ41" s="2591" t="s">
        <v>1089</v>
      </c>
      <c r="AR41" s="2591"/>
      <c r="AS41" s="2591"/>
      <c r="AT41" s="2591"/>
      <c r="AU41" s="2591"/>
      <c r="AV41" s="2591"/>
      <c r="AW41" s="2591" t="s">
        <v>1075</v>
      </c>
      <c r="AX41" s="2591"/>
      <c r="AY41" s="2631"/>
      <c r="AZ41" s="2591" t="s">
        <v>1394</v>
      </c>
      <c r="BA41" s="2591"/>
      <c r="BB41" s="2631"/>
      <c r="BC41" s="2591"/>
      <c r="BD41" s="2632"/>
      <c r="BE41" s="2591"/>
      <c r="BF41" s="2651"/>
      <c r="BG41" s="2656">
        <v>38200</v>
      </c>
      <c r="BH41" s="2591"/>
      <c r="BI41" s="2514" t="s">
        <v>1067</v>
      </c>
      <c r="BJ41" s="2653">
        <v>38237</v>
      </c>
      <c r="BK41" s="2653"/>
      <c r="BL41" s="2514"/>
      <c r="BM41" s="2591" t="s">
        <v>1395</v>
      </c>
      <c r="BN41" s="2591" t="s">
        <v>1077</v>
      </c>
      <c r="BO41" s="2591" t="s">
        <v>1396</v>
      </c>
      <c r="BP41" s="2591"/>
      <c r="BQ41" s="2591"/>
      <c r="BR41" s="2591"/>
      <c r="BS41" s="2681"/>
      <c r="BT41" s="2681"/>
      <c r="BU41" s="2681"/>
    </row>
    <row r="42" hidden="1" spans="1:73">
      <c r="A42" s="2517" t="s">
        <v>1397</v>
      </c>
      <c r="B42" s="2515" t="s">
        <v>1398</v>
      </c>
      <c r="C42" s="2518" t="s">
        <v>1399</v>
      </c>
      <c r="D42" s="2515"/>
      <c r="E42" s="2515" t="s">
        <v>1060</v>
      </c>
      <c r="F42" s="2515" t="s">
        <v>1400</v>
      </c>
      <c r="G42" s="2515"/>
      <c r="H42" s="2515" t="s">
        <v>1180</v>
      </c>
      <c r="I42" s="2515" t="s">
        <v>1099</v>
      </c>
      <c r="J42" s="2515" t="s">
        <v>1401</v>
      </c>
      <c r="K42" s="2515"/>
      <c r="L42" s="2516">
        <v>112</v>
      </c>
      <c r="M42" s="2516">
        <v>23</v>
      </c>
      <c r="N42" s="2543" t="s">
        <v>1064</v>
      </c>
      <c r="O42" s="2516"/>
      <c r="P42" s="2515" t="s">
        <v>1065</v>
      </c>
      <c r="Q42" s="2565">
        <v>640000</v>
      </c>
      <c r="R42" s="2514">
        <v>5714</v>
      </c>
      <c r="S42" s="2564">
        <v>60.48</v>
      </c>
      <c r="T42" s="2561">
        <v>604800</v>
      </c>
      <c r="U42" s="2514">
        <v>5400</v>
      </c>
      <c r="V42" s="2566">
        <v>0.05</v>
      </c>
      <c r="W42" s="2559">
        <v>57.45</v>
      </c>
      <c r="X42" s="2582">
        <v>574500</v>
      </c>
      <c r="Y42" s="2591">
        <v>2004</v>
      </c>
      <c r="Z42" s="2514">
        <v>9</v>
      </c>
      <c r="AA42" s="2591">
        <v>27</v>
      </c>
      <c r="AB42" s="2514">
        <v>1500</v>
      </c>
      <c r="AC42" s="2514" t="s">
        <v>1066</v>
      </c>
      <c r="AD42" s="2515"/>
      <c r="AE42" s="2515" t="s">
        <v>179</v>
      </c>
      <c r="AF42" s="2515" t="s">
        <v>1068</v>
      </c>
      <c r="AG42" s="2515" t="s">
        <v>1069</v>
      </c>
      <c r="AH42" s="2515"/>
      <c r="AI42" s="2515" t="s">
        <v>1070</v>
      </c>
      <c r="AJ42" s="2605"/>
      <c r="AK42" s="2607" t="s">
        <v>1124</v>
      </c>
      <c r="AL42" s="2591">
        <v>67641700</v>
      </c>
      <c r="AM42" s="2591"/>
      <c r="AN42" s="2608" t="s">
        <v>1071</v>
      </c>
      <c r="AO42" s="2591"/>
      <c r="AP42" s="2591" t="s">
        <v>1073</v>
      </c>
      <c r="AQ42" s="2591" t="s">
        <v>1074</v>
      </c>
      <c r="AR42" s="2514"/>
      <c r="AS42" s="2514"/>
      <c r="AT42" s="2514"/>
      <c r="AU42" s="2514"/>
      <c r="AV42" s="2621"/>
      <c r="AW42" s="2515" t="s">
        <v>1090</v>
      </c>
      <c r="AX42" s="2515"/>
      <c r="AY42" s="2515"/>
      <c r="AZ42" s="2515" t="s">
        <v>1402</v>
      </c>
      <c r="BA42" s="2515"/>
      <c r="BB42" s="2525"/>
      <c r="BC42" s="2515"/>
      <c r="BD42" s="2515"/>
      <c r="BE42" s="2515"/>
      <c r="BF42" s="2651"/>
      <c r="BG42" s="2617">
        <v>38238</v>
      </c>
      <c r="BH42" s="2515"/>
      <c r="BI42" s="2591" t="s">
        <v>1375</v>
      </c>
      <c r="BJ42" s="2653">
        <v>38244</v>
      </c>
      <c r="BK42" s="2650"/>
      <c r="BL42" s="2591" t="s">
        <v>1174</v>
      </c>
      <c r="BM42" s="2514" t="s">
        <v>888</v>
      </c>
      <c r="BN42" s="2514" t="s">
        <v>1077</v>
      </c>
      <c r="BO42" s="2514" t="s">
        <v>1128</v>
      </c>
      <c r="BP42" s="2591"/>
      <c r="BQ42" s="2591" t="e">
        <v>#DIV/0!</v>
      </c>
      <c r="BR42" s="2591" t="e">
        <v>#DIV/0!</v>
      </c>
      <c r="BS42" s="2678"/>
      <c r="BT42" s="2678"/>
      <c r="BU42" s="2678"/>
    </row>
    <row r="43" hidden="1" spans="1:73">
      <c r="A43" s="2533" t="s">
        <v>1403</v>
      </c>
      <c r="B43" s="2534" t="s">
        <v>1404</v>
      </c>
      <c r="C43" s="2535" t="s">
        <v>1405</v>
      </c>
      <c r="D43" s="2535" t="s">
        <v>1406</v>
      </c>
      <c r="E43" s="2534" t="s">
        <v>1060</v>
      </c>
      <c r="F43" s="2536" t="s">
        <v>1407</v>
      </c>
      <c r="G43" s="2534"/>
      <c r="H43" s="2534"/>
      <c r="I43" s="2548"/>
      <c r="J43" s="2534" t="s">
        <v>1408</v>
      </c>
      <c r="K43" s="2534" t="s">
        <v>1404</v>
      </c>
      <c r="L43" s="2534">
        <v>72.85</v>
      </c>
      <c r="M43" s="2534">
        <v>6</v>
      </c>
      <c r="N43" s="2534" t="s">
        <v>1409</v>
      </c>
      <c r="O43" s="2534">
        <v>49.99</v>
      </c>
      <c r="P43" s="2534" t="s">
        <v>1065</v>
      </c>
      <c r="Q43" s="2583">
        <v>480000</v>
      </c>
      <c r="R43" s="2534">
        <v>6589</v>
      </c>
      <c r="S43" s="2584">
        <v>41.9</v>
      </c>
      <c r="T43" s="2585">
        <v>419000</v>
      </c>
      <c r="U43" s="2534">
        <v>5752</v>
      </c>
      <c r="V43" s="2586">
        <v>0.05</v>
      </c>
      <c r="W43" s="2587">
        <v>39.8</v>
      </c>
      <c r="X43" s="2588">
        <v>398000</v>
      </c>
      <c r="Y43" s="2548">
        <v>2004</v>
      </c>
      <c r="Z43" s="2548">
        <v>9</v>
      </c>
      <c r="AA43" s="2548">
        <v>16</v>
      </c>
      <c r="AB43" s="2534">
        <v>1255</v>
      </c>
      <c r="AC43" s="2534" t="s">
        <v>1066</v>
      </c>
      <c r="AD43" s="2533"/>
      <c r="AE43" s="2548" t="s">
        <v>1067</v>
      </c>
      <c r="AF43" s="2534" t="s">
        <v>1068</v>
      </c>
      <c r="AG43" s="2534" t="s">
        <v>1069</v>
      </c>
      <c r="AH43" s="2533"/>
      <c r="AI43" s="2534" t="s">
        <v>175</v>
      </c>
      <c r="AJ43" s="2614"/>
      <c r="AK43" s="2615" t="s">
        <v>1124</v>
      </c>
      <c r="AL43" s="2548">
        <v>82253572</v>
      </c>
      <c r="AM43" s="2548"/>
      <c r="AN43" s="2548"/>
      <c r="AO43" s="2548"/>
      <c r="AP43" s="2548" t="s">
        <v>1073</v>
      </c>
      <c r="AQ43" s="2548" t="s">
        <v>1074</v>
      </c>
      <c r="AR43" s="2548"/>
      <c r="AS43" s="2548"/>
      <c r="AT43" s="2548"/>
      <c r="AU43" s="2548"/>
      <c r="AV43" s="2548"/>
      <c r="AW43" s="2548"/>
      <c r="AX43" s="2548"/>
      <c r="AY43" s="2641"/>
      <c r="AZ43" s="2548" t="s">
        <v>1410</v>
      </c>
      <c r="BA43" s="2548"/>
      <c r="BB43" s="2641"/>
      <c r="BC43" s="2548"/>
      <c r="BD43" s="2642"/>
      <c r="BE43" s="2548"/>
      <c r="BF43" s="2666"/>
      <c r="BG43" s="2667">
        <v>38237</v>
      </c>
      <c r="BH43" s="2548"/>
      <c r="BI43" s="2548" t="s">
        <v>1067</v>
      </c>
      <c r="BJ43" s="2668">
        <v>38240</v>
      </c>
      <c r="BK43" s="2668"/>
      <c r="BL43" s="2534"/>
      <c r="BM43" s="2548" t="s">
        <v>888</v>
      </c>
      <c r="BN43" s="2548" t="s">
        <v>1148</v>
      </c>
      <c r="BO43" s="2548" t="s">
        <v>1128</v>
      </c>
      <c r="BP43" s="2548"/>
      <c r="BQ43" s="2548">
        <v>8382</v>
      </c>
      <c r="BR43" s="2548">
        <v>9602</v>
      </c>
      <c r="BS43" s="2678"/>
      <c r="BT43" s="2678"/>
      <c r="BU43" s="2678"/>
    </row>
    <row r="44" hidden="1" spans="1:73">
      <c r="A44" s="2514" t="s">
        <v>1411</v>
      </c>
      <c r="B44" s="2514" t="s">
        <v>1412</v>
      </c>
      <c r="C44" s="2518" t="s">
        <v>1413</v>
      </c>
      <c r="D44" s="2515">
        <v>13671139797</v>
      </c>
      <c r="E44" s="2514" t="s">
        <v>1060</v>
      </c>
      <c r="F44" s="2514" t="s">
        <v>1205</v>
      </c>
      <c r="G44" s="2514"/>
      <c r="H44" s="2516" t="s">
        <v>1098</v>
      </c>
      <c r="I44" s="2515"/>
      <c r="J44" s="2516" t="s">
        <v>1414</v>
      </c>
      <c r="K44" s="2514" t="s">
        <v>1412</v>
      </c>
      <c r="L44" s="2542">
        <v>126.2</v>
      </c>
      <c r="M44" s="2516">
        <v>4</v>
      </c>
      <c r="N44" s="2514" t="s">
        <v>1299</v>
      </c>
      <c r="O44" s="2514"/>
      <c r="P44" s="2514" t="s">
        <v>1065</v>
      </c>
      <c r="Q44" s="2556">
        <v>810000</v>
      </c>
      <c r="R44" s="2514">
        <v>6418</v>
      </c>
      <c r="S44" s="2564">
        <v>80.25</v>
      </c>
      <c r="T44" s="2561">
        <v>802500</v>
      </c>
      <c r="U44" s="2556">
        <v>6359</v>
      </c>
      <c r="V44" s="2558">
        <v>0.05</v>
      </c>
      <c r="W44" s="2559">
        <v>76.23</v>
      </c>
      <c r="X44" s="2562">
        <v>762300</v>
      </c>
      <c r="Y44" s="2514">
        <v>2004</v>
      </c>
      <c r="Z44" s="2514">
        <v>9</v>
      </c>
      <c r="AA44" s="2514">
        <v>29</v>
      </c>
      <c r="AB44" s="2514">
        <v>1500</v>
      </c>
      <c r="AC44" s="2514" t="s">
        <v>1066</v>
      </c>
      <c r="AD44" s="2514"/>
      <c r="AE44" s="2514" t="s">
        <v>1067</v>
      </c>
      <c r="AF44" s="2514" t="s">
        <v>1068</v>
      </c>
      <c r="AG44" s="2514" t="s">
        <v>1069</v>
      </c>
      <c r="AH44" s="2514"/>
      <c r="AI44" s="2514" t="s">
        <v>175</v>
      </c>
      <c r="AJ44" s="2516"/>
      <c r="AK44" s="2514" t="s">
        <v>1124</v>
      </c>
      <c r="AL44" s="2514">
        <v>82253557</v>
      </c>
      <c r="AM44" s="2514"/>
      <c r="AN44" s="2514"/>
      <c r="AO44" s="2514"/>
      <c r="AP44" s="2514" t="s">
        <v>1073</v>
      </c>
      <c r="AQ44" s="2514" t="s">
        <v>1074</v>
      </c>
      <c r="AR44" s="2514"/>
      <c r="AS44" s="2514"/>
      <c r="AT44" s="2514"/>
      <c r="AU44" s="2514"/>
      <c r="AV44" s="2514"/>
      <c r="AW44" s="2514" t="s">
        <v>1075</v>
      </c>
      <c r="AX44" s="2514"/>
      <c r="AY44" s="2523"/>
      <c r="AZ44" s="2514" t="s">
        <v>1415</v>
      </c>
      <c r="BA44" s="2514"/>
      <c r="BB44" s="2514"/>
      <c r="BC44" s="2514"/>
      <c r="BD44" s="2514"/>
      <c r="BE44" s="2514"/>
      <c r="BF44" s="2514"/>
      <c r="BG44" s="2605">
        <v>38231</v>
      </c>
      <c r="BH44" s="2514"/>
      <c r="BI44" s="2514" t="s">
        <v>1067</v>
      </c>
      <c r="BJ44" s="2650">
        <v>38254</v>
      </c>
      <c r="BK44" s="2650"/>
      <c r="BL44" s="2514" t="s">
        <v>1092</v>
      </c>
      <c r="BM44" s="2514" t="s">
        <v>888</v>
      </c>
      <c r="BN44" s="2514" t="s">
        <v>1148</v>
      </c>
      <c r="BO44" s="2591" t="s">
        <v>1234</v>
      </c>
      <c r="BP44" s="2514"/>
      <c r="BQ44" s="2679" t="e">
        <v>#DIV/0!</v>
      </c>
      <c r="BR44" s="2679" t="e">
        <v>#DIV/0!</v>
      </c>
      <c r="BS44" s="2678"/>
      <c r="BT44" s="2678"/>
      <c r="BU44" s="2678"/>
    </row>
    <row r="45" hidden="1" spans="1:73">
      <c r="A45" s="2514" t="s">
        <v>1416</v>
      </c>
      <c r="B45" s="2514" t="s">
        <v>1417</v>
      </c>
      <c r="C45" s="2518" t="s">
        <v>1418</v>
      </c>
      <c r="D45" s="2515" t="s">
        <v>1419</v>
      </c>
      <c r="E45" s="2514" t="s">
        <v>1060</v>
      </c>
      <c r="F45" s="2514" t="s">
        <v>1420</v>
      </c>
      <c r="G45" s="2514"/>
      <c r="H45" s="2516" t="s">
        <v>1421</v>
      </c>
      <c r="I45" s="2515" t="s">
        <v>1381</v>
      </c>
      <c r="J45" s="2516" t="s">
        <v>1422</v>
      </c>
      <c r="K45" s="2514" t="s">
        <v>1417</v>
      </c>
      <c r="L45" s="2542">
        <v>52.8</v>
      </c>
      <c r="M45" s="2516">
        <v>3</v>
      </c>
      <c r="N45" s="2514" t="s">
        <v>1064</v>
      </c>
      <c r="O45" s="2514"/>
      <c r="P45" s="2514" t="s">
        <v>1065</v>
      </c>
      <c r="Q45" s="2556">
        <v>180000</v>
      </c>
      <c r="R45" s="2514">
        <v>3409</v>
      </c>
      <c r="S45" s="2564">
        <v>20.68</v>
      </c>
      <c r="T45" s="2561">
        <v>206800</v>
      </c>
      <c r="U45" s="2556">
        <v>3918</v>
      </c>
      <c r="V45" s="2558">
        <v>0.05</v>
      </c>
      <c r="W45" s="2559">
        <v>19.64</v>
      </c>
      <c r="X45" s="2562">
        <v>196400</v>
      </c>
      <c r="Y45" s="2514">
        <v>2004</v>
      </c>
      <c r="Z45" s="2514">
        <v>10</v>
      </c>
      <c r="AA45" s="2514">
        <v>8</v>
      </c>
      <c r="AB45" s="2514">
        <v>620</v>
      </c>
      <c r="AC45" s="2514" t="s">
        <v>1066</v>
      </c>
      <c r="AD45" s="2514"/>
      <c r="AE45" s="2514" t="s">
        <v>179</v>
      </c>
      <c r="AF45" s="2514" t="s">
        <v>1068</v>
      </c>
      <c r="AG45" s="2514" t="s">
        <v>1069</v>
      </c>
      <c r="AH45" s="2514"/>
      <c r="AI45" s="2514" t="s">
        <v>1070</v>
      </c>
      <c r="AJ45" s="2516"/>
      <c r="AK45" s="2514" t="s">
        <v>1423</v>
      </c>
      <c r="AL45" s="2514">
        <v>67641700</v>
      </c>
      <c r="AM45" s="2514"/>
      <c r="AN45" s="2514" t="s">
        <v>1087</v>
      </c>
      <c r="AO45" s="2514"/>
      <c r="AP45" s="2514" t="s">
        <v>1073</v>
      </c>
      <c r="AQ45" s="2514" t="s">
        <v>1074</v>
      </c>
      <c r="AR45" s="2514"/>
      <c r="AS45" s="2514"/>
      <c r="AT45" s="2514"/>
      <c r="AU45" s="2514"/>
      <c r="AV45" s="2514"/>
      <c r="AW45" s="2514" t="s">
        <v>1075</v>
      </c>
      <c r="AX45" s="2514"/>
      <c r="AY45" s="2523"/>
      <c r="AZ45" s="2514" t="s">
        <v>1424</v>
      </c>
      <c r="BA45" s="2514"/>
      <c r="BB45" s="2514"/>
      <c r="BC45" s="2514"/>
      <c r="BD45" s="2514"/>
      <c r="BE45" s="2514"/>
      <c r="BF45" s="2514"/>
      <c r="BG45" s="2605">
        <v>38254</v>
      </c>
      <c r="BH45" s="2514"/>
      <c r="BI45" s="2514" t="s">
        <v>1073</v>
      </c>
      <c r="BJ45" s="2650">
        <v>38257</v>
      </c>
      <c r="BK45" s="2650"/>
      <c r="BL45" s="2514" t="s">
        <v>1092</v>
      </c>
      <c r="BM45" s="2514" t="s">
        <v>1425</v>
      </c>
      <c r="BN45" s="2514" t="s">
        <v>1077</v>
      </c>
      <c r="BO45" s="2591" t="s">
        <v>1149</v>
      </c>
      <c r="BP45" s="2514"/>
      <c r="BQ45" s="2679" t="e">
        <v>#DIV/0!</v>
      </c>
      <c r="BR45" s="2679" t="e">
        <v>#DIV/0!</v>
      </c>
      <c r="BS45" s="2678"/>
      <c r="BT45" s="2678"/>
      <c r="BU45" s="2678"/>
    </row>
    <row r="46" hidden="1" spans="1:73">
      <c r="A46" s="2517" t="s">
        <v>1426</v>
      </c>
      <c r="B46" s="2514" t="s">
        <v>1427</v>
      </c>
      <c r="C46" s="2518" t="s">
        <v>1428</v>
      </c>
      <c r="D46" s="2518" t="s">
        <v>1429</v>
      </c>
      <c r="E46" s="2514" t="s">
        <v>1060</v>
      </c>
      <c r="F46" s="2514" t="s">
        <v>1430</v>
      </c>
      <c r="G46" s="2514"/>
      <c r="H46" s="2514" t="s">
        <v>1084</v>
      </c>
      <c r="I46" s="2514"/>
      <c r="J46" s="2518" t="s">
        <v>1431</v>
      </c>
      <c r="K46" s="2514"/>
      <c r="L46" s="2514">
        <v>106.4</v>
      </c>
      <c r="M46" s="2514">
        <v>10</v>
      </c>
      <c r="N46" s="2534" t="s">
        <v>1123</v>
      </c>
      <c r="O46" s="2514"/>
      <c r="P46" s="2534" t="s">
        <v>1065</v>
      </c>
      <c r="Q46" s="2565">
        <v>590000</v>
      </c>
      <c r="R46" s="2514">
        <v>5545</v>
      </c>
      <c r="S46" s="2564">
        <v>57.49</v>
      </c>
      <c r="T46" s="2561">
        <v>574900</v>
      </c>
      <c r="U46" s="2514">
        <v>5404</v>
      </c>
      <c r="V46" s="2558">
        <v>0.05</v>
      </c>
      <c r="W46" s="2559">
        <v>54.61</v>
      </c>
      <c r="X46" s="2562">
        <v>546100</v>
      </c>
      <c r="Y46" s="2591">
        <v>2004</v>
      </c>
      <c r="Z46" s="2591">
        <v>11</v>
      </c>
      <c r="AA46" s="2591">
        <v>17</v>
      </c>
      <c r="AB46" s="2514">
        <v>1500</v>
      </c>
      <c r="AC46" s="2534" t="s">
        <v>1066</v>
      </c>
      <c r="AD46" s="2517"/>
      <c r="AE46" s="2548" t="s">
        <v>1067</v>
      </c>
      <c r="AF46" s="2534" t="s">
        <v>1068</v>
      </c>
      <c r="AG46" s="2534" t="s">
        <v>1069</v>
      </c>
      <c r="AH46" s="2517"/>
      <c r="AI46" s="2514" t="s">
        <v>1070</v>
      </c>
      <c r="AJ46" s="2602"/>
      <c r="AK46" s="2599" t="s">
        <v>1136</v>
      </c>
      <c r="AL46" s="2591">
        <v>82253558</v>
      </c>
      <c r="AM46" s="2591"/>
      <c r="AN46" s="2523" t="s">
        <v>1072</v>
      </c>
      <c r="AO46" s="2591"/>
      <c r="AP46" s="2548" t="s">
        <v>1073</v>
      </c>
      <c r="AQ46" s="2534" t="s">
        <v>1089</v>
      </c>
      <c r="AR46" s="2591"/>
      <c r="AS46" s="2591"/>
      <c r="AT46" s="2591"/>
      <c r="AU46" s="2591"/>
      <c r="AV46" s="2591"/>
      <c r="AW46" s="2591"/>
      <c r="AX46" s="2591"/>
      <c r="AY46" s="2631"/>
      <c r="AZ46" s="2591"/>
      <c r="BA46" s="2591"/>
      <c r="BB46" s="2631"/>
      <c r="BC46" s="2591"/>
      <c r="BD46" s="2632"/>
      <c r="BE46" s="2591"/>
      <c r="BF46" s="2651"/>
      <c r="BG46" s="2669">
        <v>38261</v>
      </c>
      <c r="BH46" s="2591"/>
      <c r="BI46" s="2548" t="s">
        <v>1067</v>
      </c>
      <c r="BJ46" s="2653">
        <v>38274</v>
      </c>
      <c r="BK46" s="2653"/>
      <c r="BL46" s="2514"/>
      <c r="BM46" s="2548" t="s">
        <v>888</v>
      </c>
      <c r="BN46" s="2548" t="s">
        <v>1077</v>
      </c>
      <c r="BO46" s="2591" t="s">
        <v>1234</v>
      </c>
      <c r="BP46" s="2591"/>
      <c r="BQ46" s="2591" t="e">
        <v>#DIV/0!</v>
      </c>
      <c r="BR46" s="2591" t="e">
        <v>#DIV/0!</v>
      </c>
      <c r="BS46" s="2532"/>
      <c r="BT46" s="2532"/>
      <c r="BU46" s="2532"/>
    </row>
    <row r="47" hidden="1" spans="1:73">
      <c r="A47" s="2517" t="s">
        <v>1432</v>
      </c>
      <c r="B47" s="2514" t="s">
        <v>1433</v>
      </c>
      <c r="C47" s="2518" t="s">
        <v>1434</v>
      </c>
      <c r="D47" s="2518" t="s">
        <v>1435</v>
      </c>
      <c r="E47" s="2514" t="s">
        <v>1060</v>
      </c>
      <c r="F47" s="2514" t="s">
        <v>1436</v>
      </c>
      <c r="G47" s="2514"/>
      <c r="H47" s="2514" t="s">
        <v>1239</v>
      </c>
      <c r="I47" s="2514"/>
      <c r="J47" s="2518" t="s">
        <v>1437</v>
      </c>
      <c r="K47" s="2514" t="s">
        <v>1433</v>
      </c>
      <c r="L47" s="2514">
        <v>134.22</v>
      </c>
      <c r="M47" s="2514">
        <v>6</v>
      </c>
      <c r="N47" s="2514" t="s">
        <v>1299</v>
      </c>
      <c r="O47" s="2514">
        <v>112.76</v>
      </c>
      <c r="P47" s="2514" t="s">
        <v>1065</v>
      </c>
      <c r="Q47" s="2565">
        <v>820341</v>
      </c>
      <c r="R47" s="2563">
        <v>6112</v>
      </c>
      <c r="S47" s="2564">
        <v>83.87</v>
      </c>
      <c r="T47" s="2561">
        <v>838700</v>
      </c>
      <c r="U47" s="2514">
        <v>6249</v>
      </c>
      <c r="V47" s="2558">
        <v>0.05</v>
      </c>
      <c r="W47" s="2559">
        <v>79.67</v>
      </c>
      <c r="X47" s="2562">
        <v>796700</v>
      </c>
      <c r="Y47" s="2591">
        <v>2004</v>
      </c>
      <c r="Z47" s="2591">
        <v>10</v>
      </c>
      <c r="AA47" s="2591">
        <v>13</v>
      </c>
      <c r="AB47" s="2563">
        <v>1500</v>
      </c>
      <c r="AC47" s="2514" t="s">
        <v>1066</v>
      </c>
      <c r="AD47" s="2517"/>
      <c r="AE47" s="2514" t="s">
        <v>1067</v>
      </c>
      <c r="AF47" s="2514" t="s">
        <v>1068</v>
      </c>
      <c r="AG47" s="2514" t="s">
        <v>1069</v>
      </c>
      <c r="AH47" s="2517"/>
      <c r="AI47" s="2514" t="s">
        <v>175</v>
      </c>
      <c r="AJ47" s="2602"/>
      <c r="AK47" s="2603" t="s">
        <v>1423</v>
      </c>
      <c r="AL47" s="2591"/>
      <c r="AM47" s="2591"/>
      <c r="AN47" s="2591" t="s">
        <v>1088</v>
      </c>
      <c r="AO47" s="2591"/>
      <c r="AP47" s="2514" t="s">
        <v>1438</v>
      </c>
      <c r="AQ47" s="2591" t="s">
        <v>1074</v>
      </c>
      <c r="AR47" s="2591"/>
      <c r="AS47" s="2591"/>
      <c r="AT47" s="2591"/>
      <c r="AU47" s="2591"/>
      <c r="AV47" s="2591"/>
      <c r="AW47" s="2591" t="s">
        <v>1439</v>
      </c>
      <c r="AX47" s="2591"/>
      <c r="AY47" s="2631"/>
      <c r="AZ47" s="2591"/>
      <c r="BA47" s="2591"/>
      <c r="BB47" s="2631"/>
      <c r="BC47" s="2591"/>
      <c r="BD47" s="2632"/>
      <c r="BE47" s="2591"/>
      <c r="BF47" s="2651"/>
      <c r="BG47" s="2656">
        <v>38270</v>
      </c>
      <c r="BH47" s="2591"/>
      <c r="BI47" s="2514" t="s">
        <v>1342</v>
      </c>
      <c r="BJ47" s="2653">
        <v>38269</v>
      </c>
      <c r="BK47" s="2653"/>
      <c r="BL47" s="2514"/>
      <c r="BM47" s="2591" t="s">
        <v>888</v>
      </c>
      <c r="BN47" s="2591" t="s">
        <v>1077</v>
      </c>
      <c r="BO47" s="2591" t="s">
        <v>1440</v>
      </c>
      <c r="BP47" s="2591"/>
      <c r="BQ47" s="2591">
        <v>7438</v>
      </c>
      <c r="BR47" s="2591">
        <v>7275</v>
      </c>
      <c r="BS47" s="2532"/>
      <c r="BT47" s="2532"/>
      <c r="BU47" s="2532"/>
    </row>
    <row r="48" hidden="1" spans="1:73">
      <c r="A48" s="2517" t="s">
        <v>1441</v>
      </c>
      <c r="B48" s="2514" t="s">
        <v>1442</v>
      </c>
      <c r="C48" s="2518" t="s">
        <v>1443</v>
      </c>
      <c r="D48" s="2518" t="s">
        <v>1444</v>
      </c>
      <c r="E48" s="2514" t="s">
        <v>1060</v>
      </c>
      <c r="F48" s="2515" t="s">
        <v>1445</v>
      </c>
      <c r="G48" s="2514"/>
      <c r="H48" s="2514" t="s">
        <v>1446</v>
      </c>
      <c r="I48" s="2514"/>
      <c r="J48" s="2518" t="s">
        <v>1447</v>
      </c>
      <c r="K48" s="2514"/>
      <c r="L48" s="2542">
        <v>114.24</v>
      </c>
      <c r="M48" s="2514">
        <v>10</v>
      </c>
      <c r="N48" s="2514" t="s">
        <v>1123</v>
      </c>
      <c r="O48" s="2514"/>
      <c r="P48" s="2514" t="s">
        <v>1065</v>
      </c>
      <c r="Q48" s="2556">
        <v>450000</v>
      </c>
      <c r="R48" s="2514">
        <v>3939</v>
      </c>
      <c r="S48" s="2564">
        <v>41.45</v>
      </c>
      <c r="T48" s="2561">
        <v>414500</v>
      </c>
      <c r="U48" s="2514">
        <v>3629</v>
      </c>
      <c r="V48" s="2558">
        <v>0.05</v>
      </c>
      <c r="W48" s="2559">
        <v>39.37</v>
      </c>
      <c r="X48" s="2562">
        <v>393700</v>
      </c>
      <c r="Y48" s="2591">
        <v>2004</v>
      </c>
      <c r="Z48" s="2591">
        <v>10</v>
      </c>
      <c r="AA48" s="2514">
        <v>11</v>
      </c>
      <c r="AB48" s="2514">
        <v>1240</v>
      </c>
      <c r="AC48" s="2514" t="s">
        <v>1066</v>
      </c>
      <c r="AD48" s="2517"/>
      <c r="AE48" s="2514" t="s">
        <v>1067</v>
      </c>
      <c r="AF48" s="2514" t="s">
        <v>1068</v>
      </c>
      <c r="AG48" s="2514" t="s">
        <v>1069</v>
      </c>
      <c r="AH48" s="2517"/>
      <c r="AI48" s="2514" t="s">
        <v>175</v>
      </c>
      <c r="AJ48" s="2602"/>
      <c r="AK48" s="2599" t="s">
        <v>1423</v>
      </c>
      <c r="AL48" s="2591">
        <v>82253558</v>
      </c>
      <c r="AM48" s="2591"/>
      <c r="AN48" s="2591"/>
      <c r="AO48" s="2591"/>
      <c r="AP48" s="2514" t="s">
        <v>1073</v>
      </c>
      <c r="AQ48" s="2591" t="s">
        <v>1074</v>
      </c>
      <c r="AR48" s="2591"/>
      <c r="AS48" s="2591"/>
      <c r="AT48" s="2591"/>
      <c r="AU48" s="2591"/>
      <c r="AV48" s="2591"/>
      <c r="AW48" s="2514" t="s">
        <v>1075</v>
      </c>
      <c r="AX48" s="2591"/>
      <c r="AY48" s="2631"/>
      <c r="AZ48" s="2591" t="s">
        <v>1448</v>
      </c>
      <c r="BA48" s="2591"/>
      <c r="BB48" s="2631"/>
      <c r="BC48" s="2591"/>
      <c r="BD48" s="2632"/>
      <c r="BE48" s="2591"/>
      <c r="BF48" s="2651"/>
      <c r="BG48" s="2656" t="s">
        <v>1449</v>
      </c>
      <c r="BH48" s="2591"/>
      <c r="BI48" s="2514" t="s">
        <v>1067</v>
      </c>
      <c r="BJ48" s="2653">
        <v>38270</v>
      </c>
      <c r="BK48" s="2653"/>
      <c r="BL48" s="2514"/>
      <c r="BM48" s="2591" t="s">
        <v>888</v>
      </c>
      <c r="BN48" s="2591" t="s">
        <v>1077</v>
      </c>
      <c r="BO48" s="2591" t="s">
        <v>1234</v>
      </c>
      <c r="BP48" s="2591"/>
      <c r="BQ48" s="2591" t="e">
        <v>#DIV/0!</v>
      </c>
      <c r="BR48" s="2591" t="e">
        <v>#DIV/0!</v>
      </c>
      <c r="BS48" s="2678"/>
      <c r="BT48" s="2678"/>
      <c r="BU48" s="2678"/>
    </row>
    <row r="49" hidden="1" spans="1:73">
      <c r="A49" s="2517" t="s">
        <v>1441</v>
      </c>
      <c r="B49" s="2514" t="s">
        <v>1450</v>
      </c>
      <c r="C49" s="2518" t="s">
        <v>1451</v>
      </c>
      <c r="D49" s="2518" t="s">
        <v>1444</v>
      </c>
      <c r="E49" s="2514" t="s">
        <v>1060</v>
      </c>
      <c r="F49" s="2515" t="s">
        <v>1445</v>
      </c>
      <c r="G49" s="2514"/>
      <c r="H49" s="2514" t="s">
        <v>1446</v>
      </c>
      <c r="I49" s="2514"/>
      <c r="J49" s="2518" t="s">
        <v>1452</v>
      </c>
      <c r="K49" s="2514"/>
      <c r="L49" s="2542">
        <v>114.24</v>
      </c>
      <c r="M49" s="2514">
        <v>10</v>
      </c>
      <c r="N49" s="2514" t="s">
        <v>1123</v>
      </c>
      <c r="O49" s="2514"/>
      <c r="P49" s="2514" t="s">
        <v>1065</v>
      </c>
      <c r="Q49" s="2556">
        <v>450000</v>
      </c>
      <c r="R49" s="2514">
        <v>3939</v>
      </c>
      <c r="S49" s="2564">
        <v>41.45</v>
      </c>
      <c r="T49" s="2561">
        <v>414500</v>
      </c>
      <c r="U49" s="2514">
        <v>3629</v>
      </c>
      <c r="V49" s="2558">
        <v>0.05</v>
      </c>
      <c r="W49" s="2559">
        <v>39.37</v>
      </c>
      <c r="X49" s="2562">
        <v>393700</v>
      </c>
      <c r="Y49" s="2591">
        <v>2004</v>
      </c>
      <c r="Z49" s="2591">
        <v>11</v>
      </c>
      <c r="AA49" s="2514">
        <v>15</v>
      </c>
      <c r="AB49" s="2514">
        <v>1240</v>
      </c>
      <c r="AC49" s="2514" t="s">
        <v>1066</v>
      </c>
      <c r="AD49" s="2517"/>
      <c r="AE49" s="2514" t="s">
        <v>1067</v>
      </c>
      <c r="AF49" s="2514" t="s">
        <v>1068</v>
      </c>
      <c r="AG49" s="2514" t="s">
        <v>1069</v>
      </c>
      <c r="AH49" s="2517"/>
      <c r="AI49" s="2514" t="s">
        <v>175</v>
      </c>
      <c r="AJ49" s="2602"/>
      <c r="AK49" s="2599" t="s">
        <v>1136</v>
      </c>
      <c r="AL49" s="2591">
        <v>82253558</v>
      </c>
      <c r="AM49" s="2591"/>
      <c r="AN49" s="2591" t="s">
        <v>1072</v>
      </c>
      <c r="AO49" s="2591"/>
      <c r="AP49" s="2591" t="s">
        <v>1073</v>
      </c>
      <c r="AQ49" s="2591" t="s">
        <v>1089</v>
      </c>
      <c r="AR49" s="2591"/>
      <c r="AS49" s="2591"/>
      <c r="AT49" s="2591"/>
      <c r="AU49" s="2591"/>
      <c r="AV49" s="2591"/>
      <c r="AW49" s="2514" t="s">
        <v>1075</v>
      </c>
      <c r="AX49" s="2591"/>
      <c r="AY49" s="2631"/>
      <c r="AZ49" s="2591" t="s">
        <v>1448</v>
      </c>
      <c r="BA49" s="2591"/>
      <c r="BB49" s="2631"/>
      <c r="BC49" s="2591"/>
      <c r="BD49" s="2632"/>
      <c r="BE49" s="2591"/>
      <c r="BF49" s="2651"/>
      <c r="BG49" s="2656" t="s">
        <v>1449</v>
      </c>
      <c r="BH49" s="2591"/>
      <c r="BI49" s="2514" t="s">
        <v>1067</v>
      </c>
      <c r="BJ49" s="2653">
        <v>38270</v>
      </c>
      <c r="BK49" s="2653"/>
      <c r="BL49" s="2514"/>
      <c r="BM49" s="2591" t="s">
        <v>888</v>
      </c>
      <c r="BN49" s="2591" t="s">
        <v>1077</v>
      </c>
      <c r="BO49" s="2591" t="s">
        <v>1234</v>
      </c>
      <c r="BP49" s="2591"/>
      <c r="BQ49" s="2591"/>
      <c r="BR49" s="2591"/>
      <c r="BS49" s="2678"/>
      <c r="BT49" s="2678"/>
      <c r="BU49" s="2678"/>
    </row>
    <row r="50" hidden="1" spans="1:73">
      <c r="A50" s="2517" t="s">
        <v>1453</v>
      </c>
      <c r="B50" s="2514" t="s">
        <v>1454</v>
      </c>
      <c r="C50" s="2518" t="s">
        <v>1455</v>
      </c>
      <c r="D50" s="2518" t="s">
        <v>1456</v>
      </c>
      <c r="E50" s="2514" t="s">
        <v>1060</v>
      </c>
      <c r="F50" s="2514" t="s">
        <v>1457</v>
      </c>
      <c r="G50" s="2514"/>
      <c r="H50" s="2514" t="s">
        <v>1239</v>
      </c>
      <c r="I50" s="2514" t="s">
        <v>1134</v>
      </c>
      <c r="J50" s="2518" t="s">
        <v>1249</v>
      </c>
      <c r="K50" s="2514" t="s">
        <v>1454</v>
      </c>
      <c r="L50" s="2514">
        <v>57.9</v>
      </c>
      <c r="M50" s="2514">
        <v>5</v>
      </c>
      <c r="N50" s="2514" t="s">
        <v>1064</v>
      </c>
      <c r="O50" s="2514"/>
      <c r="P50" s="2514" t="s">
        <v>1065</v>
      </c>
      <c r="Q50" s="2565">
        <v>290000</v>
      </c>
      <c r="R50" s="2563">
        <v>5009</v>
      </c>
      <c r="S50" s="2564">
        <v>33.65</v>
      </c>
      <c r="T50" s="2561">
        <v>336500</v>
      </c>
      <c r="U50" s="2514">
        <v>5812</v>
      </c>
      <c r="V50" s="2558">
        <v>0.05</v>
      </c>
      <c r="W50" s="2559">
        <v>31.96</v>
      </c>
      <c r="X50" s="2562">
        <v>319600</v>
      </c>
      <c r="Y50" s="2591">
        <v>2004</v>
      </c>
      <c r="Z50" s="2591">
        <v>10</v>
      </c>
      <c r="AA50" s="2591">
        <v>13</v>
      </c>
      <c r="AB50" s="2563">
        <v>1005</v>
      </c>
      <c r="AC50" s="2514" t="s">
        <v>1066</v>
      </c>
      <c r="AD50" s="2517"/>
      <c r="AE50" s="2514" t="s">
        <v>1067</v>
      </c>
      <c r="AF50" s="2514" t="s">
        <v>1068</v>
      </c>
      <c r="AG50" s="2514" t="s">
        <v>1069</v>
      </c>
      <c r="AH50" s="2517"/>
      <c r="AI50" s="2514" t="s">
        <v>175</v>
      </c>
      <c r="AJ50" s="2602"/>
      <c r="AK50" s="2603" t="s">
        <v>1423</v>
      </c>
      <c r="AL50" s="2591"/>
      <c r="AM50" s="2591"/>
      <c r="AN50" s="2591" t="s">
        <v>1088</v>
      </c>
      <c r="AO50" s="2591"/>
      <c r="AP50" s="2514" t="s">
        <v>1438</v>
      </c>
      <c r="AQ50" s="2591" t="s">
        <v>1074</v>
      </c>
      <c r="AR50" s="2591"/>
      <c r="AS50" s="2591"/>
      <c r="AT50" s="2591"/>
      <c r="AU50" s="2591"/>
      <c r="AV50" s="2591"/>
      <c r="AW50" s="2591" t="s">
        <v>1439</v>
      </c>
      <c r="AX50" s="2591"/>
      <c r="AY50" s="2631"/>
      <c r="AZ50" s="2591"/>
      <c r="BA50" s="2591"/>
      <c r="BB50" s="2631"/>
      <c r="BC50" s="2591"/>
      <c r="BD50" s="2632"/>
      <c r="BE50" s="2591"/>
      <c r="BF50" s="2651"/>
      <c r="BG50" s="2656">
        <v>38231</v>
      </c>
      <c r="BH50" s="2591"/>
      <c r="BI50" s="2514" t="s">
        <v>1342</v>
      </c>
      <c r="BJ50" s="2653">
        <v>38270</v>
      </c>
      <c r="BK50" s="2653"/>
      <c r="BL50" s="2514"/>
      <c r="BM50" s="2591" t="s">
        <v>888</v>
      </c>
      <c r="BN50" s="2591" t="s">
        <v>1077</v>
      </c>
      <c r="BO50" s="2591" t="s">
        <v>1440</v>
      </c>
      <c r="BP50" s="2591"/>
      <c r="BQ50" s="2591"/>
      <c r="BR50" s="2591"/>
      <c r="BS50" s="2532"/>
      <c r="BT50" s="2532"/>
      <c r="BU50" s="2532"/>
    </row>
    <row r="51" hidden="1" spans="1:73">
      <c r="A51" s="2534" t="s">
        <v>1458</v>
      </c>
      <c r="B51" s="2534" t="s">
        <v>1459</v>
      </c>
      <c r="C51" s="2535" t="s">
        <v>1460</v>
      </c>
      <c r="D51" s="2535" t="s">
        <v>1461</v>
      </c>
      <c r="E51" s="2534" t="s">
        <v>1060</v>
      </c>
      <c r="F51" s="2536" t="s">
        <v>1462</v>
      </c>
      <c r="G51" s="2534"/>
      <c r="H51" s="2534"/>
      <c r="I51" s="2534" t="s">
        <v>1196</v>
      </c>
      <c r="J51" s="2535" t="s">
        <v>1463</v>
      </c>
      <c r="K51" s="2534" t="s">
        <v>1459</v>
      </c>
      <c r="L51" s="2534">
        <v>120.68</v>
      </c>
      <c r="M51" s="2534">
        <v>3</v>
      </c>
      <c r="N51" s="2534" t="s">
        <v>1299</v>
      </c>
      <c r="O51" s="2534"/>
      <c r="P51" s="2534" t="s">
        <v>1065</v>
      </c>
      <c r="Q51" s="2583">
        <v>720000</v>
      </c>
      <c r="R51" s="2534">
        <v>5966</v>
      </c>
      <c r="S51" s="2584">
        <v>72.85</v>
      </c>
      <c r="T51" s="2585">
        <v>728500</v>
      </c>
      <c r="U51" s="2534">
        <v>6037</v>
      </c>
      <c r="V51" s="2586">
        <v>0.05</v>
      </c>
      <c r="W51" s="2587">
        <v>69.2</v>
      </c>
      <c r="X51" s="2588">
        <v>692000</v>
      </c>
      <c r="Y51" s="2548">
        <v>2004</v>
      </c>
      <c r="Z51" s="2548">
        <v>10</v>
      </c>
      <c r="AA51" s="2548">
        <v>18</v>
      </c>
      <c r="AB51" s="2534">
        <v>1500</v>
      </c>
      <c r="AC51" s="2534" t="s">
        <v>1066</v>
      </c>
      <c r="AD51" s="2533"/>
      <c r="AE51" s="2548" t="s">
        <v>1067</v>
      </c>
      <c r="AF51" s="2534" t="s">
        <v>1068</v>
      </c>
      <c r="AG51" s="2534" t="s">
        <v>1069</v>
      </c>
      <c r="AH51" s="2533"/>
      <c r="AI51" s="2534" t="s">
        <v>175</v>
      </c>
      <c r="AJ51" s="2614"/>
      <c r="AK51" s="2615" t="s">
        <v>1423</v>
      </c>
      <c r="AL51" s="2548">
        <v>82253558</v>
      </c>
      <c r="AM51" s="2548"/>
      <c r="AN51" s="2548"/>
      <c r="AO51" s="2548"/>
      <c r="AP51" s="2548" t="s">
        <v>1073</v>
      </c>
      <c r="AQ51" s="2534" t="s">
        <v>1074</v>
      </c>
      <c r="AR51" s="2548"/>
      <c r="AS51" s="2548"/>
      <c r="AT51" s="2548"/>
      <c r="AU51" s="2548"/>
      <c r="AV51" s="2548"/>
      <c r="AW51" s="2548"/>
      <c r="AX51" s="2548"/>
      <c r="AY51" s="2641"/>
      <c r="AZ51" s="2548"/>
      <c r="BA51" s="2548"/>
      <c r="BB51" s="2641"/>
      <c r="BC51" s="2548"/>
      <c r="BD51" s="2642"/>
      <c r="BE51" s="2548"/>
      <c r="BF51" s="2666"/>
      <c r="BG51" s="2667">
        <v>38171</v>
      </c>
      <c r="BH51" s="2548"/>
      <c r="BI51" s="2548" t="s">
        <v>1067</v>
      </c>
      <c r="BJ51" s="2668">
        <v>38274</v>
      </c>
      <c r="BK51" s="2668"/>
      <c r="BL51" s="2534"/>
      <c r="BM51" s="2548" t="s">
        <v>888</v>
      </c>
      <c r="BN51" s="2548" t="s">
        <v>1077</v>
      </c>
      <c r="BO51" s="2548" t="s">
        <v>1116</v>
      </c>
      <c r="BP51" s="2548"/>
      <c r="BQ51" s="2548" t="e">
        <v>#DIV/0!</v>
      </c>
      <c r="BR51" s="2548" t="e">
        <v>#DIV/0!</v>
      </c>
      <c r="BS51" s="2678"/>
      <c r="BT51" s="2678"/>
      <c r="BU51" s="2678"/>
    </row>
    <row r="52" hidden="1" spans="1:73">
      <c r="A52" s="2533" t="s">
        <v>1464</v>
      </c>
      <c r="B52" s="2534" t="s">
        <v>1465</v>
      </c>
      <c r="C52" s="2535" t="s">
        <v>1466</v>
      </c>
      <c r="D52" s="2535" t="s">
        <v>1467</v>
      </c>
      <c r="E52" s="2534" t="s">
        <v>1060</v>
      </c>
      <c r="F52" s="2536" t="s">
        <v>1468</v>
      </c>
      <c r="G52" s="2534"/>
      <c r="H52" s="2534"/>
      <c r="I52" s="2534"/>
      <c r="J52" s="2535" t="s">
        <v>1469</v>
      </c>
      <c r="K52" s="2534" t="s">
        <v>1465</v>
      </c>
      <c r="L52" s="2534">
        <v>80.62</v>
      </c>
      <c r="M52" s="2534">
        <v>16</v>
      </c>
      <c r="N52" s="2534" t="s">
        <v>1064</v>
      </c>
      <c r="O52" s="2534"/>
      <c r="P52" s="2534" t="s">
        <v>1065</v>
      </c>
      <c r="Q52" s="2583">
        <v>484000</v>
      </c>
      <c r="R52" s="2534">
        <v>6003</v>
      </c>
      <c r="S52" s="2584">
        <v>48.41</v>
      </c>
      <c r="T52" s="2585">
        <v>484100</v>
      </c>
      <c r="U52" s="2534">
        <v>6005</v>
      </c>
      <c r="V52" s="2586">
        <v>0.05</v>
      </c>
      <c r="W52" s="2587">
        <v>45.98</v>
      </c>
      <c r="X52" s="2588">
        <v>459800</v>
      </c>
      <c r="Y52" s="2548">
        <v>2004</v>
      </c>
      <c r="Z52" s="2548">
        <v>10</v>
      </c>
      <c r="AA52" s="2548">
        <v>22</v>
      </c>
      <c r="AB52" s="2534">
        <v>1450</v>
      </c>
      <c r="AC52" s="2534" t="s">
        <v>1066</v>
      </c>
      <c r="AD52" s="2533"/>
      <c r="AE52" s="2548" t="s">
        <v>1067</v>
      </c>
      <c r="AF52" s="2534" t="s">
        <v>1068</v>
      </c>
      <c r="AG52" s="2563" t="s">
        <v>1069</v>
      </c>
      <c r="AH52" s="2533"/>
      <c r="AI52" s="2563" t="s">
        <v>175</v>
      </c>
      <c r="AJ52" s="2614"/>
      <c r="AK52" s="2615" t="s">
        <v>1423</v>
      </c>
      <c r="AL52" s="2548">
        <v>82253558</v>
      </c>
      <c r="AM52" s="2548"/>
      <c r="AN52" s="2548"/>
      <c r="AO52" s="2548"/>
      <c r="AP52" s="2563" t="s">
        <v>1067</v>
      </c>
      <c r="AQ52" s="2548" t="s">
        <v>1074</v>
      </c>
      <c r="AR52" s="2548"/>
      <c r="AS52" s="2548"/>
      <c r="AT52" s="2548"/>
      <c r="AU52" s="2548"/>
      <c r="AV52" s="2548"/>
      <c r="AW52" s="2548" t="s">
        <v>1090</v>
      </c>
      <c r="AX52" s="2548"/>
      <c r="AY52" s="2641"/>
      <c r="AZ52" s="2548"/>
      <c r="BA52" s="2548"/>
      <c r="BB52" s="2641"/>
      <c r="BC52" s="2548"/>
      <c r="BD52" s="2642"/>
      <c r="BE52" s="2548"/>
      <c r="BF52" s="2666"/>
      <c r="BG52" s="2667">
        <v>38255</v>
      </c>
      <c r="BH52" s="2548"/>
      <c r="BI52" s="2548" t="s">
        <v>1067</v>
      </c>
      <c r="BJ52" s="2668">
        <v>38279</v>
      </c>
      <c r="BK52" s="2668"/>
      <c r="BL52" s="2534"/>
      <c r="BM52" s="2548" t="s">
        <v>888</v>
      </c>
      <c r="BN52" s="2548" t="s">
        <v>1148</v>
      </c>
      <c r="BO52" s="2548" t="s">
        <v>1470</v>
      </c>
      <c r="BP52" s="2548"/>
      <c r="BQ52" s="2548" t="e">
        <v>#DIV/0!</v>
      </c>
      <c r="BR52" s="2548" t="e">
        <v>#DIV/0!</v>
      </c>
      <c r="BS52" s="2678"/>
      <c r="BT52" s="2678"/>
      <c r="BU52" s="2678"/>
    </row>
    <row r="53" hidden="1" spans="1:73">
      <c r="A53" s="2537" t="s">
        <v>1471</v>
      </c>
      <c r="B53" s="2534" t="s">
        <v>1472</v>
      </c>
      <c r="C53" s="2535" t="s">
        <v>1473</v>
      </c>
      <c r="D53" s="2535" t="s">
        <v>1474</v>
      </c>
      <c r="E53" s="2534" t="s">
        <v>1060</v>
      </c>
      <c r="F53" s="2536" t="s">
        <v>1475</v>
      </c>
      <c r="G53" s="2534"/>
      <c r="H53" s="2534" t="s">
        <v>1239</v>
      </c>
      <c r="I53" s="2534" t="s">
        <v>1099</v>
      </c>
      <c r="J53" s="2535" t="s">
        <v>1135</v>
      </c>
      <c r="K53" s="2534" t="s">
        <v>1472</v>
      </c>
      <c r="L53" s="2534">
        <v>100.03</v>
      </c>
      <c r="M53" s="2534">
        <v>1</v>
      </c>
      <c r="N53" s="2534" t="s">
        <v>1123</v>
      </c>
      <c r="O53" s="2534"/>
      <c r="P53" s="2534" t="s">
        <v>1065</v>
      </c>
      <c r="Q53" s="2583">
        <v>570000</v>
      </c>
      <c r="R53" s="2534">
        <v>5698</v>
      </c>
      <c r="S53" s="2584">
        <v>55.68</v>
      </c>
      <c r="T53" s="2585">
        <v>556800</v>
      </c>
      <c r="U53" s="2534">
        <v>5567</v>
      </c>
      <c r="V53" s="2586">
        <v>0.05</v>
      </c>
      <c r="W53" s="2587">
        <v>52.89</v>
      </c>
      <c r="X53" s="2588">
        <v>528900</v>
      </c>
      <c r="Y53" s="2548">
        <v>2004</v>
      </c>
      <c r="Z53" s="2548">
        <v>10</v>
      </c>
      <c r="AA53" s="2548">
        <v>29</v>
      </c>
      <c r="AB53" s="2534">
        <v>1500</v>
      </c>
      <c r="AC53" s="2534" t="s">
        <v>1066</v>
      </c>
      <c r="AD53" s="2533"/>
      <c r="AE53" s="2534" t="s">
        <v>1067</v>
      </c>
      <c r="AF53" s="2534" t="s">
        <v>1068</v>
      </c>
      <c r="AG53" s="2534" t="s">
        <v>1069</v>
      </c>
      <c r="AH53" s="2533"/>
      <c r="AI53" s="2534" t="s">
        <v>1070</v>
      </c>
      <c r="AJ53" s="2614"/>
      <c r="AK53" s="2607" t="s">
        <v>1423</v>
      </c>
      <c r="AL53" s="2548">
        <v>82253558</v>
      </c>
      <c r="AM53" s="2548"/>
      <c r="AN53" s="2548"/>
      <c r="AO53" s="2548"/>
      <c r="AP53" s="2548" t="s">
        <v>1073</v>
      </c>
      <c r="AQ53" s="2534" t="s">
        <v>1074</v>
      </c>
      <c r="AR53" s="2548"/>
      <c r="AS53" s="2548"/>
      <c r="AT53" s="2548"/>
      <c r="AU53" s="2548"/>
      <c r="AV53" s="2548"/>
      <c r="AW53" s="2548"/>
      <c r="AX53" s="2548"/>
      <c r="AY53" s="2641"/>
      <c r="AZ53" s="2548"/>
      <c r="BA53" s="2548"/>
      <c r="BB53" s="2641"/>
      <c r="BC53" s="2548"/>
      <c r="BD53" s="2642"/>
      <c r="BE53" s="2548"/>
      <c r="BF53" s="2666"/>
      <c r="BG53" s="2667">
        <v>38284</v>
      </c>
      <c r="BH53" s="2548"/>
      <c r="BI53" s="2670" t="s">
        <v>1067</v>
      </c>
      <c r="BJ53" s="2668">
        <v>38286</v>
      </c>
      <c r="BK53" s="2668"/>
      <c r="BL53" s="2534"/>
      <c r="BM53" s="2548" t="s">
        <v>888</v>
      </c>
      <c r="BN53" s="2548" t="s">
        <v>1077</v>
      </c>
      <c r="BO53" s="2548" t="s">
        <v>1476</v>
      </c>
      <c r="BP53" s="2548"/>
      <c r="BQ53" s="2548" t="e">
        <v>#DIV/0!</v>
      </c>
      <c r="BR53" s="2548" t="e">
        <v>#DIV/0!</v>
      </c>
      <c r="BS53" s="2678"/>
      <c r="BT53" s="2678"/>
      <c r="BU53" s="2678"/>
    </row>
    <row r="54" hidden="1" spans="1:73">
      <c r="A54" s="2517" t="s">
        <v>1477</v>
      </c>
      <c r="B54" s="2515" t="s">
        <v>1478</v>
      </c>
      <c r="C54" s="2518" t="s">
        <v>1479</v>
      </c>
      <c r="D54" s="2515" t="s">
        <v>1480</v>
      </c>
      <c r="E54" s="2515" t="s">
        <v>1060</v>
      </c>
      <c r="F54" s="2515" t="s">
        <v>1238</v>
      </c>
      <c r="G54" s="2515"/>
      <c r="H54" s="2515" t="s">
        <v>1221</v>
      </c>
      <c r="I54" s="2515" t="s">
        <v>1481</v>
      </c>
      <c r="J54" s="2515" t="s">
        <v>1482</v>
      </c>
      <c r="K54" s="2515"/>
      <c r="L54" s="2542">
        <v>78.51</v>
      </c>
      <c r="M54" s="2516">
        <v>17</v>
      </c>
      <c r="N54" s="2515" t="s">
        <v>1064</v>
      </c>
      <c r="O54" s="2516"/>
      <c r="P54" s="2514" t="s">
        <v>1065</v>
      </c>
      <c r="Q54" s="2556">
        <v>624000</v>
      </c>
      <c r="R54" s="2514">
        <v>7948</v>
      </c>
      <c r="S54" s="2564">
        <v>58.06</v>
      </c>
      <c r="T54" s="2557">
        <v>580600</v>
      </c>
      <c r="U54" s="2514">
        <v>7396</v>
      </c>
      <c r="V54" s="2566">
        <v>0.05</v>
      </c>
      <c r="W54" s="2559">
        <v>55.15</v>
      </c>
      <c r="X54" s="2560">
        <v>551500</v>
      </c>
      <c r="Y54" s="2591">
        <v>2004</v>
      </c>
      <c r="Z54" s="2514">
        <v>11</v>
      </c>
      <c r="AA54" s="2591">
        <v>9</v>
      </c>
      <c r="AB54" s="2514">
        <v>1500</v>
      </c>
      <c r="AC54" s="2514" t="s">
        <v>1066</v>
      </c>
      <c r="AD54" s="2515"/>
      <c r="AE54" s="2515" t="s">
        <v>1067</v>
      </c>
      <c r="AF54" s="2515" t="s">
        <v>1068</v>
      </c>
      <c r="AG54" s="2515" t="s">
        <v>1069</v>
      </c>
      <c r="AH54" s="2515"/>
      <c r="AI54" s="2515" t="s">
        <v>1070</v>
      </c>
      <c r="AJ54" s="2605"/>
      <c r="AK54" s="2607" t="s">
        <v>1136</v>
      </c>
      <c r="AL54" s="2591">
        <v>82253558</v>
      </c>
      <c r="AM54" s="2591"/>
      <c r="AN54" s="2523" t="s">
        <v>1088</v>
      </c>
      <c r="AO54" s="2591"/>
      <c r="AP54" s="2591" t="s">
        <v>1073</v>
      </c>
      <c r="AQ54" s="2514" t="s">
        <v>1089</v>
      </c>
      <c r="AR54" s="2514"/>
      <c r="AS54" s="2514"/>
      <c r="AT54" s="2514"/>
      <c r="AU54" s="2514"/>
      <c r="AV54" s="2621"/>
      <c r="AW54" s="2515"/>
      <c r="AX54" s="2515"/>
      <c r="AY54" s="2515"/>
      <c r="AZ54" s="2515"/>
      <c r="BA54" s="2515"/>
      <c r="BB54" s="2525"/>
      <c r="BC54" s="2515"/>
      <c r="BD54" s="2515"/>
      <c r="BE54" s="2515"/>
      <c r="BF54" s="2651"/>
      <c r="BG54" s="2617">
        <v>38284</v>
      </c>
      <c r="BH54" s="2591"/>
      <c r="BI54" s="2515" t="s">
        <v>1067</v>
      </c>
      <c r="BJ54" s="2653">
        <v>38286</v>
      </c>
      <c r="BK54" s="2650"/>
      <c r="BL54" s="2514"/>
      <c r="BM54" s="2514"/>
      <c r="BN54" s="2514"/>
      <c r="BO54" s="2514"/>
      <c r="BP54" s="2591"/>
      <c r="BQ54" s="2591"/>
      <c r="BR54" s="2591"/>
      <c r="BS54" s="2678"/>
      <c r="BT54" s="2678"/>
      <c r="BU54" s="2678"/>
    </row>
    <row r="55" hidden="1" spans="1:73">
      <c r="A55" s="2533" t="s">
        <v>1483</v>
      </c>
      <c r="B55" s="2537" t="s">
        <v>1484</v>
      </c>
      <c r="C55" s="2535" t="s">
        <v>1485</v>
      </c>
      <c r="D55" s="2537">
        <v>13011149905</v>
      </c>
      <c r="E55" s="2537" t="s">
        <v>1060</v>
      </c>
      <c r="F55" s="2537" t="s">
        <v>1486</v>
      </c>
      <c r="G55" s="2537"/>
      <c r="H55" s="2537" t="s">
        <v>1180</v>
      </c>
      <c r="I55" s="2537" t="s">
        <v>1487</v>
      </c>
      <c r="J55" s="2537" t="s">
        <v>1488</v>
      </c>
      <c r="K55" s="2537"/>
      <c r="L55" s="2549">
        <v>63.1</v>
      </c>
      <c r="M55" s="2549">
        <v>15</v>
      </c>
      <c r="N55" s="2550" t="s">
        <v>1064</v>
      </c>
      <c r="O55" s="2549"/>
      <c r="P55" s="2537" t="s">
        <v>1065</v>
      </c>
      <c r="Q55" s="2583">
        <v>290000</v>
      </c>
      <c r="R55" s="2534">
        <v>4596</v>
      </c>
      <c r="S55" s="2584">
        <v>33.75</v>
      </c>
      <c r="T55" s="2585">
        <v>337500</v>
      </c>
      <c r="U55" s="2534">
        <v>5349</v>
      </c>
      <c r="V55" s="2586">
        <v>0.05</v>
      </c>
      <c r="W55" s="2587">
        <v>32.06</v>
      </c>
      <c r="X55" s="2588">
        <v>320600</v>
      </c>
      <c r="Y55" s="2548">
        <v>2004</v>
      </c>
      <c r="Z55" s="2534">
        <v>11</v>
      </c>
      <c r="AA55" s="2548">
        <v>10</v>
      </c>
      <c r="AB55" s="2534">
        <v>1010</v>
      </c>
      <c r="AC55" s="2534" t="s">
        <v>1066</v>
      </c>
      <c r="AD55" s="2537"/>
      <c r="AE55" s="2537" t="s">
        <v>1067</v>
      </c>
      <c r="AF55" s="2537" t="s">
        <v>1068</v>
      </c>
      <c r="AG55" s="2537" t="s">
        <v>1069</v>
      </c>
      <c r="AH55" s="2537"/>
      <c r="AI55" s="2537" t="s">
        <v>175</v>
      </c>
      <c r="AJ55" s="2616"/>
      <c r="AK55" s="2607" t="s">
        <v>1136</v>
      </c>
      <c r="AL55" s="2548">
        <v>82252558</v>
      </c>
      <c r="AM55" s="2548"/>
      <c r="AN55" s="2608" t="s">
        <v>1072</v>
      </c>
      <c r="AO55" s="2548"/>
      <c r="AP55" s="2548" t="s">
        <v>1067</v>
      </c>
      <c r="AQ55" s="2548" t="s">
        <v>1074</v>
      </c>
      <c r="AR55" s="2534"/>
      <c r="AS55" s="2534"/>
      <c r="AT55" s="2534"/>
      <c r="AU55" s="2534"/>
      <c r="AV55" s="2623"/>
      <c r="AW55" s="2537" t="s">
        <v>1075</v>
      </c>
      <c r="AX55" s="2537"/>
      <c r="AY55" s="2537"/>
      <c r="AZ55" s="2537" t="s">
        <v>1489</v>
      </c>
      <c r="BA55" s="2537"/>
      <c r="BB55" s="2643"/>
      <c r="BC55" s="2537"/>
      <c r="BD55" s="2537"/>
      <c r="BE55" s="2537"/>
      <c r="BF55" s="2666"/>
      <c r="BG55" s="2671">
        <v>38288</v>
      </c>
      <c r="BH55" s="2537"/>
      <c r="BI55" s="2548" t="s">
        <v>1067</v>
      </c>
      <c r="BJ55" s="2668">
        <v>38295</v>
      </c>
      <c r="BK55" s="2672"/>
      <c r="BL55" s="2548" t="s">
        <v>1092</v>
      </c>
      <c r="BM55" s="2534" t="s">
        <v>1490</v>
      </c>
      <c r="BN55" s="2534" t="s">
        <v>1077</v>
      </c>
      <c r="BO55" s="2534" t="s">
        <v>1234</v>
      </c>
      <c r="BP55" s="2548"/>
      <c r="BQ55" s="2548"/>
      <c r="BR55" s="2548"/>
      <c r="BS55" s="2678"/>
      <c r="BT55" s="2678"/>
      <c r="BU55" s="2678"/>
    </row>
    <row r="56" hidden="1" spans="1:73">
      <c r="A56" s="2533" t="s">
        <v>1491</v>
      </c>
      <c r="B56" s="2534" t="s">
        <v>1492</v>
      </c>
      <c r="C56" s="2535" t="s">
        <v>1493</v>
      </c>
      <c r="D56" s="2535" t="s">
        <v>1494</v>
      </c>
      <c r="E56" s="2534" t="s">
        <v>1060</v>
      </c>
      <c r="F56" s="2536" t="s">
        <v>1495</v>
      </c>
      <c r="G56" s="2534"/>
      <c r="H56" s="2534"/>
      <c r="I56" s="2534"/>
      <c r="J56" s="2535" t="s">
        <v>1496</v>
      </c>
      <c r="K56" s="2534"/>
      <c r="L56" s="2534">
        <v>48.2</v>
      </c>
      <c r="M56" s="2534">
        <v>11</v>
      </c>
      <c r="N56" s="2534" t="s">
        <v>1111</v>
      </c>
      <c r="O56" s="2534"/>
      <c r="P56" s="2534" t="s">
        <v>1065</v>
      </c>
      <c r="Q56" s="2583">
        <v>310000</v>
      </c>
      <c r="R56" s="2534">
        <v>6432</v>
      </c>
      <c r="S56" s="2584">
        <v>28.47</v>
      </c>
      <c r="T56" s="2585">
        <v>284700</v>
      </c>
      <c r="U56" s="2534">
        <v>5908</v>
      </c>
      <c r="V56" s="2586">
        <v>0.05</v>
      </c>
      <c r="W56" s="2587">
        <v>27.04</v>
      </c>
      <c r="X56" s="2588">
        <v>270400</v>
      </c>
      <c r="Y56" s="2548">
        <v>2004</v>
      </c>
      <c r="Z56" s="2548">
        <v>11</v>
      </c>
      <c r="AA56" s="2548">
        <v>15</v>
      </c>
      <c r="AB56" s="2534">
        <v>850</v>
      </c>
      <c r="AC56" s="2534" t="s">
        <v>1066</v>
      </c>
      <c r="AD56" s="2533"/>
      <c r="AE56" s="2548" t="s">
        <v>1067</v>
      </c>
      <c r="AF56" s="2534" t="s">
        <v>1068</v>
      </c>
      <c r="AG56" s="2534" t="s">
        <v>1069</v>
      </c>
      <c r="AH56" s="2533"/>
      <c r="AI56" s="2534" t="s">
        <v>1342</v>
      </c>
      <c r="AJ56" s="2614"/>
      <c r="AK56" s="2615" t="s">
        <v>1136</v>
      </c>
      <c r="AL56" s="2548">
        <v>82253558</v>
      </c>
      <c r="AM56" s="2548"/>
      <c r="AN56" s="2548"/>
      <c r="AO56" s="2548"/>
      <c r="AP56" s="2548" t="s">
        <v>1073</v>
      </c>
      <c r="AQ56" s="2548" t="s">
        <v>1074</v>
      </c>
      <c r="AR56" s="2548"/>
      <c r="AS56" s="2548"/>
      <c r="AT56" s="2548"/>
      <c r="AU56" s="2548"/>
      <c r="AV56" s="2548"/>
      <c r="AW56" s="2548"/>
      <c r="AX56" s="2548"/>
      <c r="AY56" s="2641"/>
      <c r="AZ56" s="2548"/>
      <c r="BA56" s="2548"/>
      <c r="BB56" s="2641"/>
      <c r="BC56" s="2548"/>
      <c r="BD56" s="2642"/>
      <c r="BE56" s="2548"/>
      <c r="BF56" s="2666"/>
      <c r="BG56" s="2667">
        <v>38289</v>
      </c>
      <c r="BH56" s="2548"/>
      <c r="BI56" s="2548" t="s">
        <v>1067</v>
      </c>
      <c r="BJ56" s="2668">
        <v>38300</v>
      </c>
      <c r="BK56" s="2668"/>
      <c r="BL56" s="2534"/>
      <c r="BM56" s="2548" t="s">
        <v>1497</v>
      </c>
      <c r="BN56" s="2548" t="s">
        <v>1077</v>
      </c>
      <c r="BO56" s="2548" t="s">
        <v>1498</v>
      </c>
      <c r="BP56" s="2548"/>
      <c r="BQ56" s="2548" t="e">
        <v>#DIV/0!</v>
      </c>
      <c r="BR56" s="2548" t="e">
        <v>#DIV/0!</v>
      </c>
      <c r="BS56" s="2678"/>
      <c r="BT56" s="2678"/>
      <c r="BU56" s="2678"/>
    </row>
    <row r="57" hidden="1" spans="1:73">
      <c r="A57" s="2514" t="s">
        <v>1499</v>
      </c>
      <c r="B57" s="2514" t="s">
        <v>1500</v>
      </c>
      <c r="C57" s="2518" t="s">
        <v>1501</v>
      </c>
      <c r="D57" s="2518" t="s">
        <v>1502</v>
      </c>
      <c r="E57" s="2514" t="s">
        <v>1060</v>
      </c>
      <c r="F57" s="2514" t="s">
        <v>1503</v>
      </c>
      <c r="G57" s="2514"/>
      <c r="H57" s="2514" t="s">
        <v>1391</v>
      </c>
      <c r="I57" s="2514" t="s">
        <v>1099</v>
      </c>
      <c r="J57" s="2518" t="s">
        <v>1504</v>
      </c>
      <c r="K57" s="2514" t="s">
        <v>1500</v>
      </c>
      <c r="L57" s="2514">
        <v>87.01</v>
      </c>
      <c r="M57" s="2514">
        <v>9</v>
      </c>
      <c r="N57" s="2514" t="s">
        <v>1064</v>
      </c>
      <c r="O57" s="2514"/>
      <c r="P57" s="2514" t="s">
        <v>1065</v>
      </c>
      <c r="Q57" s="2565">
        <v>533500</v>
      </c>
      <c r="R57" s="2514">
        <v>6131</v>
      </c>
      <c r="S57" s="2564">
        <v>47.85</v>
      </c>
      <c r="T57" s="2561">
        <v>478500</v>
      </c>
      <c r="U57" s="2514">
        <v>5500</v>
      </c>
      <c r="V57" s="2558">
        <v>0.05</v>
      </c>
      <c r="W57" s="2559">
        <v>45.45</v>
      </c>
      <c r="X57" s="2562">
        <v>454500</v>
      </c>
      <c r="Y57" s="2591">
        <v>2004</v>
      </c>
      <c r="Z57" s="2591">
        <v>11</v>
      </c>
      <c r="AA57" s="2591">
        <v>15</v>
      </c>
      <c r="AB57" s="2563">
        <v>1435</v>
      </c>
      <c r="AC57" s="2514" t="s">
        <v>1066</v>
      </c>
      <c r="AD57" s="2517"/>
      <c r="AE57" s="2514" t="s">
        <v>1067</v>
      </c>
      <c r="AF57" s="2514" t="s">
        <v>1068</v>
      </c>
      <c r="AG57" s="2514" t="s">
        <v>1069</v>
      </c>
      <c r="AH57" s="2517"/>
      <c r="AI57" s="2514" t="s">
        <v>175</v>
      </c>
      <c r="AJ57" s="2602"/>
      <c r="AK57" s="2603" t="s">
        <v>1136</v>
      </c>
      <c r="AL57" s="2591"/>
      <c r="AM57" s="2591"/>
      <c r="AN57" s="2591" t="s">
        <v>1072</v>
      </c>
      <c r="AO57" s="2591"/>
      <c r="AP57" s="2591" t="s">
        <v>1073</v>
      </c>
      <c r="AQ57" s="2591" t="s">
        <v>1089</v>
      </c>
      <c r="AR57" s="2591"/>
      <c r="AS57" s="2591"/>
      <c r="AT57" s="2591"/>
      <c r="AU57" s="2591"/>
      <c r="AV57" s="2591"/>
      <c r="AW57" s="2591"/>
      <c r="AX57" s="2591"/>
      <c r="AY57" s="2631"/>
      <c r="AZ57" s="2591"/>
      <c r="BA57" s="2591"/>
      <c r="BB57" s="2631"/>
      <c r="BC57" s="2591"/>
      <c r="BD57" s="2632"/>
      <c r="BE57" s="2591"/>
      <c r="BF57" s="2651"/>
      <c r="BG57" s="2656">
        <v>38259</v>
      </c>
      <c r="BH57" s="2591"/>
      <c r="BI57" s="2591" t="s">
        <v>1342</v>
      </c>
      <c r="BJ57" s="2653">
        <v>38292</v>
      </c>
      <c r="BK57" s="2653"/>
      <c r="BL57" s="2514"/>
      <c r="BM57" s="2591" t="s">
        <v>888</v>
      </c>
      <c r="BN57" s="2591" t="s">
        <v>1077</v>
      </c>
      <c r="BO57" s="2591" t="s">
        <v>1505</v>
      </c>
      <c r="BP57" s="2591"/>
      <c r="BQ57" s="2591"/>
      <c r="BR57" s="2591"/>
      <c r="BS57" s="2678"/>
      <c r="BT57" s="2678"/>
      <c r="BU57" s="2678"/>
    </row>
    <row r="58" hidden="1" spans="1:73">
      <c r="A58" s="2517" t="s">
        <v>1506</v>
      </c>
      <c r="B58" s="2514" t="s">
        <v>1507</v>
      </c>
      <c r="C58" s="2518" t="s">
        <v>1508</v>
      </c>
      <c r="D58" s="2518" t="s">
        <v>1509</v>
      </c>
      <c r="E58" s="2514" t="s">
        <v>1060</v>
      </c>
      <c r="F58" s="2538" t="s">
        <v>1510</v>
      </c>
      <c r="G58" s="2514"/>
      <c r="H58" s="2514" t="s">
        <v>1084</v>
      </c>
      <c r="I58" s="2514"/>
      <c r="J58" s="2514" t="s">
        <v>1511</v>
      </c>
      <c r="K58" s="2515" t="s">
        <v>1507</v>
      </c>
      <c r="L58" s="2542">
        <v>99.09</v>
      </c>
      <c r="M58" s="2514" t="s">
        <v>1512</v>
      </c>
      <c r="N58" s="2514" t="s">
        <v>1513</v>
      </c>
      <c r="O58" s="2514">
        <v>80.73</v>
      </c>
      <c r="P58" s="2514" t="s">
        <v>1514</v>
      </c>
      <c r="Q58" s="2556">
        <v>435000</v>
      </c>
      <c r="R58" s="2514">
        <v>4390</v>
      </c>
      <c r="S58" s="2564">
        <v>41.12</v>
      </c>
      <c r="T58" s="2561">
        <v>411200</v>
      </c>
      <c r="U58" s="2514">
        <v>4150</v>
      </c>
      <c r="V58" s="2558">
        <v>0.05</v>
      </c>
      <c r="W58" s="2559">
        <v>39.06</v>
      </c>
      <c r="X58" s="2582">
        <v>390600</v>
      </c>
      <c r="Y58" s="2514">
        <v>2004</v>
      </c>
      <c r="Z58" s="2591">
        <v>11</v>
      </c>
      <c r="AA58" s="2591">
        <v>29</v>
      </c>
      <c r="AB58" s="2514">
        <v>1230</v>
      </c>
      <c r="AC58" s="2514" t="s">
        <v>1066</v>
      </c>
      <c r="AD58" s="2517"/>
      <c r="AE58" s="2591" t="s">
        <v>179</v>
      </c>
      <c r="AF58" s="2515" t="s">
        <v>1068</v>
      </c>
      <c r="AG58" s="2523" t="s">
        <v>1069</v>
      </c>
      <c r="AH58" s="2517"/>
      <c r="AI58" s="2514" t="s">
        <v>1070</v>
      </c>
      <c r="AJ58" s="2600"/>
      <c r="AK58" s="2599" t="s">
        <v>1136</v>
      </c>
      <c r="AL58" s="2591">
        <v>82253558</v>
      </c>
      <c r="AM58" s="2591"/>
      <c r="AN58" s="2523" t="s">
        <v>1071</v>
      </c>
      <c r="AO58" s="2591"/>
      <c r="AP58" s="2514" t="s">
        <v>1515</v>
      </c>
      <c r="AQ58" s="2514" t="s">
        <v>1074</v>
      </c>
      <c r="AR58" s="2591"/>
      <c r="AS58" s="2591"/>
      <c r="AT58" s="2591"/>
      <c r="AU58" s="2591"/>
      <c r="AV58" s="2591"/>
      <c r="AW58" s="2591" t="s">
        <v>1343</v>
      </c>
      <c r="AX58" s="2591"/>
      <c r="AY58" s="2631"/>
      <c r="AZ58" s="2515" t="s">
        <v>1516</v>
      </c>
      <c r="BA58" s="2591"/>
      <c r="BB58" s="2631"/>
      <c r="BC58" s="2591"/>
      <c r="BD58" s="2632"/>
      <c r="BE58" s="2591"/>
      <c r="BF58" s="2651"/>
      <c r="BG58" s="2652">
        <v>38288</v>
      </c>
      <c r="BH58" s="2591"/>
      <c r="BI58" s="2591" t="s">
        <v>1342</v>
      </c>
      <c r="BJ58" s="2653">
        <v>38294</v>
      </c>
      <c r="BK58" s="2653"/>
      <c r="BL58" s="2514" t="s">
        <v>1092</v>
      </c>
      <c r="BM58" s="2591" t="s">
        <v>888</v>
      </c>
      <c r="BN58" s="2591" t="s">
        <v>1077</v>
      </c>
      <c r="BO58" s="2591" t="s">
        <v>1128</v>
      </c>
      <c r="BP58" s="2591"/>
      <c r="BQ58" s="2591">
        <v>5094</v>
      </c>
      <c r="BR58" s="2591">
        <v>5388</v>
      </c>
      <c r="BS58" s="2678"/>
      <c r="BT58" s="2678"/>
      <c r="BU58" s="2678"/>
    </row>
    <row r="59" hidden="1" spans="1:73">
      <c r="A59" s="2517" t="s">
        <v>1517</v>
      </c>
      <c r="B59" s="2514" t="s">
        <v>1518</v>
      </c>
      <c r="C59" s="2518" t="s">
        <v>1519</v>
      </c>
      <c r="D59" s="2515" t="s">
        <v>1520</v>
      </c>
      <c r="E59" s="2514" t="s">
        <v>1060</v>
      </c>
      <c r="F59" s="2514" t="s">
        <v>1521</v>
      </c>
      <c r="G59" s="2514"/>
      <c r="H59" s="2514" t="s">
        <v>1239</v>
      </c>
      <c r="I59" s="2514"/>
      <c r="J59" s="2514" t="s">
        <v>1365</v>
      </c>
      <c r="K59" s="2514"/>
      <c r="L59" s="2542">
        <v>91.83</v>
      </c>
      <c r="M59" s="2514">
        <v>6</v>
      </c>
      <c r="N59" s="2515" t="s">
        <v>1064</v>
      </c>
      <c r="O59" s="2514"/>
      <c r="P59" s="2514" t="s">
        <v>1065</v>
      </c>
      <c r="Q59" s="2556">
        <v>557230</v>
      </c>
      <c r="R59" s="2514">
        <v>6068</v>
      </c>
      <c r="S59" s="2564">
        <v>55.96</v>
      </c>
      <c r="T59" s="2561">
        <v>559600</v>
      </c>
      <c r="U59" s="2556">
        <v>6094</v>
      </c>
      <c r="V59" s="2558">
        <v>0.05</v>
      </c>
      <c r="W59" s="2559">
        <v>53.16</v>
      </c>
      <c r="X59" s="2562">
        <v>531600</v>
      </c>
      <c r="Y59" s="2591">
        <v>2004</v>
      </c>
      <c r="Z59" s="2591">
        <v>11</v>
      </c>
      <c r="AA59" s="2514">
        <v>17</v>
      </c>
      <c r="AB59" s="2514">
        <v>1500</v>
      </c>
      <c r="AC59" s="2514" t="s">
        <v>1066</v>
      </c>
      <c r="AD59" s="2514"/>
      <c r="AE59" s="2514" t="s">
        <v>1067</v>
      </c>
      <c r="AF59" s="2514" t="s">
        <v>1068</v>
      </c>
      <c r="AG59" s="2523" t="s">
        <v>1069</v>
      </c>
      <c r="AH59" s="2514"/>
      <c r="AI59" s="2514" t="s">
        <v>1342</v>
      </c>
      <c r="AJ59" s="2600"/>
      <c r="AK59" s="2599" t="s">
        <v>1136</v>
      </c>
      <c r="AL59" s="2514">
        <v>82253558</v>
      </c>
      <c r="AM59" s="2514"/>
      <c r="AN59" s="2523" t="s">
        <v>1072</v>
      </c>
      <c r="AO59" s="2514"/>
      <c r="AP59" s="2514" t="s">
        <v>1067</v>
      </c>
      <c r="AQ59" s="2514" t="s">
        <v>1074</v>
      </c>
      <c r="AR59" s="2514"/>
      <c r="AS59" s="2514"/>
      <c r="AT59" s="2514"/>
      <c r="AU59" s="2514"/>
      <c r="AV59" s="2514"/>
      <c r="AW59" s="2514"/>
      <c r="AX59" s="2514"/>
      <c r="AY59" s="2518"/>
      <c r="AZ59" s="2514"/>
      <c r="BA59" s="2514"/>
      <c r="BB59" s="2518"/>
      <c r="BC59" s="2514"/>
      <c r="BD59" s="2633"/>
      <c r="BE59" s="2514"/>
      <c r="BF59" s="2654"/>
      <c r="BG59" s="2605">
        <v>38294</v>
      </c>
      <c r="BH59" s="2514"/>
      <c r="BI59" s="2523" t="s">
        <v>1067</v>
      </c>
      <c r="BJ59" s="2650">
        <v>38302</v>
      </c>
      <c r="BK59" s="2655"/>
      <c r="BL59" s="2514"/>
      <c r="BM59" s="2591" t="s">
        <v>888</v>
      </c>
      <c r="BN59" s="2591" t="s">
        <v>1077</v>
      </c>
      <c r="BO59" s="2591" t="s">
        <v>1234</v>
      </c>
      <c r="BP59" s="2591"/>
      <c r="BQ59" s="2591" t="e">
        <v>#DIV/0!</v>
      </c>
      <c r="BR59" s="2591" t="e">
        <v>#DIV/0!</v>
      </c>
      <c r="BS59" s="2678"/>
      <c r="BT59" s="2678"/>
      <c r="BU59" s="2678"/>
    </row>
    <row r="60" hidden="1" spans="1:73">
      <c r="A60" s="2517" t="s">
        <v>1522</v>
      </c>
      <c r="B60" s="2514" t="s">
        <v>1523</v>
      </c>
      <c r="C60" s="2518" t="s">
        <v>1524</v>
      </c>
      <c r="D60" s="2518" t="s">
        <v>1525</v>
      </c>
      <c r="E60" s="2514" t="s">
        <v>1060</v>
      </c>
      <c r="F60" s="2514" t="s">
        <v>1526</v>
      </c>
      <c r="G60" s="2514"/>
      <c r="H60" s="2514" t="s">
        <v>1305</v>
      </c>
      <c r="I60" s="2514" t="s">
        <v>1099</v>
      </c>
      <c r="J60" s="2518" t="s">
        <v>1527</v>
      </c>
      <c r="K60" s="2514" t="s">
        <v>1523</v>
      </c>
      <c r="L60" s="2514">
        <v>56.15</v>
      </c>
      <c r="M60" s="2514">
        <v>2</v>
      </c>
      <c r="N60" s="2514" t="s">
        <v>1259</v>
      </c>
      <c r="O60" s="2514"/>
      <c r="P60" s="2514" t="s">
        <v>1065</v>
      </c>
      <c r="Q60" s="2565">
        <v>330000</v>
      </c>
      <c r="R60" s="2514">
        <v>5877</v>
      </c>
      <c r="S60" s="2564">
        <v>30.3</v>
      </c>
      <c r="T60" s="2561">
        <v>303000</v>
      </c>
      <c r="U60" s="2514">
        <v>5398</v>
      </c>
      <c r="V60" s="2558">
        <v>0.05</v>
      </c>
      <c r="W60" s="2559">
        <v>28.78</v>
      </c>
      <c r="X60" s="2562">
        <v>287800</v>
      </c>
      <c r="Y60" s="2591">
        <v>2004</v>
      </c>
      <c r="Z60" s="2591">
        <v>11</v>
      </c>
      <c r="AA60" s="2591">
        <v>9</v>
      </c>
      <c r="AB60" s="2514">
        <v>905</v>
      </c>
      <c r="AC60" s="2514" t="s">
        <v>1066</v>
      </c>
      <c r="AD60" s="2517"/>
      <c r="AE60" s="2514" t="s">
        <v>1067</v>
      </c>
      <c r="AF60" s="2514" t="s">
        <v>1068</v>
      </c>
      <c r="AG60" s="2514" t="s">
        <v>1069</v>
      </c>
      <c r="AH60" s="2517"/>
      <c r="AI60" s="2514" t="s">
        <v>175</v>
      </c>
      <c r="AJ60" s="2602"/>
      <c r="AK60" s="2603" t="s">
        <v>1136</v>
      </c>
      <c r="AL60" s="2591"/>
      <c r="AM60" s="2591"/>
      <c r="AN60" s="2591" t="s">
        <v>1088</v>
      </c>
      <c r="AO60" s="2591"/>
      <c r="AP60" s="2591" t="s">
        <v>1300</v>
      </c>
      <c r="AQ60" s="2591" t="s">
        <v>1074</v>
      </c>
      <c r="AR60" s="2591"/>
      <c r="AS60" s="2591"/>
      <c r="AT60" s="2591"/>
      <c r="AU60" s="2591"/>
      <c r="AV60" s="2591"/>
      <c r="AW60" s="2591" t="s">
        <v>1343</v>
      </c>
      <c r="AX60" s="2591"/>
      <c r="AY60" s="2631"/>
      <c r="AZ60" s="2591"/>
      <c r="BA60" s="2591"/>
      <c r="BB60" s="2631"/>
      <c r="BC60" s="2591"/>
      <c r="BD60" s="2632"/>
      <c r="BE60" s="2591"/>
      <c r="BF60" s="2651"/>
      <c r="BG60" s="2656">
        <v>38295</v>
      </c>
      <c r="BH60" s="2591"/>
      <c r="BI60" s="2591" t="s">
        <v>1342</v>
      </c>
      <c r="BJ60" s="2653">
        <v>38296</v>
      </c>
      <c r="BK60" s="2653"/>
      <c r="BL60" s="2514"/>
      <c r="BM60" s="2591" t="s">
        <v>888</v>
      </c>
      <c r="BN60" s="2591" t="s">
        <v>1077</v>
      </c>
      <c r="BO60" s="2591" t="s">
        <v>1128</v>
      </c>
      <c r="BP60" s="2591"/>
      <c r="BQ60" s="2591"/>
      <c r="BR60" s="2591"/>
      <c r="BS60" s="2678"/>
      <c r="BT60" s="2678"/>
      <c r="BU60" s="2678"/>
    </row>
    <row r="61" s="2503" customFormat="1" spans="1:73">
      <c r="A61" s="2529" t="s">
        <v>1528</v>
      </c>
      <c r="B61" s="2530" t="s">
        <v>1529</v>
      </c>
      <c r="C61" s="2531" t="s">
        <v>1530</v>
      </c>
      <c r="D61" s="2531" t="s">
        <v>1531</v>
      </c>
      <c r="E61" s="2530" t="s">
        <v>1060</v>
      </c>
      <c r="F61" s="2539" t="s">
        <v>1532</v>
      </c>
      <c r="G61" s="2530"/>
      <c r="H61" s="2530"/>
      <c r="I61" s="2530" t="s">
        <v>1143</v>
      </c>
      <c r="J61" s="2531" t="s">
        <v>1365</v>
      </c>
      <c r="K61" s="2530" t="s">
        <v>1529</v>
      </c>
      <c r="L61" s="2530">
        <v>43</v>
      </c>
      <c r="M61" s="2530">
        <v>6</v>
      </c>
      <c r="N61" s="2530" t="s">
        <v>1259</v>
      </c>
      <c r="O61" s="2530"/>
      <c r="P61" s="2530" t="s">
        <v>1065</v>
      </c>
      <c r="Q61" s="2576">
        <v>255000</v>
      </c>
      <c r="R61" s="2530">
        <v>5930</v>
      </c>
      <c r="S61" s="2577">
        <v>23.95</v>
      </c>
      <c r="T61" s="2578">
        <v>239500</v>
      </c>
      <c r="U61" s="2530">
        <v>5571</v>
      </c>
      <c r="V61" s="2579">
        <v>0.05</v>
      </c>
      <c r="W61" s="2580">
        <v>22.75</v>
      </c>
      <c r="X61" s="2581">
        <v>227500</v>
      </c>
      <c r="Y61" s="2596">
        <v>2004</v>
      </c>
      <c r="Z61" s="2596">
        <v>11</v>
      </c>
      <c r="AA61" s="2596">
        <v>15</v>
      </c>
      <c r="AB61" s="2530">
        <v>715</v>
      </c>
      <c r="AC61" s="2530" t="s">
        <v>1066</v>
      </c>
      <c r="AD61" s="2529"/>
      <c r="AE61" s="2596" t="s">
        <v>1067</v>
      </c>
      <c r="AF61" s="2530" t="s">
        <v>1068</v>
      </c>
      <c r="AG61" s="2530" t="s">
        <v>1069</v>
      </c>
      <c r="AH61" s="2529"/>
      <c r="AI61" s="2530" t="s">
        <v>1342</v>
      </c>
      <c r="AJ61" s="2612"/>
      <c r="AK61" s="2613" t="s">
        <v>1136</v>
      </c>
      <c r="AL61" s="2596">
        <v>82253558</v>
      </c>
      <c r="AM61" s="2596"/>
      <c r="AN61" s="2596"/>
      <c r="AO61" s="2596"/>
      <c r="AP61" s="2596" t="s">
        <v>1073</v>
      </c>
      <c r="AQ61" s="2596" t="s">
        <v>1074</v>
      </c>
      <c r="AR61" s="2596"/>
      <c r="AS61" s="2596"/>
      <c r="AT61" s="2596"/>
      <c r="AU61" s="2596"/>
      <c r="AV61" s="2596"/>
      <c r="AW61" s="2596"/>
      <c r="AX61" s="2596"/>
      <c r="AY61" s="2639"/>
      <c r="AZ61" s="2596"/>
      <c r="BA61" s="2596"/>
      <c r="BB61" s="2639"/>
      <c r="BC61" s="2596"/>
      <c r="BD61" s="2640"/>
      <c r="BE61" s="2596"/>
      <c r="BF61" s="2663"/>
      <c r="BG61" s="2664">
        <v>38294</v>
      </c>
      <c r="BH61" s="2596"/>
      <c r="BI61" s="2596" t="s">
        <v>1067</v>
      </c>
      <c r="BJ61" s="2665">
        <v>38299</v>
      </c>
      <c r="BK61" s="2665"/>
      <c r="BL61" s="2530"/>
      <c r="BM61" s="2596" t="s">
        <v>888</v>
      </c>
      <c r="BN61" s="2596" t="s">
        <v>1148</v>
      </c>
      <c r="BO61" s="2596" t="s">
        <v>1498</v>
      </c>
      <c r="BP61" s="2596"/>
      <c r="BQ61" s="2596" t="e">
        <v>#DIV/0!</v>
      </c>
      <c r="BR61" s="2596" t="e">
        <v>#DIV/0!</v>
      </c>
      <c r="BS61" s="2680"/>
      <c r="BT61" s="2680"/>
      <c r="BU61" s="2680"/>
    </row>
    <row r="62" hidden="1" spans="1:73">
      <c r="A62" s="2517" t="s">
        <v>1533</v>
      </c>
      <c r="B62" s="2514" t="s">
        <v>1534</v>
      </c>
      <c r="C62" s="2518" t="s">
        <v>1535</v>
      </c>
      <c r="D62" s="2518" t="s">
        <v>1536</v>
      </c>
      <c r="E62" s="2514" t="s">
        <v>1060</v>
      </c>
      <c r="F62" s="2515" t="s">
        <v>1445</v>
      </c>
      <c r="G62" s="2514"/>
      <c r="H62" s="2514" t="s">
        <v>1446</v>
      </c>
      <c r="I62" s="2514"/>
      <c r="J62" s="2518" t="s">
        <v>1181</v>
      </c>
      <c r="K62" s="2514"/>
      <c r="L62" s="2542">
        <v>114.24</v>
      </c>
      <c r="M62" s="2514">
        <v>18</v>
      </c>
      <c r="N62" s="2514" t="s">
        <v>1123</v>
      </c>
      <c r="O62" s="2514"/>
      <c r="P62" s="2514" t="s">
        <v>1065</v>
      </c>
      <c r="Q62" s="2556">
        <v>420000</v>
      </c>
      <c r="R62" s="2534">
        <v>3676</v>
      </c>
      <c r="S62" s="2584">
        <v>42.81</v>
      </c>
      <c r="T62" s="2561">
        <v>428100</v>
      </c>
      <c r="U62" s="2514">
        <v>3748</v>
      </c>
      <c r="V62" s="2558">
        <v>0.05</v>
      </c>
      <c r="W62" s="2587">
        <v>40.66</v>
      </c>
      <c r="X62" s="2562">
        <v>406600</v>
      </c>
      <c r="Y62" s="2591">
        <v>2004</v>
      </c>
      <c r="Z62" s="2591">
        <v>11</v>
      </c>
      <c r="AA62" s="2514">
        <v>18</v>
      </c>
      <c r="AB62" s="2534">
        <v>1280</v>
      </c>
      <c r="AC62" s="2514" t="s">
        <v>1066</v>
      </c>
      <c r="AD62" s="2517"/>
      <c r="AE62" s="2534" t="s">
        <v>175</v>
      </c>
      <c r="AF62" s="2514" t="s">
        <v>1068</v>
      </c>
      <c r="AG62" s="2514" t="s">
        <v>1069</v>
      </c>
      <c r="AH62" s="2517"/>
      <c r="AI62" s="2534" t="s">
        <v>1067</v>
      </c>
      <c r="AJ62" s="2602"/>
      <c r="AK62" s="2607" t="s">
        <v>1136</v>
      </c>
      <c r="AL62" s="2591">
        <v>82253558</v>
      </c>
      <c r="AM62" s="2591"/>
      <c r="AN62" s="2591"/>
      <c r="AO62" s="2591"/>
      <c r="AP62" s="2534" t="s">
        <v>175</v>
      </c>
      <c r="AQ62" s="2591" t="s">
        <v>1074</v>
      </c>
      <c r="AR62" s="2591"/>
      <c r="AS62" s="2591"/>
      <c r="AT62" s="2591"/>
      <c r="AU62" s="2591"/>
      <c r="AV62" s="2591"/>
      <c r="AW62" s="2514" t="s">
        <v>1075</v>
      </c>
      <c r="AX62" s="2591"/>
      <c r="AY62" s="2631"/>
      <c r="AZ62" s="2591" t="s">
        <v>1537</v>
      </c>
      <c r="BA62" s="2591"/>
      <c r="BB62" s="2631"/>
      <c r="BC62" s="2591"/>
      <c r="BD62" s="2632"/>
      <c r="BE62" s="2591"/>
      <c r="BF62" s="2651"/>
      <c r="BG62" s="2656">
        <v>38296</v>
      </c>
      <c r="BH62" s="2591"/>
      <c r="BI62" s="2670" t="s">
        <v>175</v>
      </c>
      <c r="BJ62" s="2653">
        <v>38302</v>
      </c>
      <c r="BK62" s="2653"/>
      <c r="BL62" s="2514"/>
      <c r="BM62" s="2591" t="s">
        <v>888</v>
      </c>
      <c r="BN62" s="2591" t="s">
        <v>1077</v>
      </c>
      <c r="BO62" s="2548" t="s">
        <v>1128</v>
      </c>
      <c r="BP62" s="2591"/>
      <c r="BQ62" s="2591" t="e">
        <v>#DIV/0!</v>
      </c>
      <c r="BR62" s="2591" t="e">
        <v>#DIV/0!</v>
      </c>
      <c r="BS62" s="2678"/>
      <c r="BT62" s="2678"/>
      <c r="BU62" s="2678"/>
    </row>
    <row r="63" hidden="1" spans="1:73">
      <c r="A63" s="2515" t="s">
        <v>1538</v>
      </c>
      <c r="B63" s="2515" t="s">
        <v>1539</v>
      </c>
      <c r="C63" s="2518" t="s">
        <v>1540</v>
      </c>
      <c r="D63" s="2515" t="s">
        <v>1541</v>
      </c>
      <c r="E63" s="2515" t="s">
        <v>1060</v>
      </c>
      <c r="F63" s="2515" t="s">
        <v>1542</v>
      </c>
      <c r="G63" s="2515"/>
      <c r="H63" s="2515" t="s">
        <v>1062</v>
      </c>
      <c r="I63" s="2515"/>
      <c r="J63" s="2525" t="s">
        <v>1543</v>
      </c>
      <c r="K63" s="2515" t="s">
        <v>1544</v>
      </c>
      <c r="L63" s="2542">
        <v>62.03</v>
      </c>
      <c r="M63" s="2515">
        <v>2</v>
      </c>
      <c r="N63" s="2514" t="s">
        <v>1064</v>
      </c>
      <c r="O63" s="2515"/>
      <c r="P63" s="2514" t="s">
        <v>1065</v>
      </c>
      <c r="Q63" s="2556">
        <v>400000</v>
      </c>
      <c r="R63" s="2514">
        <v>6448</v>
      </c>
      <c r="S63" s="2564">
        <v>33.37</v>
      </c>
      <c r="T63" s="2557">
        <v>333700</v>
      </c>
      <c r="U63" s="2589">
        <v>5380</v>
      </c>
      <c r="V63" s="2566">
        <v>0.05</v>
      </c>
      <c r="W63" s="2559">
        <v>31.7</v>
      </c>
      <c r="X63" s="2557">
        <v>317000</v>
      </c>
      <c r="Y63" s="2515">
        <v>2004</v>
      </c>
      <c r="Z63" s="2515">
        <v>11</v>
      </c>
      <c r="AA63" s="2515">
        <v>23</v>
      </c>
      <c r="AB63" s="2592">
        <v>1000</v>
      </c>
      <c r="AC63" s="2515" t="s">
        <v>1066</v>
      </c>
      <c r="AD63" s="2515"/>
      <c r="AE63" s="2515" t="s">
        <v>179</v>
      </c>
      <c r="AF63" s="2515" t="s">
        <v>1068</v>
      </c>
      <c r="AG63" s="2515" t="s">
        <v>1069</v>
      </c>
      <c r="AH63" s="2515"/>
      <c r="AI63" s="2514" t="s">
        <v>1070</v>
      </c>
      <c r="AJ63" s="2617"/>
      <c r="AK63" s="2618" t="s">
        <v>1136</v>
      </c>
      <c r="AL63" s="2515">
        <v>67641700</v>
      </c>
      <c r="AM63" s="2515"/>
      <c r="AN63" s="2515" t="s">
        <v>1182</v>
      </c>
      <c r="AO63" s="2515"/>
      <c r="AP63" s="2515" t="s">
        <v>1073</v>
      </c>
      <c r="AQ63" s="2515" t="s">
        <v>1074</v>
      </c>
      <c r="AR63" s="2515"/>
      <c r="AS63" s="2515"/>
      <c r="AT63" s="2515"/>
      <c r="AU63" s="2515"/>
      <c r="AV63" s="2515"/>
      <c r="AW63" s="2515" t="s">
        <v>1250</v>
      </c>
      <c r="AX63" s="2515"/>
      <c r="AY63" s="2515"/>
      <c r="AZ63" s="2515" t="s">
        <v>1544</v>
      </c>
      <c r="BA63" s="2515"/>
      <c r="BB63" s="2515"/>
      <c r="BC63" s="2515"/>
      <c r="BD63" s="2515"/>
      <c r="BE63" s="2515"/>
      <c r="BF63" s="2515"/>
      <c r="BG63" s="2617">
        <v>38308</v>
      </c>
      <c r="BH63" s="2515" t="s">
        <v>1174</v>
      </c>
      <c r="BI63" s="2514" t="s">
        <v>176</v>
      </c>
      <c r="BJ63" s="2650">
        <v>38308</v>
      </c>
      <c r="BK63" s="2617"/>
      <c r="BL63" s="2515" t="s">
        <v>1092</v>
      </c>
      <c r="BM63" s="2591"/>
      <c r="BN63" s="2589"/>
      <c r="BO63" s="2682"/>
      <c r="BP63" s="2515"/>
      <c r="BQ63" s="2514" t="e">
        <v>#DIV/0!</v>
      </c>
      <c r="BR63" s="2514" t="e">
        <v>#DIV/0!</v>
      </c>
      <c r="BS63" s="2532"/>
      <c r="BT63" s="2532"/>
      <c r="BU63" s="2532"/>
    </row>
    <row r="64" hidden="1" spans="1:73">
      <c r="A64" s="2533" t="s">
        <v>1545</v>
      </c>
      <c r="B64" s="2534" t="s">
        <v>1546</v>
      </c>
      <c r="C64" s="2535" t="s">
        <v>1547</v>
      </c>
      <c r="D64" s="2537">
        <v>13810401144</v>
      </c>
      <c r="E64" s="2534" t="s">
        <v>1060</v>
      </c>
      <c r="F64" s="2534" t="s">
        <v>1548</v>
      </c>
      <c r="G64" s="2534"/>
      <c r="H64" s="2534" t="s">
        <v>1549</v>
      </c>
      <c r="I64" s="2534" t="s">
        <v>1222</v>
      </c>
      <c r="J64" s="2534" t="s">
        <v>1365</v>
      </c>
      <c r="K64" s="2534" t="s">
        <v>1550</v>
      </c>
      <c r="L64" s="2551">
        <v>43.1</v>
      </c>
      <c r="M64" s="2534">
        <v>6</v>
      </c>
      <c r="N64" s="2537" t="s">
        <v>1259</v>
      </c>
      <c r="O64" s="2534"/>
      <c r="P64" s="2534" t="s">
        <v>1065</v>
      </c>
      <c r="Q64" s="2590">
        <v>249980</v>
      </c>
      <c r="R64" s="2534">
        <v>5800</v>
      </c>
      <c r="S64" s="2584">
        <v>22.18</v>
      </c>
      <c r="T64" s="2585">
        <v>221800</v>
      </c>
      <c r="U64" s="2590">
        <v>5148</v>
      </c>
      <c r="V64" s="2586">
        <v>0.05</v>
      </c>
      <c r="W64" s="2587">
        <v>21.07</v>
      </c>
      <c r="X64" s="2588">
        <v>210700</v>
      </c>
      <c r="Y64" s="2548">
        <v>2004</v>
      </c>
      <c r="Z64" s="2548">
        <v>11</v>
      </c>
      <c r="AA64" s="2534">
        <v>26</v>
      </c>
      <c r="AB64" s="2534">
        <v>665</v>
      </c>
      <c r="AC64" s="2534" t="s">
        <v>1066</v>
      </c>
      <c r="AD64" s="2534"/>
      <c r="AE64" s="2534" t="s">
        <v>175</v>
      </c>
      <c r="AF64" s="2534" t="s">
        <v>1068</v>
      </c>
      <c r="AG64" s="2608" t="s">
        <v>1069</v>
      </c>
      <c r="AH64" s="2534"/>
      <c r="AI64" s="2534" t="s">
        <v>1070</v>
      </c>
      <c r="AJ64" s="2619"/>
      <c r="AK64" s="2607" t="s">
        <v>1136</v>
      </c>
      <c r="AL64" s="2534">
        <v>82253558</v>
      </c>
      <c r="AM64" s="2534"/>
      <c r="AN64" s="2534" t="s">
        <v>1072</v>
      </c>
      <c r="AO64" s="2534"/>
      <c r="AP64" s="2534" t="s">
        <v>175</v>
      </c>
      <c r="AQ64" s="2534"/>
      <c r="AR64" s="2534"/>
      <c r="AS64" s="2534"/>
      <c r="AT64" s="2534"/>
      <c r="AU64" s="2534"/>
      <c r="AV64" s="2534" t="s">
        <v>1114</v>
      </c>
      <c r="AW64" s="2534" t="s">
        <v>1075</v>
      </c>
      <c r="AX64" s="2534"/>
      <c r="AY64" s="2535"/>
      <c r="AZ64" s="2534" t="s">
        <v>1550</v>
      </c>
      <c r="BA64" s="2534"/>
      <c r="BB64" s="2535"/>
      <c r="BC64" s="2534"/>
      <c r="BD64" s="2644"/>
      <c r="BE64" s="2534"/>
      <c r="BF64" s="2673"/>
      <c r="BG64" s="2616">
        <v>38310</v>
      </c>
      <c r="BH64" s="2534"/>
      <c r="BI64" s="2608" t="s">
        <v>175</v>
      </c>
      <c r="BJ64" s="2672">
        <v>38314</v>
      </c>
      <c r="BK64" s="2674"/>
      <c r="BL64" s="2534"/>
      <c r="BM64" s="2548" t="s">
        <v>1270</v>
      </c>
      <c r="BN64" s="2548" t="s">
        <v>1077</v>
      </c>
      <c r="BO64" s="2548" t="s">
        <v>1234</v>
      </c>
      <c r="BP64" s="2548"/>
      <c r="BQ64" s="2548"/>
      <c r="BR64" s="2548"/>
      <c r="BS64" s="2678"/>
      <c r="BT64" s="2678"/>
      <c r="BU64" s="2678"/>
    </row>
    <row r="65" hidden="1" spans="1:73">
      <c r="A65" s="2517" t="s">
        <v>1551</v>
      </c>
      <c r="B65" s="2514" t="s">
        <v>1552</v>
      </c>
      <c r="C65" s="2518" t="s">
        <v>1553</v>
      </c>
      <c r="D65" s="2518" t="s">
        <v>1554</v>
      </c>
      <c r="E65" s="2514" t="s">
        <v>1060</v>
      </c>
      <c r="F65" s="2514" t="s">
        <v>1430</v>
      </c>
      <c r="G65" s="2514"/>
      <c r="H65" s="2514" t="s">
        <v>1062</v>
      </c>
      <c r="I65" s="2514"/>
      <c r="J65" s="2518" t="s">
        <v>1555</v>
      </c>
      <c r="K65" s="2514" t="s">
        <v>1552</v>
      </c>
      <c r="L65" s="2514">
        <v>121.5</v>
      </c>
      <c r="M65" s="2514">
        <v>11</v>
      </c>
      <c r="N65" s="2534" t="s">
        <v>1101</v>
      </c>
      <c r="O65" s="2514"/>
      <c r="P65" s="2534" t="s">
        <v>1065</v>
      </c>
      <c r="Q65" s="2565">
        <v>670000</v>
      </c>
      <c r="R65" s="2514">
        <v>5514</v>
      </c>
      <c r="S65" s="2564">
        <v>65.54</v>
      </c>
      <c r="T65" s="2561">
        <v>655400</v>
      </c>
      <c r="U65" s="2514">
        <v>5395</v>
      </c>
      <c r="V65" s="2558">
        <v>0.05</v>
      </c>
      <c r="W65" s="2559">
        <v>62.26</v>
      </c>
      <c r="X65" s="2562">
        <v>622600</v>
      </c>
      <c r="Y65" s="2591">
        <v>2004</v>
      </c>
      <c r="Z65" s="2591">
        <v>11</v>
      </c>
      <c r="AA65" s="2591">
        <v>25</v>
      </c>
      <c r="AB65" s="2514">
        <v>1500</v>
      </c>
      <c r="AC65" s="2534" t="s">
        <v>1066</v>
      </c>
      <c r="AD65" s="2517"/>
      <c r="AE65" s="2591" t="s">
        <v>179</v>
      </c>
      <c r="AF65" s="2534" t="s">
        <v>1068</v>
      </c>
      <c r="AG65" s="2534" t="s">
        <v>1069</v>
      </c>
      <c r="AH65" s="2517"/>
      <c r="AI65" s="2514" t="s">
        <v>1070</v>
      </c>
      <c r="AJ65" s="2602"/>
      <c r="AK65" s="2599" t="s">
        <v>1136</v>
      </c>
      <c r="AL65" s="2591">
        <v>82253558</v>
      </c>
      <c r="AM65" s="2591"/>
      <c r="AN65" s="2594" t="s">
        <v>1182</v>
      </c>
      <c r="AO65" s="2591"/>
      <c r="AP65" s="2548" t="s">
        <v>1073</v>
      </c>
      <c r="AQ65" s="2514" t="s">
        <v>1074</v>
      </c>
      <c r="AR65" s="2591"/>
      <c r="AS65" s="2591"/>
      <c r="AT65" s="2591"/>
      <c r="AU65" s="2591"/>
      <c r="AV65" s="2591"/>
      <c r="AW65" s="2591" t="s">
        <v>1075</v>
      </c>
      <c r="AX65" s="2591"/>
      <c r="AY65" s="2631"/>
      <c r="AZ65" s="2591"/>
      <c r="BA65" s="2591"/>
      <c r="BB65" s="2631"/>
      <c r="BC65" s="2591"/>
      <c r="BD65" s="2632"/>
      <c r="BE65" s="2591"/>
      <c r="BF65" s="2651"/>
      <c r="BG65" s="2669">
        <v>38292</v>
      </c>
      <c r="BH65" s="2591"/>
      <c r="BI65" s="2548" t="s">
        <v>1067</v>
      </c>
      <c r="BJ65" s="2653">
        <v>38309</v>
      </c>
      <c r="BK65" s="2653"/>
      <c r="BL65" s="2514"/>
      <c r="BM65" s="2548" t="s">
        <v>888</v>
      </c>
      <c r="BN65" s="2548" t="s">
        <v>1077</v>
      </c>
      <c r="BO65" s="2591" t="s">
        <v>1234</v>
      </c>
      <c r="BP65" s="2591"/>
      <c r="BQ65" s="2591" t="e">
        <v>#DIV/0!</v>
      </c>
      <c r="BR65" s="2591" t="e">
        <v>#DIV/0!</v>
      </c>
      <c r="BS65" s="2532"/>
      <c r="BT65" s="2532"/>
      <c r="BU65" s="2532"/>
    </row>
    <row r="66" hidden="1" spans="1:73">
      <c r="A66" s="2517" t="s">
        <v>1556</v>
      </c>
      <c r="B66" s="2514" t="s">
        <v>1557</v>
      </c>
      <c r="C66" s="2518" t="s">
        <v>1558</v>
      </c>
      <c r="D66" s="2514" t="s">
        <v>1559</v>
      </c>
      <c r="E66" s="2514" t="s">
        <v>1060</v>
      </c>
      <c r="F66" s="2514" t="s">
        <v>1560</v>
      </c>
      <c r="G66" s="2514"/>
      <c r="H66" s="2515" t="s">
        <v>1062</v>
      </c>
      <c r="I66" s="2515" t="s">
        <v>1561</v>
      </c>
      <c r="J66" s="2515" t="s">
        <v>1562</v>
      </c>
      <c r="K66" s="2514" t="s">
        <v>1557</v>
      </c>
      <c r="L66" s="2516">
        <v>87.8</v>
      </c>
      <c r="M66" s="2516">
        <v>2</v>
      </c>
      <c r="N66" s="2514" t="s">
        <v>1064</v>
      </c>
      <c r="O66" s="2516"/>
      <c r="P66" s="2514" t="s">
        <v>1065</v>
      </c>
      <c r="Q66" s="2565">
        <v>615000</v>
      </c>
      <c r="R66" s="2514">
        <v>7005</v>
      </c>
      <c r="S66" s="2564">
        <v>52.23</v>
      </c>
      <c r="T66" s="2561">
        <v>522300</v>
      </c>
      <c r="U66" s="2514">
        <v>5949</v>
      </c>
      <c r="V66" s="2558">
        <v>0.05</v>
      </c>
      <c r="W66" s="2559">
        <v>49.61</v>
      </c>
      <c r="X66" s="2562">
        <v>496100</v>
      </c>
      <c r="Y66" s="2591">
        <v>2004</v>
      </c>
      <c r="Z66" s="2591">
        <v>12</v>
      </c>
      <c r="AA66" s="2591">
        <v>3</v>
      </c>
      <c r="AB66" s="2514">
        <v>1500</v>
      </c>
      <c r="AC66" s="2514" t="s">
        <v>1066</v>
      </c>
      <c r="AD66" s="2514"/>
      <c r="AE66" s="2523" t="s">
        <v>179</v>
      </c>
      <c r="AF66" s="2514" t="s">
        <v>1068</v>
      </c>
      <c r="AG66" s="2514" t="s">
        <v>1069</v>
      </c>
      <c r="AH66" s="2514"/>
      <c r="AI66" s="2523" t="s">
        <v>1070</v>
      </c>
      <c r="AJ66" s="2650"/>
      <c r="AK66" s="2599" t="s">
        <v>1563</v>
      </c>
      <c r="AL66" s="2591">
        <v>67641700</v>
      </c>
      <c r="AM66" s="2591"/>
      <c r="AN66" s="2523" t="s">
        <v>1087</v>
      </c>
      <c r="AO66" s="2514" t="s">
        <v>1114</v>
      </c>
      <c r="AP66" s="2591" t="s">
        <v>1073</v>
      </c>
      <c r="AQ66" s="2591" t="s">
        <v>1089</v>
      </c>
      <c r="AR66" s="2514"/>
      <c r="AS66" s="2514"/>
      <c r="AT66" s="2514"/>
      <c r="AU66" s="2514"/>
      <c r="AV66" s="2621"/>
      <c r="AW66" s="2514" t="s">
        <v>1343</v>
      </c>
      <c r="AX66" s="2514"/>
      <c r="AY66" s="2634"/>
      <c r="AZ66" s="2514" t="s">
        <v>1564</v>
      </c>
      <c r="BA66" s="2514"/>
      <c r="BB66" s="2514"/>
      <c r="BC66" s="2514"/>
      <c r="BD66" s="2514"/>
      <c r="BE66" s="2514"/>
      <c r="BF66" s="2658"/>
      <c r="BG66" s="2650">
        <v>38303</v>
      </c>
      <c r="BH66" s="2514"/>
      <c r="BI66" s="2514" t="s">
        <v>1515</v>
      </c>
      <c r="BJ66" s="2650">
        <v>38314</v>
      </c>
      <c r="BK66" s="2514"/>
      <c r="BL66" s="2514" t="s">
        <v>1092</v>
      </c>
      <c r="BM66" s="2591"/>
      <c r="BN66" s="2591"/>
      <c r="BO66" s="2591"/>
      <c r="BP66" s="2591"/>
      <c r="BQ66" s="2591"/>
      <c r="BR66" s="2591"/>
      <c r="BS66" s="2532"/>
      <c r="BT66" s="2532"/>
      <c r="BU66" s="2532"/>
    </row>
    <row r="67" hidden="1" spans="1:73">
      <c r="A67" s="2515" t="s">
        <v>1565</v>
      </c>
      <c r="B67" s="2515" t="s">
        <v>1566</v>
      </c>
      <c r="C67" s="2683" t="s">
        <v>1567</v>
      </c>
      <c r="D67" s="2515" t="s">
        <v>1568</v>
      </c>
      <c r="E67" s="2515" t="s">
        <v>1060</v>
      </c>
      <c r="F67" s="2515" t="s">
        <v>1569</v>
      </c>
      <c r="G67" s="2515"/>
      <c r="H67" s="2515" t="s">
        <v>1296</v>
      </c>
      <c r="I67" s="2515" t="s">
        <v>1570</v>
      </c>
      <c r="J67" s="2515" t="s">
        <v>1571</v>
      </c>
      <c r="K67" s="2515" t="s">
        <v>1566</v>
      </c>
      <c r="L67" s="2701">
        <v>66.3</v>
      </c>
      <c r="M67" s="2515">
        <v>11</v>
      </c>
      <c r="N67" s="2514" t="s">
        <v>1111</v>
      </c>
      <c r="O67" s="2515"/>
      <c r="P67" s="2515" t="s">
        <v>1065</v>
      </c>
      <c r="Q67" s="2556">
        <v>480000</v>
      </c>
      <c r="R67" s="2514">
        <v>7240</v>
      </c>
      <c r="S67" s="2564">
        <v>40.61</v>
      </c>
      <c r="T67" s="2561">
        <v>406100</v>
      </c>
      <c r="U67" s="2515">
        <v>6126</v>
      </c>
      <c r="V67" s="2566">
        <v>0.05</v>
      </c>
      <c r="W67" s="2559">
        <v>38.57</v>
      </c>
      <c r="X67" s="2561">
        <v>385700</v>
      </c>
      <c r="Y67" s="2515">
        <v>2004</v>
      </c>
      <c r="Z67" s="2515">
        <v>12</v>
      </c>
      <c r="AA67" s="2515">
        <v>3</v>
      </c>
      <c r="AB67" s="2592">
        <v>1215</v>
      </c>
      <c r="AC67" s="2515" t="s">
        <v>1066</v>
      </c>
      <c r="AD67" s="2515"/>
      <c r="AE67" s="2515" t="s">
        <v>1067</v>
      </c>
      <c r="AF67" s="2515" t="s">
        <v>1068</v>
      </c>
      <c r="AG67" s="2515" t="s">
        <v>1069</v>
      </c>
      <c r="AH67" s="2515"/>
      <c r="AI67" s="2515" t="s">
        <v>1070</v>
      </c>
      <c r="AJ67" s="2617"/>
      <c r="AK67" s="2514" t="s">
        <v>1563</v>
      </c>
      <c r="AL67" s="2515">
        <v>82253558</v>
      </c>
      <c r="AM67" s="2515"/>
      <c r="AN67" s="2594" t="s">
        <v>1087</v>
      </c>
      <c r="AO67" s="2515"/>
      <c r="AP67" s="2591" t="s">
        <v>1073</v>
      </c>
      <c r="AQ67" s="2591" t="s">
        <v>1089</v>
      </c>
      <c r="AR67" s="2515"/>
      <c r="AS67" s="2515"/>
      <c r="AT67" s="2515"/>
      <c r="AU67" s="2515"/>
      <c r="AV67" s="2515"/>
      <c r="AW67" s="2515"/>
      <c r="AX67" s="2515"/>
      <c r="AY67" s="2525"/>
      <c r="AZ67" s="2515"/>
      <c r="BA67" s="2515"/>
      <c r="BB67" s="2515"/>
      <c r="BC67" s="2515"/>
      <c r="BD67" s="2515"/>
      <c r="BE67" s="2515"/>
      <c r="BF67" s="2515"/>
      <c r="BG67" s="2617">
        <v>38314</v>
      </c>
      <c r="BH67" s="2515"/>
      <c r="BI67" s="2514" t="s">
        <v>1067</v>
      </c>
      <c r="BJ67" s="2617">
        <v>38316</v>
      </c>
      <c r="BK67" s="2617"/>
      <c r="BL67" s="2515"/>
      <c r="BM67" s="2515" t="s">
        <v>888</v>
      </c>
      <c r="BN67" s="2515" t="s">
        <v>1077</v>
      </c>
      <c r="BO67" s="2591" t="s">
        <v>1572</v>
      </c>
      <c r="BP67" s="2515"/>
      <c r="BQ67" s="2591"/>
      <c r="BR67" s="2591"/>
      <c r="BS67" s="2532"/>
      <c r="BT67" s="2532"/>
      <c r="BU67" s="2532"/>
    </row>
    <row r="68" hidden="1" spans="1:73">
      <c r="A68" s="2517" t="s">
        <v>1573</v>
      </c>
      <c r="B68" s="2515" t="s">
        <v>1574</v>
      </c>
      <c r="C68" s="2518" t="s">
        <v>1575</v>
      </c>
      <c r="D68" s="2515">
        <v>13911012200</v>
      </c>
      <c r="E68" s="2515" t="s">
        <v>1060</v>
      </c>
      <c r="F68" s="2515" t="s">
        <v>1576</v>
      </c>
      <c r="G68" s="2515"/>
      <c r="H68" s="2515" t="s">
        <v>1305</v>
      </c>
      <c r="I68" s="2515" t="s">
        <v>1577</v>
      </c>
      <c r="J68" s="2515" t="s">
        <v>1268</v>
      </c>
      <c r="K68" s="2515" t="s">
        <v>1574</v>
      </c>
      <c r="L68" s="2542">
        <v>150.88</v>
      </c>
      <c r="M68" s="2516">
        <v>5</v>
      </c>
      <c r="N68" s="2543" t="s">
        <v>1578</v>
      </c>
      <c r="O68" s="2516">
        <v>134.36</v>
      </c>
      <c r="P68" s="2515" t="s">
        <v>1065</v>
      </c>
      <c r="Q68" s="2556">
        <v>700000</v>
      </c>
      <c r="R68" s="2514">
        <v>4639</v>
      </c>
      <c r="S68" s="2564">
        <v>70.29</v>
      </c>
      <c r="T68" s="2561">
        <v>702900</v>
      </c>
      <c r="U68" s="2556">
        <v>4659</v>
      </c>
      <c r="V68" s="2558">
        <v>0.05</v>
      </c>
      <c r="W68" s="2559">
        <v>66.77</v>
      </c>
      <c r="X68" s="2582">
        <v>667700</v>
      </c>
      <c r="Y68" s="2591">
        <v>2004</v>
      </c>
      <c r="Z68" s="2514">
        <v>12</v>
      </c>
      <c r="AA68" s="2591">
        <v>2</v>
      </c>
      <c r="AB68" s="2514">
        <v>1500</v>
      </c>
      <c r="AC68" s="2514" t="s">
        <v>1066</v>
      </c>
      <c r="AD68" s="2515"/>
      <c r="AE68" s="2515" t="s">
        <v>179</v>
      </c>
      <c r="AF68" s="2515" t="s">
        <v>1068</v>
      </c>
      <c r="AG68" s="2515" t="s">
        <v>1069</v>
      </c>
      <c r="AH68" s="2515"/>
      <c r="AI68" s="2515" t="s">
        <v>1070</v>
      </c>
      <c r="AJ68" s="2605"/>
      <c r="AK68" s="2599" t="s">
        <v>1563</v>
      </c>
      <c r="AL68" s="2591">
        <v>67641700</v>
      </c>
      <c r="AM68" s="2591"/>
      <c r="AN68" s="2608" t="s">
        <v>1087</v>
      </c>
      <c r="AO68" s="2591"/>
      <c r="AP68" s="2514" t="s">
        <v>1515</v>
      </c>
      <c r="AQ68" s="2514" t="s">
        <v>1074</v>
      </c>
      <c r="AR68" s="2514"/>
      <c r="AS68" s="2514"/>
      <c r="AT68" s="2514"/>
      <c r="AU68" s="2514"/>
      <c r="AV68" s="2621"/>
      <c r="AW68" s="2515" t="s">
        <v>1090</v>
      </c>
      <c r="AX68" s="2515"/>
      <c r="AY68" s="2515"/>
      <c r="AZ68" s="2515"/>
      <c r="BA68" s="2515"/>
      <c r="BB68" s="2525"/>
      <c r="BC68" s="2515"/>
      <c r="BD68" s="2515"/>
      <c r="BE68" s="2515"/>
      <c r="BF68" s="2651"/>
      <c r="BG68" s="2617">
        <v>38280</v>
      </c>
      <c r="BH68" s="2515"/>
      <c r="BI68" s="2514" t="s">
        <v>1579</v>
      </c>
      <c r="BJ68" s="2650">
        <v>38317</v>
      </c>
      <c r="BK68" s="2650"/>
      <c r="BL68" s="2591" t="s">
        <v>1092</v>
      </c>
      <c r="BM68" s="2514" t="s">
        <v>888</v>
      </c>
      <c r="BN68" s="2591" t="s">
        <v>1077</v>
      </c>
      <c r="BO68" s="2514" t="s">
        <v>1128</v>
      </c>
      <c r="BP68" s="2591"/>
      <c r="BQ68" s="2591">
        <v>5232</v>
      </c>
      <c r="BR68" s="2591">
        <v>5210</v>
      </c>
      <c r="BS68" s="2678"/>
      <c r="BT68" s="2678"/>
      <c r="BU68" s="2678"/>
    </row>
    <row r="69" hidden="1" spans="1:73">
      <c r="A69" s="2514" t="s">
        <v>1580</v>
      </c>
      <c r="B69" s="2514" t="s">
        <v>1581</v>
      </c>
      <c r="C69" s="2518" t="s">
        <v>1582</v>
      </c>
      <c r="D69" s="2518" t="s">
        <v>1583</v>
      </c>
      <c r="E69" s="2514" t="s">
        <v>1060</v>
      </c>
      <c r="F69" s="2521" t="s">
        <v>1584</v>
      </c>
      <c r="G69" s="2514"/>
      <c r="H69" s="2514" t="s">
        <v>1239</v>
      </c>
      <c r="I69" s="2514" t="s">
        <v>1585</v>
      </c>
      <c r="J69" s="2518" t="s">
        <v>1586</v>
      </c>
      <c r="K69" s="2514" t="s">
        <v>1581</v>
      </c>
      <c r="L69" s="2514">
        <v>139.88</v>
      </c>
      <c r="M69" s="2514">
        <v>4</v>
      </c>
      <c r="N69" s="2514" t="s">
        <v>1299</v>
      </c>
      <c r="O69" s="2514">
        <v>125.45</v>
      </c>
      <c r="P69" s="2514" t="s">
        <v>1065</v>
      </c>
      <c r="Q69" s="2565">
        <v>968000</v>
      </c>
      <c r="R69" s="2514">
        <v>6920</v>
      </c>
      <c r="S69" s="2564">
        <v>84.36</v>
      </c>
      <c r="T69" s="2561">
        <v>843600</v>
      </c>
      <c r="U69" s="2514">
        <v>6031</v>
      </c>
      <c r="V69" s="2558">
        <v>0.05</v>
      </c>
      <c r="W69" s="2559">
        <v>80.14</v>
      </c>
      <c r="X69" s="2562">
        <v>801400</v>
      </c>
      <c r="Y69" s="2591">
        <v>2004</v>
      </c>
      <c r="Z69" s="2591">
        <v>12</v>
      </c>
      <c r="AA69" s="2591">
        <v>22</v>
      </c>
      <c r="AB69" s="2514">
        <v>1500</v>
      </c>
      <c r="AC69" s="2514" t="s">
        <v>1066</v>
      </c>
      <c r="AD69" s="2517"/>
      <c r="AE69" s="2591" t="s">
        <v>1342</v>
      </c>
      <c r="AF69" s="2514" t="s">
        <v>1068</v>
      </c>
      <c r="AG69" s="2514" t="s">
        <v>1069</v>
      </c>
      <c r="AH69" s="2517"/>
      <c r="AI69" s="2514" t="s">
        <v>175</v>
      </c>
      <c r="AJ69" s="2602"/>
      <c r="AK69" s="2599" t="s">
        <v>1563</v>
      </c>
      <c r="AL69" s="2591">
        <v>82253558</v>
      </c>
      <c r="AM69" s="2591"/>
      <c r="AN69" s="2591"/>
      <c r="AO69" s="2591"/>
      <c r="AP69" s="2591" t="s">
        <v>1300</v>
      </c>
      <c r="AQ69" s="2591" t="s">
        <v>1074</v>
      </c>
      <c r="AR69" s="2591"/>
      <c r="AS69" s="2591"/>
      <c r="AT69" s="2591"/>
      <c r="AU69" s="2591"/>
      <c r="AV69" s="2591"/>
      <c r="AW69" s="2514" t="s">
        <v>1075</v>
      </c>
      <c r="AX69" s="2591"/>
      <c r="AY69" s="2631"/>
      <c r="AZ69" s="2591"/>
      <c r="BA69" s="2591"/>
      <c r="BB69" s="2631"/>
      <c r="BC69" s="2591"/>
      <c r="BD69" s="2632"/>
      <c r="BE69" s="2591"/>
      <c r="BF69" s="2651"/>
      <c r="BG69" s="2656">
        <v>38334</v>
      </c>
      <c r="BH69" s="2591"/>
      <c r="BI69" s="2591" t="s">
        <v>1342</v>
      </c>
      <c r="BJ69" s="2653">
        <v>38337</v>
      </c>
      <c r="BK69" s="2653"/>
      <c r="BL69" s="2514" t="s">
        <v>1092</v>
      </c>
      <c r="BM69" s="2591" t="s">
        <v>888</v>
      </c>
      <c r="BN69" s="2591" t="s">
        <v>1077</v>
      </c>
      <c r="BO69" s="2591" t="s">
        <v>1128</v>
      </c>
      <c r="BP69" s="2591"/>
      <c r="BQ69" s="2591">
        <v>6725</v>
      </c>
      <c r="BR69" s="2591">
        <v>7716</v>
      </c>
      <c r="BS69" s="2678"/>
      <c r="BT69" s="2678"/>
      <c r="BU69" s="2678"/>
    </row>
    <row r="70" s="2504" customFormat="1" ht="12" hidden="1" spans="1:70">
      <c r="A70" s="2684" t="s">
        <v>1587</v>
      </c>
      <c r="B70" s="2685" t="s">
        <v>1588</v>
      </c>
      <c r="C70" s="2686" t="s">
        <v>1589</v>
      </c>
      <c r="D70" s="2686" t="s">
        <v>1590</v>
      </c>
      <c r="E70" s="2685" t="s">
        <v>1060</v>
      </c>
      <c r="F70" s="2687" t="s">
        <v>1475</v>
      </c>
      <c r="G70" s="2685"/>
      <c r="H70" s="2685" t="s">
        <v>1180</v>
      </c>
      <c r="I70" s="2685" t="s">
        <v>1591</v>
      </c>
      <c r="J70" s="2686" t="s">
        <v>1586</v>
      </c>
      <c r="K70" s="2685" t="s">
        <v>1592</v>
      </c>
      <c r="L70" s="2685">
        <v>75.38</v>
      </c>
      <c r="M70" s="2685">
        <v>4</v>
      </c>
      <c r="N70" s="2685" t="s">
        <v>1064</v>
      </c>
      <c r="O70" s="2685"/>
      <c r="P70" s="2685" t="s">
        <v>1065</v>
      </c>
      <c r="Q70" s="2716">
        <v>505000</v>
      </c>
      <c r="R70" s="2685">
        <v>6699</v>
      </c>
      <c r="S70" s="2717">
        <v>45.27</v>
      </c>
      <c r="T70" s="2718">
        <v>452700</v>
      </c>
      <c r="U70" s="2685">
        <v>6006</v>
      </c>
      <c r="V70" s="2719">
        <v>0.05</v>
      </c>
      <c r="W70" s="2717">
        <v>43</v>
      </c>
      <c r="X70" s="2720">
        <v>430000</v>
      </c>
      <c r="Y70" s="2744">
        <v>2004</v>
      </c>
      <c r="Z70" s="2744">
        <v>12</v>
      </c>
      <c r="AA70" s="2744">
        <v>30</v>
      </c>
      <c r="AB70" s="2685">
        <v>1355</v>
      </c>
      <c r="AC70" s="2685" t="s">
        <v>1066</v>
      </c>
      <c r="AD70" s="2685"/>
      <c r="AE70" s="2685" t="s">
        <v>1067</v>
      </c>
      <c r="AF70" s="2685" t="s">
        <v>1068</v>
      </c>
      <c r="AG70" s="2685" t="s">
        <v>1069</v>
      </c>
      <c r="AH70" s="2685"/>
      <c r="AI70" s="2685" t="s">
        <v>1070</v>
      </c>
      <c r="AJ70" s="2751"/>
      <c r="AK70" s="2752" t="s">
        <v>1563</v>
      </c>
      <c r="AL70" s="2744">
        <v>82253558</v>
      </c>
      <c r="AM70" s="2744"/>
      <c r="AN70" s="2744"/>
      <c r="AO70" s="2744"/>
      <c r="AP70" s="2688" t="s">
        <v>1515</v>
      </c>
      <c r="AQ70" s="2685" t="s">
        <v>1074</v>
      </c>
      <c r="AR70" s="2744"/>
      <c r="AS70" s="2744"/>
      <c r="AT70" s="2744"/>
      <c r="AU70" s="2744"/>
      <c r="AV70" s="2744"/>
      <c r="AW70" s="2744"/>
      <c r="AX70" s="2744"/>
      <c r="AY70" s="2767"/>
      <c r="AZ70" s="2744"/>
      <c r="BA70" s="2744"/>
      <c r="BB70" s="2767"/>
      <c r="BC70" s="2744"/>
      <c r="BD70" s="2768"/>
      <c r="BE70" s="2744"/>
      <c r="BF70" s="2784"/>
      <c r="BG70" s="2785">
        <v>38343</v>
      </c>
      <c r="BH70" s="2744"/>
      <c r="BI70" s="2786" t="s">
        <v>1067</v>
      </c>
      <c r="BJ70" s="2787">
        <v>38345</v>
      </c>
      <c r="BK70" s="2787"/>
      <c r="BL70" s="2685"/>
      <c r="BM70" s="2744" t="s">
        <v>888</v>
      </c>
      <c r="BN70" s="2744" t="s">
        <v>1077</v>
      </c>
      <c r="BO70" s="2744" t="s">
        <v>1128</v>
      </c>
      <c r="BP70" s="2744"/>
      <c r="BQ70" s="2744" t="e">
        <v>#DIV/0!</v>
      </c>
      <c r="BR70" s="2744" t="e">
        <v>#DIV/0!</v>
      </c>
    </row>
    <row r="71" s="2504" customFormat="1" ht="12" hidden="1" spans="1:70">
      <c r="A71" s="2688" t="s">
        <v>1593</v>
      </c>
      <c r="B71" s="2688" t="s">
        <v>1594</v>
      </c>
      <c r="C71" s="2689" t="s">
        <v>1595</v>
      </c>
      <c r="D71" s="2689" t="s">
        <v>1596</v>
      </c>
      <c r="E71" s="2688" t="s">
        <v>1060</v>
      </c>
      <c r="F71" s="2690" t="s">
        <v>1205</v>
      </c>
      <c r="G71" s="2688"/>
      <c r="H71" s="2688" t="s">
        <v>1221</v>
      </c>
      <c r="I71" s="2688"/>
      <c r="J71" s="2689" t="s">
        <v>1527</v>
      </c>
      <c r="K71" s="2688" t="s">
        <v>1597</v>
      </c>
      <c r="L71" s="2688">
        <v>77.56</v>
      </c>
      <c r="M71" s="2688">
        <v>2</v>
      </c>
      <c r="N71" s="2684" t="s">
        <v>1064</v>
      </c>
      <c r="O71" s="2688"/>
      <c r="P71" s="2685" t="s">
        <v>1065</v>
      </c>
      <c r="Q71" s="2712">
        <v>542920</v>
      </c>
      <c r="R71" s="2721">
        <v>7000</v>
      </c>
      <c r="S71" s="2722">
        <v>48.71</v>
      </c>
      <c r="T71" s="2723">
        <v>487100</v>
      </c>
      <c r="U71" s="2688">
        <v>6281</v>
      </c>
      <c r="V71" s="2724">
        <v>0.05</v>
      </c>
      <c r="W71" s="2722">
        <v>46.27</v>
      </c>
      <c r="X71" s="2725">
        <v>462700</v>
      </c>
      <c r="Y71" s="2745">
        <v>2005</v>
      </c>
      <c r="Z71" s="2745">
        <v>1</v>
      </c>
      <c r="AA71" s="2745">
        <v>11</v>
      </c>
      <c r="AB71" s="2721">
        <v>1460</v>
      </c>
      <c r="AC71" s="2685" t="s">
        <v>1066</v>
      </c>
      <c r="AD71" s="2688"/>
      <c r="AE71" s="2744" t="s">
        <v>1067</v>
      </c>
      <c r="AF71" s="2685" t="s">
        <v>1068</v>
      </c>
      <c r="AG71" s="2685" t="s">
        <v>1069</v>
      </c>
      <c r="AH71" s="2688"/>
      <c r="AI71" s="2685" t="s">
        <v>1070</v>
      </c>
      <c r="AJ71" s="2753"/>
      <c r="AK71" s="2754" t="s">
        <v>1088</v>
      </c>
      <c r="AL71" s="2744">
        <v>82253558</v>
      </c>
      <c r="AM71" s="2745"/>
      <c r="AN71" s="2745"/>
      <c r="AO71" s="2745"/>
      <c r="AP71" s="2685" t="s">
        <v>1073</v>
      </c>
      <c r="AQ71" s="2744" t="s">
        <v>1074</v>
      </c>
      <c r="AR71" s="2745"/>
      <c r="AS71" s="2745"/>
      <c r="AT71" s="2745"/>
      <c r="AU71" s="2745"/>
      <c r="AV71" s="2745"/>
      <c r="AW71" s="2745"/>
      <c r="AX71" s="2745"/>
      <c r="AY71" s="2769"/>
      <c r="AZ71" s="2745" t="s">
        <v>1598</v>
      </c>
      <c r="BA71" s="2745"/>
      <c r="BB71" s="2769"/>
      <c r="BC71" s="2745"/>
      <c r="BD71" s="2770"/>
      <c r="BE71" s="2745"/>
      <c r="BF71" s="2788"/>
      <c r="BG71" s="2785">
        <v>38349</v>
      </c>
      <c r="BH71" s="2745"/>
      <c r="BI71" s="2744" t="s">
        <v>1067</v>
      </c>
      <c r="BJ71" s="2787">
        <v>38357</v>
      </c>
      <c r="BK71" s="2789"/>
      <c r="BL71" s="2685" t="s">
        <v>1092</v>
      </c>
      <c r="BM71" s="2745"/>
      <c r="BN71" s="2745"/>
      <c r="BO71" s="2745"/>
      <c r="BP71" s="2745"/>
      <c r="BQ71" s="2745" t="e">
        <v>#DIV/0!</v>
      </c>
      <c r="BR71" s="2745" t="e">
        <v>#DIV/0!</v>
      </c>
    </row>
    <row r="72" s="2505" customFormat="1" ht="12" hidden="1" spans="1:73">
      <c r="A72" s="2688" t="s">
        <v>1599</v>
      </c>
      <c r="B72" s="2688" t="s">
        <v>1600</v>
      </c>
      <c r="C72" s="2689" t="s">
        <v>1601</v>
      </c>
      <c r="D72" s="2689" t="s">
        <v>1602</v>
      </c>
      <c r="E72" s="2688" t="s">
        <v>1060</v>
      </c>
      <c r="F72" s="2690" t="s">
        <v>1603</v>
      </c>
      <c r="G72" s="2688"/>
      <c r="H72" s="2688"/>
      <c r="I72" s="2688" t="s">
        <v>1143</v>
      </c>
      <c r="J72" s="2689" t="s">
        <v>1604</v>
      </c>
      <c r="K72" s="2688" t="s">
        <v>1600</v>
      </c>
      <c r="L72" s="2688">
        <v>53.7</v>
      </c>
      <c r="M72" s="2688">
        <v>6</v>
      </c>
      <c r="N72" s="2688" t="s">
        <v>1111</v>
      </c>
      <c r="O72" s="2688"/>
      <c r="P72" s="2688" t="s">
        <v>1065</v>
      </c>
      <c r="Q72" s="2712">
        <v>370000</v>
      </c>
      <c r="R72" s="2688">
        <v>6890</v>
      </c>
      <c r="S72" s="2722">
        <v>31.41</v>
      </c>
      <c r="T72" s="2723">
        <v>314100</v>
      </c>
      <c r="U72" s="2688">
        <v>5850</v>
      </c>
      <c r="V72" s="2724">
        <v>0.05</v>
      </c>
      <c r="W72" s="2722">
        <v>29.83</v>
      </c>
      <c r="X72" s="2725">
        <v>298300</v>
      </c>
      <c r="Y72" s="2745">
        <v>2005</v>
      </c>
      <c r="Z72" s="2688">
        <v>11</v>
      </c>
      <c r="AA72" s="2745">
        <v>3</v>
      </c>
      <c r="AB72" s="2688">
        <v>940</v>
      </c>
      <c r="AC72" s="2688" t="s">
        <v>1605</v>
      </c>
      <c r="AD72" s="2688"/>
      <c r="AE72" s="2688" t="s">
        <v>1067</v>
      </c>
      <c r="AF72" s="2688" t="s">
        <v>1068</v>
      </c>
      <c r="AG72" s="2688" t="s">
        <v>1069</v>
      </c>
      <c r="AH72" s="2688"/>
      <c r="AI72" s="2688" t="s">
        <v>1342</v>
      </c>
      <c r="AJ72" s="2753"/>
      <c r="AK72" s="2688" t="s">
        <v>1136</v>
      </c>
      <c r="AL72" s="2688">
        <v>82253559</v>
      </c>
      <c r="AM72" s="2745"/>
      <c r="AN72" s="2689" t="s">
        <v>1087</v>
      </c>
      <c r="AO72" s="2745" t="s">
        <v>1606</v>
      </c>
      <c r="AP72" s="2688" t="s">
        <v>1208</v>
      </c>
      <c r="AQ72" s="2688" t="s">
        <v>1607</v>
      </c>
      <c r="AR72" s="2745"/>
      <c r="AS72" s="2745"/>
      <c r="AT72" s="2745"/>
      <c r="AU72" s="2745"/>
      <c r="AV72" s="2745"/>
      <c r="AW72" s="2745" t="s">
        <v>1090</v>
      </c>
      <c r="AX72" s="2745"/>
      <c r="AY72" s="2769"/>
      <c r="AZ72" s="2745" t="s">
        <v>1608</v>
      </c>
      <c r="BA72" s="2745"/>
      <c r="BB72" s="2769"/>
      <c r="BC72" s="2745"/>
      <c r="BD72" s="2770"/>
      <c r="BE72" s="2745"/>
      <c r="BF72" s="2788"/>
      <c r="BG72" s="2790">
        <v>38619</v>
      </c>
      <c r="BH72" s="2745"/>
      <c r="BI72" s="2688" t="s">
        <v>1609</v>
      </c>
      <c r="BJ72" s="2789">
        <v>38638</v>
      </c>
      <c r="BK72" s="2789"/>
      <c r="BL72" s="2745" t="s">
        <v>1174</v>
      </c>
      <c r="BM72" s="2745" t="s">
        <v>888</v>
      </c>
      <c r="BN72" s="2745" t="s">
        <v>1148</v>
      </c>
      <c r="BO72" s="2745" t="s">
        <v>1128</v>
      </c>
      <c r="BP72" s="2745"/>
      <c r="BQ72" s="2745" t="e">
        <v>#DIV/0!</v>
      </c>
      <c r="BR72" s="2745" t="e">
        <v>#DIV/0!</v>
      </c>
      <c r="BS72" s="2504"/>
      <c r="BT72" s="2504"/>
      <c r="BU72" s="2504"/>
    </row>
    <row r="73" s="2504" customFormat="1" ht="12" hidden="1" spans="1:70">
      <c r="A73" s="2688" t="s">
        <v>1610</v>
      </c>
      <c r="B73" s="2688" t="s">
        <v>1611</v>
      </c>
      <c r="C73" s="2689" t="s">
        <v>1612</v>
      </c>
      <c r="D73" s="2689" t="s">
        <v>1613</v>
      </c>
      <c r="E73" s="2688" t="s">
        <v>1060</v>
      </c>
      <c r="F73" s="2688" t="s">
        <v>1614</v>
      </c>
      <c r="G73" s="2688"/>
      <c r="H73" s="2688" t="s">
        <v>1239</v>
      </c>
      <c r="I73" s="2688"/>
      <c r="J73" s="2689" t="s">
        <v>1615</v>
      </c>
      <c r="K73" s="2688" t="s">
        <v>1611</v>
      </c>
      <c r="L73" s="2702">
        <v>91.99</v>
      </c>
      <c r="M73" s="2688">
        <v>8</v>
      </c>
      <c r="N73" s="2688" t="s">
        <v>1064</v>
      </c>
      <c r="O73" s="2688"/>
      <c r="P73" s="2688" t="s">
        <v>1065</v>
      </c>
      <c r="Q73" s="2726">
        <v>700000</v>
      </c>
      <c r="R73" s="2688">
        <v>7610</v>
      </c>
      <c r="S73" s="2722">
        <v>60.24</v>
      </c>
      <c r="T73" s="2723">
        <v>602400</v>
      </c>
      <c r="U73" s="2688">
        <v>6549</v>
      </c>
      <c r="V73" s="2724">
        <v>0.2</v>
      </c>
      <c r="W73" s="2722">
        <v>48.19</v>
      </c>
      <c r="X73" s="2725">
        <v>481900</v>
      </c>
      <c r="Y73" s="2745">
        <v>2005</v>
      </c>
      <c r="Z73" s="2745">
        <v>4</v>
      </c>
      <c r="AA73" s="2745">
        <v>29</v>
      </c>
      <c r="AB73" s="2688">
        <v>1500</v>
      </c>
      <c r="AC73" s="2688" t="s">
        <v>1112</v>
      </c>
      <c r="AD73" s="2688"/>
      <c r="AE73" s="2745" t="s">
        <v>1067</v>
      </c>
      <c r="AF73" s="2688" t="s">
        <v>1068</v>
      </c>
      <c r="AG73" s="2688" t="s">
        <v>1069</v>
      </c>
      <c r="AH73" s="2688"/>
      <c r="AI73" s="2721" t="s">
        <v>175</v>
      </c>
      <c r="AJ73" s="2753"/>
      <c r="AK73" s="2755" t="s">
        <v>1182</v>
      </c>
      <c r="AL73" s="2745">
        <v>82253558</v>
      </c>
      <c r="AM73" s="2745"/>
      <c r="AN73" s="2745" t="s">
        <v>1182</v>
      </c>
      <c r="AO73" s="2745"/>
      <c r="AP73" s="2745" t="s">
        <v>1208</v>
      </c>
      <c r="AQ73" s="2688" t="s">
        <v>1074</v>
      </c>
      <c r="AR73" s="2745"/>
      <c r="AS73" s="2745"/>
      <c r="AT73" s="2745"/>
      <c r="AU73" s="2745"/>
      <c r="AV73" s="2745"/>
      <c r="AW73" s="2745" t="s">
        <v>1343</v>
      </c>
      <c r="AX73" s="2745"/>
      <c r="AY73" s="2769"/>
      <c r="AZ73" s="2745" t="s">
        <v>1616</v>
      </c>
      <c r="BA73" s="2745"/>
      <c r="BB73" s="2769"/>
      <c r="BC73" s="2745"/>
      <c r="BD73" s="2770"/>
      <c r="BE73" s="2745"/>
      <c r="BF73" s="2788"/>
      <c r="BG73" s="2790">
        <v>38460</v>
      </c>
      <c r="BH73" s="2745"/>
      <c r="BI73" s="2748" t="s">
        <v>1208</v>
      </c>
      <c r="BJ73" s="2789"/>
      <c r="BK73" s="2789"/>
      <c r="BL73" s="2688" t="s">
        <v>1174</v>
      </c>
      <c r="BM73" s="2745" t="s">
        <v>888</v>
      </c>
      <c r="BN73" s="2745" t="s">
        <v>1148</v>
      </c>
      <c r="BO73" s="2745" t="s">
        <v>1128</v>
      </c>
      <c r="BP73" s="2745"/>
      <c r="BQ73" s="2745"/>
      <c r="BR73" s="2745"/>
    </row>
    <row r="74" s="2506" customFormat="1" ht="12" hidden="1" spans="1:73">
      <c r="A74" s="2685" t="s">
        <v>1617</v>
      </c>
      <c r="B74" s="2685" t="s">
        <v>1618</v>
      </c>
      <c r="C74" s="2686" t="s">
        <v>1619</v>
      </c>
      <c r="D74" s="2686" t="s">
        <v>1620</v>
      </c>
      <c r="E74" s="2685" t="s">
        <v>1060</v>
      </c>
      <c r="F74" s="2687" t="s">
        <v>1621</v>
      </c>
      <c r="G74" s="2685"/>
      <c r="H74" s="2685" t="s">
        <v>1622</v>
      </c>
      <c r="I74" s="2685"/>
      <c r="J74" s="2686" t="s">
        <v>1623</v>
      </c>
      <c r="K74" s="2685" t="s">
        <v>1624</v>
      </c>
      <c r="L74" s="2703">
        <v>78.7</v>
      </c>
      <c r="M74" s="2685">
        <v>4</v>
      </c>
      <c r="N74" s="2685" t="s">
        <v>1064</v>
      </c>
      <c r="O74" s="2685">
        <v>53.76</v>
      </c>
      <c r="P74" s="2685" t="s">
        <v>1065</v>
      </c>
      <c r="Q74" s="2716">
        <v>540000</v>
      </c>
      <c r="R74" s="2685">
        <v>6861</v>
      </c>
      <c r="S74" s="2717">
        <v>49.04</v>
      </c>
      <c r="T74" s="2718">
        <v>490400</v>
      </c>
      <c r="U74" s="2685">
        <v>6232</v>
      </c>
      <c r="V74" s="2719">
        <v>0.2</v>
      </c>
      <c r="W74" s="2717">
        <v>39.23</v>
      </c>
      <c r="X74" s="2720">
        <v>392300</v>
      </c>
      <c r="Y74" s="2744">
        <v>2005</v>
      </c>
      <c r="Z74" s="2744">
        <v>6</v>
      </c>
      <c r="AA74" s="2744">
        <v>1</v>
      </c>
      <c r="AB74" s="2685">
        <v>1470</v>
      </c>
      <c r="AC74" s="2685" t="s">
        <v>1112</v>
      </c>
      <c r="AD74" s="2685"/>
      <c r="AE74" s="2744" t="s">
        <v>1067</v>
      </c>
      <c r="AF74" s="2685" t="s">
        <v>1068</v>
      </c>
      <c r="AG74" s="2685" t="s">
        <v>1069</v>
      </c>
      <c r="AH74" s="2685"/>
      <c r="AI74" s="2685" t="s">
        <v>175</v>
      </c>
      <c r="AJ74" s="2751"/>
      <c r="AK74" s="2756" t="s">
        <v>1261</v>
      </c>
      <c r="AL74" s="2744">
        <v>82253558</v>
      </c>
      <c r="AM74" s="2744"/>
      <c r="AN74" s="2744"/>
      <c r="AO74" s="2744"/>
      <c r="AP74" s="2685" t="s">
        <v>1067</v>
      </c>
      <c r="AQ74" s="2685" t="s">
        <v>1074</v>
      </c>
      <c r="AR74" s="2744"/>
      <c r="AS74" s="2744"/>
      <c r="AT74" s="2744"/>
      <c r="AU74" s="2744"/>
      <c r="AV74" s="2744"/>
      <c r="AW74" s="2744"/>
      <c r="AX74" s="2744"/>
      <c r="AY74" s="2767"/>
      <c r="AZ74" s="2744" t="s">
        <v>1624</v>
      </c>
      <c r="BA74" s="2744"/>
      <c r="BB74" s="2767"/>
      <c r="BC74" s="2744"/>
      <c r="BD74" s="2768"/>
      <c r="BE74" s="2744"/>
      <c r="BF74" s="2784"/>
      <c r="BG74" s="2785">
        <v>38500</v>
      </c>
      <c r="BH74" s="2744"/>
      <c r="BI74" s="2744" t="s">
        <v>1067</v>
      </c>
      <c r="BJ74" s="2787"/>
      <c r="BK74" s="2787"/>
      <c r="BL74" s="2685"/>
      <c r="BM74" s="2744" t="s">
        <v>888</v>
      </c>
      <c r="BN74" s="2744" t="s">
        <v>1077</v>
      </c>
      <c r="BO74" s="2744" t="s">
        <v>1344</v>
      </c>
      <c r="BP74" s="2744" t="s">
        <v>1625</v>
      </c>
      <c r="BQ74" s="2744">
        <v>9123</v>
      </c>
      <c r="BR74" s="2744">
        <v>10045</v>
      </c>
      <c r="BS74" s="2504"/>
      <c r="BT74" s="2504"/>
      <c r="BU74" s="2504"/>
    </row>
    <row r="75" s="2505" customFormat="1" ht="12" hidden="1" spans="1:73">
      <c r="A75" s="2691" t="s">
        <v>1626</v>
      </c>
      <c r="B75" s="2688" t="s">
        <v>1627</v>
      </c>
      <c r="C75" s="2689" t="s">
        <v>1628</v>
      </c>
      <c r="D75" s="2689" t="s">
        <v>1629</v>
      </c>
      <c r="E75" s="2688" t="s">
        <v>1060</v>
      </c>
      <c r="F75" s="2688" t="s">
        <v>1630</v>
      </c>
      <c r="G75" s="2688"/>
      <c r="H75" s="2688" t="s">
        <v>1248</v>
      </c>
      <c r="I75" s="2688" t="s">
        <v>1631</v>
      </c>
      <c r="J75" s="2688">
        <v>106</v>
      </c>
      <c r="K75" s="2688" t="s">
        <v>1627</v>
      </c>
      <c r="L75" s="2702">
        <v>104.7</v>
      </c>
      <c r="M75" s="2688">
        <v>3</v>
      </c>
      <c r="N75" s="2688" t="s">
        <v>1290</v>
      </c>
      <c r="O75" s="2688"/>
      <c r="P75" s="2688" t="s">
        <v>1065</v>
      </c>
      <c r="Q75" s="2712">
        <v>540000</v>
      </c>
      <c r="R75" s="2688">
        <v>5158</v>
      </c>
      <c r="S75" s="2722">
        <v>52.03</v>
      </c>
      <c r="T75" s="2723">
        <v>520300</v>
      </c>
      <c r="U75" s="2688">
        <v>4970</v>
      </c>
      <c r="V75" s="2724">
        <v>0.05</v>
      </c>
      <c r="W75" s="2722">
        <v>49.42</v>
      </c>
      <c r="X75" s="2725">
        <v>494200</v>
      </c>
      <c r="Y75" s="2745">
        <v>2005</v>
      </c>
      <c r="Z75" s="2688">
        <v>8</v>
      </c>
      <c r="AA75" s="2688">
        <v>29</v>
      </c>
      <c r="AB75" s="2688">
        <v>1500</v>
      </c>
      <c r="AC75" s="2688" t="s">
        <v>1605</v>
      </c>
      <c r="AD75" s="2688"/>
      <c r="AE75" s="2745" t="s">
        <v>175</v>
      </c>
      <c r="AF75" s="2688" t="s">
        <v>1068</v>
      </c>
      <c r="AG75" s="2747" t="s">
        <v>1069</v>
      </c>
      <c r="AH75" s="2688"/>
      <c r="AI75" s="2688" t="s">
        <v>1342</v>
      </c>
      <c r="AJ75" s="2753"/>
      <c r="AK75" s="2755">
        <v>8</v>
      </c>
      <c r="AL75" s="2688">
        <v>82253558</v>
      </c>
      <c r="AM75" s="2688"/>
      <c r="AN75" s="2747" t="s">
        <v>1071</v>
      </c>
      <c r="AO75" s="2688"/>
      <c r="AP75" s="2688" t="s">
        <v>1208</v>
      </c>
      <c r="AQ75" s="2688" t="s">
        <v>1607</v>
      </c>
      <c r="AR75" s="2745"/>
      <c r="AS75" s="2745"/>
      <c r="AT75" s="2745"/>
      <c r="AU75" s="2745"/>
      <c r="AV75" s="2745"/>
      <c r="AW75" s="2745" t="s">
        <v>1090</v>
      </c>
      <c r="AX75" s="2745"/>
      <c r="AY75" s="2769"/>
      <c r="AZ75" s="2745" t="s">
        <v>1632</v>
      </c>
      <c r="BA75" s="2745"/>
      <c r="BB75" s="2769"/>
      <c r="BC75" s="2745"/>
      <c r="BD75" s="2770"/>
      <c r="BE75" s="2745">
        <v>13311296654</v>
      </c>
      <c r="BF75" s="2788"/>
      <c r="BG75" s="2790">
        <v>38569</v>
      </c>
      <c r="BH75" s="2745"/>
      <c r="BI75" s="2688" t="s">
        <v>1070</v>
      </c>
      <c r="BJ75" s="2789">
        <v>38575</v>
      </c>
      <c r="BK75" s="2789"/>
      <c r="BL75" s="2745" t="s">
        <v>1174</v>
      </c>
      <c r="BM75" s="2745" t="s">
        <v>888</v>
      </c>
      <c r="BN75" s="2745" t="s">
        <v>1077</v>
      </c>
      <c r="BO75" s="2745" t="s">
        <v>1633</v>
      </c>
      <c r="BP75" s="2745"/>
      <c r="BQ75" s="2745" t="e">
        <v>#DIV/0!</v>
      </c>
      <c r="BR75" s="2745" t="e">
        <v>#DIV/0!</v>
      </c>
      <c r="BS75" s="2504"/>
      <c r="BT75" s="2504"/>
      <c r="BU75" s="2504"/>
    </row>
    <row r="76" s="2504" customFormat="1" ht="12" hidden="1" spans="1:70">
      <c r="A76" s="2688" t="s">
        <v>1634</v>
      </c>
      <c r="B76" s="2688" t="s">
        <v>1635</v>
      </c>
      <c r="C76" s="2689" t="s">
        <v>1636</v>
      </c>
      <c r="D76" s="2688">
        <v>13911700725</v>
      </c>
      <c r="E76" s="2688" t="s">
        <v>1060</v>
      </c>
      <c r="F76" s="2688" t="s">
        <v>1637</v>
      </c>
      <c r="G76" s="2688"/>
      <c r="H76" s="2688" t="s">
        <v>1221</v>
      </c>
      <c r="I76" s="2688" t="s">
        <v>1638</v>
      </c>
      <c r="J76" s="2688" t="s">
        <v>1268</v>
      </c>
      <c r="K76" s="2688" t="s">
        <v>1635</v>
      </c>
      <c r="L76" s="2702">
        <v>57.1</v>
      </c>
      <c r="M76" s="2688">
        <v>5</v>
      </c>
      <c r="N76" s="2688" t="s">
        <v>1064</v>
      </c>
      <c r="O76" s="2688"/>
      <c r="P76" s="2688" t="s">
        <v>1065</v>
      </c>
      <c r="Q76" s="2688">
        <v>365000</v>
      </c>
      <c r="R76" s="2688">
        <v>6392</v>
      </c>
      <c r="S76" s="2722">
        <v>34.89</v>
      </c>
      <c r="T76" s="2723">
        <v>348900</v>
      </c>
      <c r="U76" s="2688">
        <v>6111</v>
      </c>
      <c r="V76" s="2727">
        <v>0.05</v>
      </c>
      <c r="W76" s="2722">
        <v>33.14</v>
      </c>
      <c r="X76" s="2725">
        <v>331400</v>
      </c>
      <c r="Y76" s="2688">
        <v>2005</v>
      </c>
      <c r="Z76" s="2688">
        <v>7</v>
      </c>
      <c r="AA76" s="2745">
        <v>29</v>
      </c>
      <c r="AB76" s="2688">
        <v>1045</v>
      </c>
      <c r="AC76" s="2688" t="s">
        <v>1605</v>
      </c>
      <c r="AD76" s="2688"/>
      <c r="AE76" s="2745" t="s">
        <v>1639</v>
      </c>
      <c r="AF76" s="2688" t="s">
        <v>1068</v>
      </c>
      <c r="AG76" s="2688" t="s">
        <v>1069</v>
      </c>
      <c r="AH76" s="2688" t="s">
        <v>1114</v>
      </c>
      <c r="AI76" s="2688" t="s">
        <v>1342</v>
      </c>
      <c r="AJ76" s="2753"/>
      <c r="AK76" s="2688" t="s">
        <v>1330</v>
      </c>
      <c r="AL76" s="2688">
        <v>82253558</v>
      </c>
      <c r="AM76" s="2688"/>
      <c r="AN76" s="2688" t="s">
        <v>1071</v>
      </c>
      <c r="AO76" s="2688" t="s">
        <v>1640</v>
      </c>
      <c r="AP76" s="2688" t="s">
        <v>1208</v>
      </c>
      <c r="AQ76" s="2688" t="s">
        <v>1607</v>
      </c>
      <c r="AR76" s="2688"/>
      <c r="AS76" s="2688"/>
      <c r="AT76" s="2688"/>
      <c r="AU76" s="2688"/>
      <c r="AV76" s="2688" t="s">
        <v>1114</v>
      </c>
      <c r="AW76" s="2688" t="s">
        <v>1090</v>
      </c>
      <c r="AX76" s="2688"/>
      <c r="AY76" s="2688"/>
      <c r="AZ76" s="2688" t="s">
        <v>1641</v>
      </c>
      <c r="BA76" s="2688"/>
      <c r="BB76" s="2688"/>
      <c r="BC76" s="2688"/>
      <c r="BD76" s="2688"/>
      <c r="BE76" s="2688" t="s">
        <v>1114</v>
      </c>
      <c r="BF76" s="2791" t="s">
        <v>1114</v>
      </c>
      <c r="BG76" s="2792">
        <v>38538</v>
      </c>
      <c r="BH76" s="2688" t="s">
        <v>1174</v>
      </c>
      <c r="BI76" s="2688" t="s">
        <v>1515</v>
      </c>
      <c r="BJ76" s="2789">
        <v>38539</v>
      </c>
      <c r="BK76" s="2789"/>
      <c r="BL76" s="2688" t="s">
        <v>1092</v>
      </c>
      <c r="BM76" s="2688" t="s">
        <v>1127</v>
      </c>
      <c r="BN76" s="2688" t="s">
        <v>1148</v>
      </c>
      <c r="BO76" s="2688" t="s">
        <v>1128</v>
      </c>
      <c r="BP76" s="2688"/>
      <c r="BQ76" s="2745" t="e">
        <v>#DIV/0!</v>
      </c>
      <c r="BR76" s="2745" t="e">
        <v>#DIV/0!</v>
      </c>
    </row>
    <row r="77" s="2504" customFormat="1" ht="12" hidden="1" spans="1:70">
      <c r="A77" s="2688" t="s">
        <v>1642</v>
      </c>
      <c r="B77" s="2688" t="s">
        <v>1643</v>
      </c>
      <c r="C77" s="2689" t="s">
        <v>1644</v>
      </c>
      <c r="D77" s="2689" t="s">
        <v>1645</v>
      </c>
      <c r="E77" s="2688" t="s">
        <v>1060</v>
      </c>
      <c r="F77" s="2690" t="s">
        <v>1646</v>
      </c>
      <c r="G77" s="2688"/>
      <c r="H77" s="2688" t="s">
        <v>1647</v>
      </c>
      <c r="I77" s="2688"/>
      <c r="J77" s="2689" t="s">
        <v>1648</v>
      </c>
      <c r="K77" s="2688" t="s">
        <v>1643</v>
      </c>
      <c r="L77" s="2688">
        <v>74.1</v>
      </c>
      <c r="M77" s="2688">
        <v>1</v>
      </c>
      <c r="N77" s="2688" t="s">
        <v>1064</v>
      </c>
      <c r="O77" s="2688"/>
      <c r="P77" s="2688" t="s">
        <v>1065</v>
      </c>
      <c r="Q77" s="2712">
        <v>475000</v>
      </c>
      <c r="R77" s="2688">
        <v>6410</v>
      </c>
      <c r="S77" s="2722">
        <v>43.08</v>
      </c>
      <c r="T77" s="2723">
        <v>430800</v>
      </c>
      <c r="U77" s="2688">
        <v>5814</v>
      </c>
      <c r="V77" s="2724">
        <v>0.05</v>
      </c>
      <c r="W77" s="2722">
        <v>40.92</v>
      </c>
      <c r="X77" s="2725">
        <v>409200</v>
      </c>
      <c r="Y77" s="2745">
        <v>2005</v>
      </c>
      <c r="Z77" s="2745">
        <v>1</v>
      </c>
      <c r="AA77" s="2745">
        <v>12</v>
      </c>
      <c r="AB77" s="2688">
        <v>1290</v>
      </c>
      <c r="AC77" s="2688" t="s">
        <v>1649</v>
      </c>
      <c r="AD77" s="2688"/>
      <c r="AE77" s="2691" t="s">
        <v>179</v>
      </c>
      <c r="AF77" s="2691" t="s">
        <v>1068</v>
      </c>
      <c r="AG77" s="2691" t="s">
        <v>1069</v>
      </c>
      <c r="AH77" s="2688"/>
      <c r="AI77" s="2691" t="s">
        <v>1070</v>
      </c>
      <c r="AJ77" s="2753"/>
      <c r="AK77" s="2754" t="s">
        <v>1087</v>
      </c>
      <c r="AL77" s="2745"/>
      <c r="AM77" s="2745"/>
      <c r="AN77" s="2745" t="s">
        <v>1088</v>
      </c>
      <c r="AO77" s="2745"/>
      <c r="AP77" s="2745" t="s">
        <v>1073</v>
      </c>
      <c r="AQ77" s="2745" t="s">
        <v>1074</v>
      </c>
      <c r="AR77" s="2745"/>
      <c r="AS77" s="2745"/>
      <c r="AT77" s="2745"/>
      <c r="AU77" s="2745"/>
      <c r="AV77" s="2745"/>
      <c r="AW77" s="2745"/>
      <c r="AX77" s="2745"/>
      <c r="AY77" s="2769"/>
      <c r="AZ77" s="2745"/>
      <c r="BA77" s="2745"/>
      <c r="BB77" s="2769"/>
      <c r="BC77" s="2745"/>
      <c r="BD77" s="2770"/>
      <c r="BE77" s="2745"/>
      <c r="BF77" s="2788"/>
      <c r="BG77" s="2790">
        <v>38359</v>
      </c>
      <c r="BH77" s="2745"/>
      <c r="BI77" s="2745" t="s">
        <v>1073</v>
      </c>
      <c r="BJ77" s="2789">
        <v>38363</v>
      </c>
      <c r="BK77" s="2789"/>
      <c r="BL77" s="2688"/>
      <c r="BM77" s="2745"/>
      <c r="BN77" s="2745"/>
      <c r="BO77" s="2745"/>
      <c r="BP77" s="2745"/>
      <c r="BQ77" s="2745"/>
      <c r="BR77" s="2745"/>
    </row>
    <row r="78" s="2504" customFormat="1" ht="12" hidden="1" spans="1:70">
      <c r="A78" s="2688" t="s">
        <v>1650</v>
      </c>
      <c r="B78" s="2688" t="s">
        <v>1651</v>
      </c>
      <c r="C78" s="2689" t="s">
        <v>1652</v>
      </c>
      <c r="D78" s="2688">
        <v>13681397187</v>
      </c>
      <c r="E78" s="2688" t="s">
        <v>1060</v>
      </c>
      <c r="F78" s="2688" t="s">
        <v>1653</v>
      </c>
      <c r="G78" s="2688"/>
      <c r="H78" s="2688" t="s">
        <v>1098</v>
      </c>
      <c r="I78" s="2688" t="s">
        <v>1591</v>
      </c>
      <c r="J78" s="2688" t="s">
        <v>1654</v>
      </c>
      <c r="K78" s="2688" t="s">
        <v>1651</v>
      </c>
      <c r="L78" s="2702">
        <v>107.7</v>
      </c>
      <c r="M78" s="2688">
        <v>9</v>
      </c>
      <c r="N78" s="2688" t="s">
        <v>1123</v>
      </c>
      <c r="O78" s="2688"/>
      <c r="P78" s="2688" t="s">
        <v>1065</v>
      </c>
      <c r="Q78" s="2688">
        <v>628000</v>
      </c>
      <c r="R78" s="2688">
        <v>5831</v>
      </c>
      <c r="S78" s="2722">
        <v>58.24</v>
      </c>
      <c r="T78" s="2723">
        <v>582400</v>
      </c>
      <c r="U78" s="2688">
        <v>5408</v>
      </c>
      <c r="V78" s="2727">
        <v>0.05</v>
      </c>
      <c r="W78" s="2722">
        <v>55.32</v>
      </c>
      <c r="X78" s="2725">
        <v>553200</v>
      </c>
      <c r="Y78" s="2688">
        <v>2005</v>
      </c>
      <c r="Z78" s="2688">
        <v>8</v>
      </c>
      <c r="AA78" s="2745">
        <v>9</v>
      </c>
      <c r="AB78" s="2688">
        <v>1500</v>
      </c>
      <c r="AC78" s="2688" t="s">
        <v>1605</v>
      </c>
      <c r="AD78" s="2688"/>
      <c r="AE78" s="2688" t="s">
        <v>1342</v>
      </c>
      <c r="AF78" s="2688" t="s">
        <v>1068</v>
      </c>
      <c r="AG78" s="2688" t="s">
        <v>1069</v>
      </c>
      <c r="AH78" s="2688"/>
      <c r="AI78" s="2688" t="s">
        <v>1342</v>
      </c>
      <c r="AJ78" s="2751"/>
      <c r="AK78" s="2688" t="s">
        <v>1113</v>
      </c>
      <c r="AL78" s="2688">
        <v>82253558</v>
      </c>
      <c r="AM78" s="2688"/>
      <c r="AN78" s="2688" t="s">
        <v>1088</v>
      </c>
      <c r="AO78" s="2688" t="s">
        <v>1655</v>
      </c>
      <c r="AP78" s="2688" t="s">
        <v>1208</v>
      </c>
      <c r="AQ78" s="2688" t="s">
        <v>1607</v>
      </c>
      <c r="AR78" s="2688"/>
      <c r="AS78" s="2688"/>
      <c r="AT78" s="2688"/>
      <c r="AU78" s="2688"/>
      <c r="AV78" s="2688"/>
      <c r="AW78" s="2688" t="s">
        <v>1343</v>
      </c>
      <c r="AX78" s="2688"/>
      <c r="AY78" s="2689"/>
      <c r="AZ78" s="2688" t="s">
        <v>1656</v>
      </c>
      <c r="BA78" s="2688"/>
      <c r="BB78" s="2688"/>
      <c r="BC78" s="2688"/>
      <c r="BD78" s="2688"/>
      <c r="BE78" s="2688"/>
      <c r="BF78" s="2688"/>
      <c r="BG78" s="2792">
        <v>38547</v>
      </c>
      <c r="BH78" s="2688" t="s">
        <v>1174</v>
      </c>
      <c r="BI78" s="2688" t="s">
        <v>1515</v>
      </c>
      <c r="BJ78" s="2789">
        <v>38554</v>
      </c>
      <c r="BK78" s="2789"/>
      <c r="BL78" s="2688" t="s">
        <v>1092</v>
      </c>
      <c r="BM78" s="2688" t="s">
        <v>888</v>
      </c>
      <c r="BN78" s="2688" t="s">
        <v>1077</v>
      </c>
      <c r="BO78" s="2688" t="s">
        <v>1128</v>
      </c>
      <c r="BP78" s="2688"/>
      <c r="BQ78" s="2745" t="e">
        <v>#DIV/0!</v>
      </c>
      <c r="BR78" s="2745" t="e">
        <v>#DIV/0!</v>
      </c>
    </row>
    <row r="79" s="2505" customFormat="1" ht="12" hidden="1" spans="1:73">
      <c r="A79" s="2688" t="s">
        <v>1657</v>
      </c>
      <c r="B79" s="2688" t="s">
        <v>1658</v>
      </c>
      <c r="C79" s="2689" t="s">
        <v>1659</v>
      </c>
      <c r="D79" s="2689" t="s">
        <v>1660</v>
      </c>
      <c r="E79" s="2688" t="s">
        <v>1060</v>
      </c>
      <c r="F79" s="2688" t="s">
        <v>1661</v>
      </c>
      <c r="G79" s="2688"/>
      <c r="H79" s="2688" t="s">
        <v>1180</v>
      </c>
      <c r="I79" s="2688" t="s">
        <v>1662</v>
      </c>
      <c r="J79" s="2689" t="s">
        <v>1663</v>
      </c>
      <c r="K79" s="2688" t="s">
        <v>1658</v>
      </c>
      <c r="L79" s="2688">
        <v>68.52</v>
      </c>
      <c r="M79" s="2688">
        <v>18</v>
      </c>
      <c r="N79" s="2688" t="s">
        <v>1259</v>
      </c>
      <c r="O79" s="2688"/>
      <c r="P79" s="2688" t="s">
        <v>1065</v>
      </c>
      <c r="Q79" s="2712">
        <v>476000</v>
      </c>
      <c r="R79" s="2688">
        <v>6947</v>
      </c>
      <c r="S79" s="2722">
        <v>40.08</v>
      </c>
      <c r="T79" s="2723">
        <v>400800</v>
      </c>
      <c r="U79" s="2688">
        <v>5850</v>
      </c>
      <c r="V79" s="2724">
        <v>0.05</v>
      </c>
      <c r="W79" s="2722">
        <v>38.07</v>
      </c>
      <c r="X79" s="2725">
        <v>380700</v>
      </c>
      <c r="Y79" s="2745">
        <v>2005</v>
      </c>
      <c r="Z79" s="2688">
        <v>9</v>
      </c>
      <c r="AA79" s="2745">
        <v>7</v>
      </c>
      <c r="AB79" s="2688">
        <v>1200</v>
      </c>
      <c r="AC79" s="2688" t="s">
        <v>1605</v>
      </c>
      <c r="AD79" s="2688"/>
      <c r="AE79" s="2744" t="s">
        <v>1342</v>
      </c>
      <c r="AF79" s="2688" t="s">
        <v>1068</v>
      </c>
      <c r="AG79" s="2688" t="s">
        <v>1069</v>
      </c>
      <c r="AH79" s="2688"/>
      <c r="AI79" s="2688" t="s">
        <v>175</v>
      </c>
      <c r="AJ79" s="2753"/>
      <c r="AK79" s="2755">
        <v>9</v>
      </c>
      <c r="AL79" s="2688">
        <v>82253558</v>
      </c>
      <c r="AM79" s="2745"/>
      <c r="AN79" s="2688" t="s">
        <v>1088</v>
      </c>
      <c r="AO79" s="2688" t="s">
        <v>1664</v>
      </c>
      <c r="AP79" s="2688" t="s">
        <v>1208</v>
      </c>
      <c r="AQ79" s="2688" t="s">
        <v>1607</v>
      </c>
      <c r="AR79" s="2745"/>
      <c r="AS79" s="2745"/>
      <c r="AT79" s="2745"/>
      <c r="AU79" s="2745"/>
      <c r="AV79" s="2745"/>
      <c r="AW79" s="2745" t="s">
        <v>1343</v>
      </c>
      <c r="AX79" s="2745"/>
      <c r="AY79" s="2769"/>
      <c r="AZ79" s="2688" t="s">
        <v>1665</v>
      </c>
      <c r="BA79" s="2745"/>
      <c r="BB79" s="2769"/>
      <c r="BC79" s="2745"/>
      <c r="BD79" s="2770"/>
      <c r="BE79" s="2745"/>
      <c r="BF79" s="2788"/>
      <c r="BG79" s="2790">
        <v>38551</v>
      </c>
      <c r="BH79" s="2745"/>
      <c r="BI79" s="2688" t="s">
        <v>1609</v>
      </c>
      <c r="BJ79" s="2789">
        <v>38583</v>
      </c>
      <c r="BK79" s="2789"/>
      <c r="BL79" s="2688" t="s">
        <v>1174</v>
      </c>
      <c r="BM79" s="2745" t="s">
        <v>888</v>
      </c>
      <c r="BN79" s="2745" t="s">
        <v>1077</v>
      </c>
      <c r="BO79" s="2745" t="s">
        <v>1128</v>
      </c>
      <c r="BP79" s="2745"/>
      <c r="BQ79" s="2745" t="e">
        <v>#DIV/0!</v>
      </c>
      <c r="BR79" s="2745" t="e">
        <v>#DIV/0!</v>
      </c>
      <c r="BS79" s="2504"/>
      <c r="BT79" s="2504"/>
      <c r="BU79" s="2504"/>
    </row>
    <row r="80" s="2506" customFormat="1" ht="12" hidden="1" spans="1:73">
      <c r="A80" s="2688" t="s">
        <v>1666</v>
      </c>
      <c r="B80" s="2685" t="s">
        <v>1667</v>
      </c>
      <c r="C80" s="2686" t="s">
        <v>1668</v>
      </c>
      <c r="D80" s="2686" t="s">
        <v>1669</v>
      </c>
      <c r="E80" s="2685" t="s">
        <v>1060</v>
      </c>
      <c r="F80" s="2692" t="s">
        <v>1670</v>
      </c>
      <c r="G80" s="2685"/>
      <c r="H80" s="2685" t="s">
        <v>1084</v>
      </c>
      <c r="I80" s="2685" t="s">
        <v>1099</v>
      </c>
      <c r="J80" s="2686" t="s">
        <v>1671</v>
      </c>
      <c r="K80" s="2685" t="s">
        <v>1672</v>
      </c>
      <c r="L80" s="2704">
        <v>53.9</v>
      </c>
      <c r="M80" s="2685">
        <v>5</v>
      </c>
      <c r="N80" s="2685" t="s">
        <v>1111</v>
      </c>
      <c r="O80" s="2685"/>
      <c r="P80" s="2685" t="s">
        <v>1065</v>
      </c>
      <c r="Q80" s="2716">
        <v>386000</v>
      </c>
      <c r="R80" s="2685">
        <v>7161</v>
      </c>
      <c r="S80" s="2717">
        <v>31.1</v>
      </c>
      <c r="T80" s="2718">
        <v>311000</v>
      </c>
      <c r="U80" s="2685">
        <v>5771</v>
      </c>
      <c r="V80" s="2719">
        <v>0.05</v>
      </c>
      <c r="W80" s="2717">
        <v>29.54</v>
      </c>
      <c r="X80" s="2720">
        <v>295400</v>
      </c>
      <c r="Y80" s="2744">
        <v>2005</v>
      </c>
      <c r="Z80" s="2744">
        <v>8</v>
      </c>
      <c r="AA80" s="2744">
        <v>24</v>
      </c>
      <c r="AB80" s="2685">
        <v>930</v>
      </c>
      <c r="AC80" s="2685" t="s">
        <v>1605</v>
      </c>
      <c r="AD80" s="2685"/>
      <c r="AE80" s="2685" t="s">
        <v>1067</v>
      </c>
      <c r="AF80" s="2685" t="s">
        <v>1068</v>
      </c>
      <c r="AG80" s="2685" t="s">
        <v>1069</v>
      </c>
      <c r="AH80" s="2685"/>
      <c r="AI80" s="2691" t="s">
        <v>1342</v>
      </c>
      <c r="AJ80" s="2751"/>
      <c r="AK80" s="2756" t="s">
        <v>1113</v>
      </c>
      <c r="AL80" s="2744">
        <v>82253558</v>
      </c>
      <c r="AM80" s="2744"/>
      <c r="AN80" s="2744" t="s">
        <v>1087</v>
      </c>
      <c r="AO80" s="2744" t="s">
        <v>1673</v>
      </c>
      <c r="AP80" s="2744" t="s">
        <v>1208</v>
      </c>
      <c r="AQ80" s="2744" t="s">
        <v>1674</v>
      </c>
      <c r="AR80" s="2744">
        <v>2005</v>
      </c>
      <c r="AS80" s="2744">
        <v>8</v>
      </c>
      <c r="AT80" s="2744">
        <v>24</v>
      </c>
      <c r="AU80" s="2685" t="s">
        <v>1675</v>
      </c>
      <c r="AV80" s="2744"/>
      <c r="AW80" s="2744"/>
      <c r="AX80" s="2744"/>
      <c r="AY80" s="2767"/>
      <c r="AZ80" s="2744" t="s">
        <v>1672</v>
      </c>
      <c r="BA80" s="2744"/>
      <c r="BB80" s="2767"/>
      <c r="BC80" s="2744"/>
      <c r="BD80" s="2768"/>
      <c r="BE80" s="2744"/>
      <c r="BF80" s="2784"/>
      <c r="BG80" s="2785">
        <v>38562</v>
      </c>
      <c r="BH80" s="2744" t="s">
        <v>1174</v>
      </c>
      <c r="BI80" s="2685" t="s">
        <v>1639</v>
      </c>
      <c r="BJ80" s="2787">
        <v>38562</v>
      </c>
      <c r="BK80" s="2787"/>
      <c r="BL80" s="2787" t="s">
        <v>1092</v>
      </c>
      <c r="BM80" s="2744"/>
      <c r="BN80" s="2744"/>
      <c r="BO80" s="2744"/>
      <c r="BP80" s="2744"/>
      <c r="BQ80" s="2744" t="e">
        <v>#DIV/0!</v>
      </c>
      <c r="BR80" s="2744" t="e">
        <v>#DIV/0!</v>
      </c>
      <c r="BS80" s="2504"/>
      <c r="BT80" s="2504"/>
      <c r="BU80" s="2504"/>
    </row>
    <row r="81" s="2504" customFormat="1" ht="12" hidden="1" spans="1:70">
      <c r="A81" s="2688" t="s">
        <v>1676</v>
      </c>
      <c r="B81" s="2688" t="s">
        <v>1677</v>
      </c>
      <c r="C81" s="2689" t="s">
        <v>1678</v>
      </c>
      <c r="D81" s="2688">
        <v>13701013761</v>
      </c>
      <c r="E81" s="2688" t="s">
        <v>1060</v>
      </c>
      <c r="F81" s="2688" t="s">
        <v>1679</v>
      </c>
      <c r="G81" s="2688"/>
      <c r="H81" s="2688" t="s">
        <v>1121</v>
      </c>
      <c r="I81" s="2688"/>
      <c r="J81" s="2688" t="s">
        <v>1680</v>
      </c>
      <c r="K81" s="2688" t="s">
        <v>1677</v>
      </c>
      <c r="L81" s="2702">
        <v>129.91</v>
      </c>
      <c r="M81" s="2688">
        <v>24</v>
      </c>
      <c r="N81" s="2688" t="s">
        <v>1513</v>
      </c>
      <c r="O81" s="2688">
        <v>112.84</v>
      </c>
      <c r="P81" s="2688" t="s">
        <v>1065</v>
      </c>
      <c r="Q81" s="2688">
        <v>727000</v>
      </c>
      <c r="R81" s="2688">
        <v>5596</v>
      </c>
      <c r="S81" s="2722">
        <v>60.57</v>
      </c>
      <c r="T81" s="2723">
        <v>605700</v>
      </c>
      <c r="U81" s="2688">
        <v>4663</v>
      </c>
      <c r="V81" s="2727">
        <v>0.05</v>
      </c>
      <c r="W81" s="2722">
        <v>57.54</v>
      </c>
      <c r="X81" s="2725">
        <v>575400</v>
      </c>
      <c r="Y81" s="2688">
        <v>2005</v>
      </c>
      <c r="Z81" s="2688">
        <v>8</v>
      </c>
      <c r="AA81" s="2745">
        <v>19</v>
      </c>
      <c r="AB81" s="2688">
        <v>1500</v>
      </c>
      <c r="AC81" s="2688" t="s">
        <v>1605</v>
      </c>
      <c r="AD81" s="2688"/>
      <c r="AE81" s="2688" t="s">
        <v>1067</v>
      </c>
      <c r="AF81" s="2688" t="s">
        <v>1068</v>
      </c>
      <c r="AG81" s="2688" t="s">
        <v>1069</v>
      </c>
      <c r="AH81" s="2688" t="s">
        <v>1114</v>
      </c>
      <c r="AI81" s="2688" t="s">
        <v>1342</v>
      </c>
      <c r="AJ81" s="2753"/>
      <c r="AK81" s="2688" t="s">
        <v>1113</v>
      </c>
      <c r="AL81" s="2688">
        <v>82253558</v>
      </c>
      <c r="AM81" s="2688"/>
      <c r="AN81" s="2747" t="s">
        <v>1072</v>
      </c>
      <c r="AO81" s="2688" t="s">
        <v>1681</v>
      </c>
      <c r="AP81" s="2688" t="s">
        <v>1208</v>
      </c>
      <c r="AQ81" s="2688" t="s">
        <v>1607</v>
      </c>
      <c r="AR81" s="2688"/>
      <c r="AS81" s="2688"/>
      <c r="AT81" s="2688"/>
      <c r="AU81" s="2688"/>
      <c r="AV81" s="2688" t="s">
        <v>1114</v>
      </c>
      <c r="AW81" s="2688" t="s">
        <v>1090</v>
      </c>
      <c r="AX81" s="2688"/>
      <c r="AY81" s="2688"/>
      <c r="AZ81" s="2688" t="s">
        <v>1682</v>
      </c>
      <c r="BA81" s="2688"/>
      <c r="BB81" s="2688"/>
      <c r="BC81" s="2688"/>
      <c r="BD81" s="2688"/>
      <c r="BE81" s="2688"/>
      <c r="BF81" s="2688"/>
      <c r="BG81" s="2792">
        <v>38540</v>
      </c>
      <c r="BH81" s="2688"/>
      <c r="BI81" s="2688" t="s">
        <v>1609</v>
      </c>
      <c r="BJ81" s="2789">
        <v>38567</v>
      </c>
      <c r="BK81" s="2789"/>
      <c r="BL81" s="2688" t="s">
        <v>1174</v>
      </c>
      <c r="BM81" s="2688" t="s">
        <v>1127</v>
      </c>
      <c r="BN81" s="2688" t="s">
        <v>1148</v>
      </c>
      <c r="BO81" s="2688" t="s">
        <v>1128</v>
      </c>
      <c r="BP81" s="2688"/>
      <c r="BQ81" s="2745">
        <v>5368</v>
      </c>
      <c r="BR81" s="2745">
        <v>6443</v>
      </c>
    </row>
    <row r="82" s="2505" customFormat="1" ht="12" hidden="1" spans="1:73">
      <c r="A82" s="2685" t="s">
        <v>1683</v>
      </c>
      <c r="B82" s="2685" t="s">
        <v>1684</v>
      </c>
      <c r="C82" s="2686" t="s">
        <v>1685</v>
      </c>
      <c r="D82" s="2686" t="s">
        <v>1686</v>
      </c>
      <c r="E82" s="2685" t="s">
        <v>1060</v>
      </c>
      <c r="F82" s="2687" t="s">
        <v>1687</v>
      </c>
      <c r="G82" s="2685"/>
      <c r="H82" s="2685" t="s">
        <v>1688</v>
      </c>
      <c r="I82" s="2685" t="s">
        <v>1364</v>
      </c>
      <c r="J82" s="2686" t="s">
        <v>1365</v>
      </c>
      <c r="K82" s="2685" t="s">
        <v>1689</v>
      </c>
      <c r="L82" s="2704">
        <v>127.75</v>
      </c>
      <c r="M82" s="2705" t="s">
        <v>1261</v>
      </c>
      <c r="N82" s="2685" t="s">
        <v>1299</v>
      </c>
      <c r="O82" s="2685"/>
      <c r="P82" s="2685" t="s">
        <v>1690</v>
      </c>
      <c r="Q82" s="2716">
        <v>470000</v>
      </c>
      <c r="R82" s="2685">
        <v>3679</v>
      </c>
      <c r="S82" s="2717">
        <v>46.38</v>
      </c>
      <c r="T82" s="2718">
        <v>463800</v>
      </c>
      <c r="U82" s="2685">
        <v>3631</v>
      </c>
      <c r="V82" s="2719">
        <v>0.05</v>
      </c>
      <c r="W82" s="2717">
        <v>44.06</v>
      </c>
      <c r="X82" s="2720">
        <v>440600</v>
      </c>
      <c r="Y82" s="2744">
        <v>2005</v>
      </c>
      <c r="Z82" s="2744">
        <v>8</v>
      </c>
      <c r="AA82" s="2744">
        <v>24</v>
      </c>
      <c r="AB82" s="2685">
        <v>1390</v>
      </c>
      <c r="AC82" s="2685" t="s">
        <v>1605</v>
      </c>
      <c r="AD82" s="2685"/>
      <c r="AE82" s="2744" t="s">
        <v>1639</v>
      </c>
      <c r="AF82" s="2685" t="s">
        <v>1068</v>
      </c>
      <c r="AG82" s="2685" t="s">
        <v>1069</v>
      </c>
      <c r="AH82" s="2685"/>
      <c r="AI82" s="2685" t="s">
        <v>175</v>
      </c>
      <c r="AJ82" s="2751"/>
      <c r="AK82" s="2756" t="s">
        <v>1113</v>
      </c>
      <c r="AL82" s="2744">
        <v>82253558</v>
      </c>
      <c r="AM82" s="2744"/>
      <c r="AN82" s="2744" t="s">
        <v>1088</v>
      </c>
      <c r="AO82" s="2744"/>
      <c r="AP82" s="2685" t="s">
        <v>1208</v>
      </c>
      <c r="AQ82" s="2685" t="s">
        <v>1691</v>
      </c>
      <c r="AR82" s="2744">
        <v>2005</v>
      </c>
      <c r="AS82" s="2744">
        <v>8</v>
      </c>
      <c r="AT82" s="2744">
        <v>24</v>
      </c>
      <c r="AU82" s="2685" t="s">
        <v>1675</v>
      </c>
      <c r="AV82" s="2744"/>
      <c r="AW82" s="2744" t="s">
        <v>1075</v>
      </c>
      <c r="AX82" s="2744"/>
      <c r="AY82" s="2767"/>
      <c r="AZ82" s="2744" t="s">
        <v>1689</v>
      </c>
      <c r="BA82" s="2744"/>
      <c r="BB82" s="2767"/>
      <c r="BC82" s="2744"/>
      <c r="BD82" s="2768"/>
      <c r="BE82" s="2744"/>
      <c r="BF82" s="2784"/>
      <c r="BG82" s="2785">
        <v>38566</v>
      </c>
      <c r="BH82" s="2744"/>
      <c r="BI82" s="2744" t="s">
        <v>1639</v>
      </c>
      <c r="BJ82" s="2787">
        <v>38569</v>
      </c>
      <c r="BK82" s="2787"/>
      <c r="BL82" s="2685" t="s">
        <v>1174</v>
      </c>
      <c r="BM82" s="2744" t="s">
        <v>888</v>
      </c>
      <c r="BN82" s="2744" t="s">
        <v>1077</v>
      </c>
      <c r="BO82" s="2744" t="s">
        <v>1128</v>
      </c>
      <c r="BP82" s="2744"/>
      <c r="BQ82" s="2744" t="e">
        <v>#DIV/0!</v>
      </c>
      <c r="BR82" s="2744" t="e">
        <v>#DIV/0!</v>
      </c>
      <c r="BS82" s="2504"/>
      <c r="BT82" s="2504"/>
      <c r="BU82" s="2504"/>
    </row>
    <row r="83" s="2504" customFormat="1" ht="12" hidden="1" spans="1:70">
      <c r="A83" s="2688" t="s">
        <v>1692</v>
      </c>
      <c r="B83" s="2688" t="s">
        <v>1693</v>
      </c>
      <c r="C83" s="2689" t="s">
        <v>1694</v>
      </c>
      <c r="D83" s="2691">
        <v>13651313775</v>
      </c>
      <c r="E83" s="2688" t="s">
        <v>1060</v>
      </c>
      <c r="F83" s="2688" t="s">
        <v>1695</v>
      </c>
      <c r="G83" s="2688"/>
      <c r="H83" s="2688" t="s">
        <v>1696</v>
      </c>
      <c r="I83" s="2688" t="s">
        <v>1143</v>
      </c>
      <c r="J83" s="2688" t="s">
        <v>1463</v>
      </c>
      <c r="K83" s="2688" t="s">
        <v>1693</v>
      </c>
      <c r="L83" s="2688">
        <v>69.1</v>
      </c>
      <c r="M83" s="2688">
        <v>3</v>
      </c>
      <c r="N83" s="2684" t="s">
        <v>1123</v>
      </c>
      <c r="O83" s="2688"/>
      <c r="P83" s="2688" t="s">
        <v>1065</v>
      </c>
      <c r="Q83" s="2712">
        <v>390000</v>
      </c>
      <c r="R83" s="2688">
        <v>5644</v>
      </c>
      <c r="S83" s="2722">
        <v>34.55</v>
      </c>
      <c r="T83" s="2723">
        <v>345500</v>
      </c>
      <c r="U83" s="2685">
        <v>5000</v>
      </c>
      <c r="V83" s="2724">
        <v>0.05</v>
      </c>
      <c r="W83" s="2722">
        <v>32.82</v>
      </c>
      <c r="X83" s="2723">
        <v>328200</v>
      </c>
      <c r="Y83" s="2745">
        <v>2005</v>
      </c>
      <c r="Z83" s="2688">
        <v>9</v>
      </c>
      <c r="AA83" s="2745">
        <v>7</v>
      </c>
      <c r="AB83" s="2688">
        <v>1035</v>
      </c>
      <c r="AC83" s="2688" t="s">
        <v>1697</v>
      </c>
      <c r="AD83" s="2688"/>
      <c r="AE83" s="2745" t="s">
        <v>175</v>
      </c>
      <c r="AF83" s="2688" t="s">
        <v>1068</v>
      </c>
      <c r="AG83" s="2747" t="s">
        <v>1069</v>
      </c>
      <c r="AH83" s="2688"/>
      <c r="AI83" s="2747"/>
      <c r="AJ83" s="2753"/>
      <c r="AK83" s="2755">
        <v>9</v>
      </c>
      <c r="AL83" s="2688">
        <v>82253558</v>
      </c>
      <c r="AM83" s="2688"/>
      <c r="AN83" s="2688" t="s">
        <v>1088</v>
      </c>
      <c r="AO83" s="2688" t="s">
        <v>1698</v>
      </c>
      <c r="AP83" s="2688" t="s">
        <v>175</v>
      </c>
      <c r="AQ83" s="2745" t="s">
        <v>1074</v>
      </c>
      <c r="AR83" s="2688"/>
      <c r="AS83" s="2688"/>
      <c r="AT83" s="2688"/>
      <c r="AU83" s="2688"/>
      <c r="AV83" s="2688"/>
      <c r="AW83" s="2688" t="s">
        <v>1075</v>
      </c>
      <c r="AX83" s="2688"/>
      <c r="AY83" s="2689"/>
      <c r="AZ83" s="2688" t="s">
        <v>1699</v>
      </c>
      <c r="BA83" s="2688"/>
      <c r="BB83" s="2689"/>
      <c r="BC83" s="2688"/>
      <c r="BD83" s="2771"/>
      <c r="BE83" s="2688"/>
      <c r="BF83" s="2793"/>
      <c r="BG83" s="2753">
        <v>38571</v>
      </c>
      <c r="BH83" s="2688"/>
      <c r="BI83" s="2688" t="s">
        <v>1609</v>
      </c>
      <c r="BJ83" s="2753">
        <v>38583</v>
      </c>
      <c r="BK83" s="2794"/>
      <c r="BL83" s="2688" t="s">
        <v>1174</v>
      </c>
      <c r="BM83" s="2745" t="s">
        <v>888</v>
      </c>
      <c r="BN83" s="2745" t="s">
        <v>1077</v>
      </c>
      <c r="BO83" s="2745" t="s">
        <v>1128</v>
      </c>
      <c r="BP83" s="2745"/>
      <c r="BQ83" s="2745" t="e">
        <v>#DIV/0!</v>
      </c>
      <c r="BR83" s="2745" t="e">
        <v>#DIV/0!</v>
      </c>
    </row>
    <row r="84" s="2505" customFormat="1" ht="12" hidden="1" spans="1:73">
      <c r="A84" s="2688" t="s">
        <v>1700</v>
      </c>
      <c r="B84" s="2688" t="s">
        <v>1701</v>
      </c>
      <c r="C84" s="2689" t="s">
        <v>1702</v>
      </c>
      <c r="D84" s="2689" t="s">
        <v>1703</v>
      </c>
      <c r="E84" s="2688" t="s">
        <v>1060</v>
      </c>
      <c r="F84" s="2688" t="s">
        <v>1704</v>
      </c>
      <c r="G84" s="2688"/>
      <c r="H84" s="2688" t="s">
        <v>1705</v>
      </c>
      <c r="I84" s="2688" t="s">
        <v>1222</v>
      </c>
      <c r="J84" s="2689" t="s">
        <v>1197</v>
      </c>
      <c r="K84" s="2688" t="s">
        <v>1706</v>
      </c>
      <c r="L84" s="2702">
        <v>133.94</v>
      </c>
      <c r="M84" s="2688">
        <v>2</v>
      </c>
      <c r="N84" s="2688" t="s">
        <v>1299</v>
      </c>
      <c r="O84" s="2688"/>
      <c r="P84" s="2688" t="s">
        <v>1065</v>
      </c>
      <c r="Q84" s="2712">
        <v>740000</v>
      </c>
      <c r="R84" s="2688">
        <v>5525</v>
      </c>
      <c r="S84" s="2722">
        <v>74.06</v>
      </c>
      <c r="T84" s="2723">
        <v>740600</v>
      </c>
      <c r="U84" s="2688">
        <v>5530</v>
      </c>
      <c r="V84" s="2724">
        <v>0.2</v>
      </c>
      <c r="W84" s="2722">
        <v>59.24</v>
      </c>
      <c r="X84" s="2725">
        <v>592400</v>
      </c>
      <c r="Y84" s="2745">
        <v>2005</v>
      </c>
      <c r="Z84" s="2745">
        <v>8</v>
      </c>
      <c r="AA84" s="2745">
        <v>26</v>
      </c>
      <c r="AB84" s="2721">
        <v>1500</v>
      </c>
      <c r="AC84" s="2688" t="s">
        <v>1707</v>
      </c>
      <c r="AD84" s="2688"/>
      <c r="AE84" s="2745" t="s">
        <v>1342</v>
      </c>
      <c r="AF84" s="2688" t="s">
        <v>1068</v>
      </c>
      <c r="AG84" s="2688" t="s">
        <v>1069</v>
      </c>
      <c r="AH84" s="2688"/>
      <c r="AI84" s="2688" t="s">
        <v>175</v>
      </c>
      <c r="AJ84" s="2753"/>
      <c r="AK84" s="2754" t="s">
        <v>1113</v>
      </c>
      <c r="AL84" s="2688">
        <v>82253558</v>
      </c>
      <c r="AM84" s="2745"/>
      <c r="AN84" s="2688" t="s">
        <v>1182</v>
      </c>
      <c r="AO84" s="2745"/>
      <c r="AP84" s="2688" t="s">
        <v>1708</v>
      </c>
      <c r="AQ84" s="2688" t="s">
        <v>1074</v>
      </c>
      <c r="AR84" s="2745"/>
      <c r="AS84" s="2745"/>
      <c r="AT84" s="2745"/>
      <c r="AU84" s="2745"/>
      <c r="AV84" s="2745"/>
      <c r="AW84" s="2745" t="s">
        <v>1343</v>
      </c>
      <c r="AX84" s="2745"/>
      <c r="AY84" s="2769"/>
      <c r="AZ84" s="2745" t="s">
        <v>1706</v>
      </c>
      <c r="BA84" s="2745"/>
      <c r="BB84" s="2769"/>
      <c r="BC84" s="2745"/>
      <c r="BD84" s="2770"/>
      <c r="BE84" s="2745"/>
      <c r="BF84" s="2788"/>
      <c r="BG84" s="2790">
        <v>38582</v>
      </c>
      <c r="BH84" s="2745"/>
      <c r="BI84" s="2745" t="s">
        <v>1708</v>
      </c>
      <c r="BJ84" s="2789"/>
      <c r="BK84" s="2789"/>
      <c r="BL84" s="2688" t="s">
        <v>1068</v>
      </c>
      <c r="BM84" s="2745" t="s">
        <v>888</v>
      </c>
      <c r="BN84" s="2745" t="s">
        <v>1077</v>
      </c>
      <c r="BO84" s="2745" t="s">
        <v>1709</v>
      </c>
      <c r="BP84" s="2745"/>
      <c r="BQ84" s="2745" t="e">
        <v>#DIV/0!</v>
      </c>
      <c r="BR84" s="2745" t="e">
        <v>#DIV/0!</v>
      </c>
      <c r="BS84" s="2504"/>
      <c r="BT84" s="2504"/>
      <c r="BU84" s="2504"/>
    </row>
    <row r="85" s="2507" customFormat="1" ht="12" hidden="1" spans="1:73">
      <c r="A85" s="2693" t="s">
        <v>1710</v>
      </c>
      <c r="B85" s="2693" t="s">
        <v>1711</v>
      </c>
      <c r="C85" s="2694"/>
      <c r="D85" s="2694"/>
      <c r="E85" s="2693" t="s">
        <v>1060</v>
      </c>
      <c r="F85" s="2695" t="s">
        <v>1712</v>
      </c>
      <c r="G85" s="2693"/>
      <c r="H85" s="2693" t="s">
        <v>1062</v>
      </c>
      <c r="I85" s="2706"/>
      <c r="J85" s="2693">
        <v>1303</v>
      </c>
      <c r="K85" s="2693"/>
      <c r="L85" s="2707">
        <v>139.8</v>
      </c>
      <c r="M85" s="2693">
        <v>13</v>
      </c>
      <c r="N85" s="2693" t="s">
        <v>1299</v>
      </c>
      <c r="O85" s="2693"/>
      <c r="P85" s="2693" t="s">
        <v>1514</v>
      </c>
      <c r="Q85" s="2728"/>
      <c r="R85" s="2729">
        <v>0</v>
      </c>
      <c r="S85" s="2730">
        <v>88.35</v>
      </c>
      <c r="T85" s="2731">
        <v>883500</v>
      </c>
      <c r="U85" s="2693">
        <v>6320</v>
      </c>
      <c r="V85" s="2732">
        <v>0.1</v>
      </c>
      <c r="W85" s="2730">
        <v>79.51</v>
      </c>
      <c r="X85" s="2733">
        <v>795100</v>
      </c>
      <c r="Y85" s="2706">
        <v>2005</v>
      </c>
      <c r="Z85" s="2706">
        <v>8</v>
      </c>
      <c r="AA85" s="2706">
        <v>29</v>
      </c>
      <c r="AB85" s="2729">
        <v>1500</v>
      </c>
      <c r="AC85" s="2693" t="s">
        <v>1713</v>
      </c>
      <c r="AD85" s="2693"/>
      <c r="AE85" s="2706" t="s">
        <v>1067</v>
      </c>
      <c r="AF85" s="2693"/>
      <c r="AG85" s="2757"/>
      <c r="AH85" s="2693"/>
      <c r="AI85" s="2693"/>
      <c r="AJ85" s="2758"/>
      <c r="AK85" s="2759">
        <v>8</v>
      </c>
      <c r="AL85" s="2706"/>
      <c r="AM85" s="2706"/>
      <c r="AN85" s="2706"/>
      <c r="AO85" s="2706"/>
      <c r="AP85" s="2693" t="s">
        <v>1067</v>
      </c>
      <c r="AQ85" s="2693" t="s">
        <v>1074</v>
      </c>
      <c r="AR85" s="2706"/>
      <c r="AS85" s="2706"/>
      <c r="AT85" s="2706"/>
      <c r="AU85" s="2706"/>
      <c r="AV85" s="2706"/>
      <c r="AW85" s="2706"/>
      <c r="AX85" s="2706"/>
      <c r="AY85" s="2772"/>
      <c r="AZ85" s="2706"/>
      <c r="BA85" s="2706"/>
      <c r="BB85" s="2772"/>
      <c r="BC85" s="2706"/>
      <c r="BD85" s="2773"/>
      <c r="BE85" s="2706"/>
      <c r="BF85" s="2795"/>
      <c r="BG85" s="2796"/>
      <c r="BH85" s="2706"/>
      <c r="BI85" s="2706" t="s">
        <v>1067</v>
      </c>
      <c r="BJ85" s="2797"/>
      <c r="BK85" s="2797"/>
      <c r="BL85" s="2693"/>
      <c r="BM85" s="2706"/>
      <c r="BN85" s="2706"/>
      <c r="BO85" s="2706"/>
      <c r="BP85" s="2706"/>
      <c r="BQ85" s="2706" t="e">
        <v>#DIV/0!</v>
      </c>
      <c r="BR85" s="2706" t="e">
        <v>#DIV/0!</v>
      </c>
      <c r="BS85" s="2510"/>
      <c r="BT85" s="2510"/>
      <c r="BU85" s="2510"/>
    </row>
    <row r="86" s="2505" customFormat="1" ht="12" hidden="1" spans="1:73">
      <c r="A86" s="2688" t="s">
        <v>1714</v>
      </c>
      <c r="B86" s="2688" t="s">
        <v>1715</v>
      </c>
      <c r="C86" s="2689" t="s">
        <v>1716</v>
      </c>
      <c r="D86" s="2689" t="s">
        <v>1717</v>
      </c>
      <c r="E86" s="2688" t="s">
        <v>1060</v>
      </c>
      <c r="F86" s="2688" t="s">
        <v>1718</v>
      </c>
      <c r="G86" s="2688"/>
      <c r="H86" s="2688" t="s">
        <v>1062</v>
      </c>
      <c r="I86" s="2688" t="s">
        <v>1585</v>
      </c>
      <c r="J86" s="2689" t="s">
        <v>1719</v>
      </c>
      <c r="K86" s="2688" t="s">
        <v>1720</v>
      </c>
      <c r="L86" s="2688">
        <v>85.91</v>
      </c>
      <c r="M86" s="2688">
        <v>6</v>
      </c>
      <c r="N86" s="2688" t="s">
        <v>1290</v>
      </c>
      <c r="O86" s="2688"/>
      <c r="P86" s="2688" t="s">
        <v>1065</v>
      </c>
      <c r="Q86" s="2712">
        <v>630000</v>
      </c>
      <c r="R86" s="2688">
        <v>7333</v>
      </c>
      <c r="S86" s="2722">
        <v>52.19</v>
      </c>
      <c r="T86" s="2723">
        <v>521900</v>
      </c>
      <c r="U86" s="2688">
        <v>6075</v>
      </c>
      <c r="V86" s="2724">
        <v>0.05</v>
      </c>
      <c r="W86" s="2722">
        <v>49.58</v>
      </c>
      <c r="X86" s="2725">
        <v>495800</v>
      </c>
      <c r="Y86" s="2745">
        <v>2005</v>
      </c>
      <c r="Z86" s="2745">
        <v>9</v>
      </c>
      <c r="AA86" s="2745">
        <v>7</v>
      </c>
      <c r="AB86" s="2688">
        <v>1500</v>
      </c>
      <c r="AC86" s="2688" t="s">
        <v>1605</v>
      </c>
      <c r="AD86" s="2688"/>
      <c r="AE86" s="2745" t="s">
        <v>1342</v>
      </c>
      <c r="AF86" s="2688" t="s">
        <v>1068</v>
      </c>
      <c r="AG86" s="2688" t="s">
        <v>1069</v>
      </c>
      <c r="AH86" s="2688"/>
      <c r="AI86" s="2688" t="s">
        <v>175</v>
      </c>
      <c r="AJ86" s="2753"/>
      <c r="AK86" s="2754" t="s">
        <v>1124</v>
      </c>
      <c r="AL86" s="2745"/>
      <c r="AM86" s="2745"/>
      <c r="AN86" s="2745" t="s">
        <v>1088</v>
      </c>
      <c r="AO86" s="2745"/>
      <c r="AP86" s="2688" t="s">
        <v>1208</v>
      </c>
      <c r="AQ86" s="2688" t="s">
        <v>1074</v>
      </c>
      <c r="AR86" s="2745"/>
      <c r="AS86" s="2745"/>
      <c r="AT86" s="2745"/>
      <c r="AU86" s="2745"/>
      <c r="AV86" s="2745"/>
      <c r="AW86" s="2745" t="s">
        <v>1343</v>
      </c>
      <c r="AX86" s="2745"/>
      <c r="AY86" s="2769"/>
      <c r="AZ86" s="2745" t="s">
        <v>1720</v>
      </c>
      <c r="BA86" s="2745"/>
      <c r="BB86" s="2769"/>
      <c r="BC86" s="2745"/>
      <c r="BD86" s="2770"/>
      <c r="BE86" s="2745"/>
      <c r="BF86" s="2788"/>
      <c r="BG86" s="2790">
        <v>38577</v>
      </c>
      <c r="BH86" s="2745"/>
      <c r="BI86" s="2748" t="s">
        <v>1342</v>
      </c>
      <c r="BJ86" s="2789">
        <v>38600</v>
      </c>
      <c r="BK86" s="2789"/>
      <c r="BL86" s="2688" t="s">
        <v>1092</v>
      </c>
      <c r="BM86" s="2745" t="s">
        <v>888</v>
      </c>
      <c r="BN86" s="2745" t="s">
        <v>1077</v>
      </c>
      <c r="BO86" s="2745" t="s">
        <v>1721</v>
      </c>
      <c r="BP86" s="2745"/>
      <c r="BQ86" s="2745" t="e">
        <v>#DIV/0!</v>
      </c>
      <c r="BR86" s="2745" t="e">
        <v>#DIV/0!</v>
      </c>
      <c r="BS86" s="2504"/>
      <c r="BT86" s="2504"/>
      <c r="BU86" s="2504"/>
    </row>
    <row r="87" s="2505" customFormat="1" ht="12" hidden="1" spans="1:73">
      <c r="A87" s="2688" t="s">
        <v>1722</v>
      </c>
      <c r="B87" s="2688" t="s">
        <v>1723</v>
      </c>
      <c r="C87" s="2689" t="s">
        <v>1724</v>
      </c>
      <c r="D87" s="2689" t="s">
        <v>1725</v>
      </c>
      <c r="E87" s="2688" t="s">
        <v>1060</v>
      </c>
      <c r="F87" s="2688" t="s">
        <v>1726</v>
      </c>
      <c r="G87" s="2688"/>
      <c r="H87" s="2688" t="s">
        <v>1062</v>
      </c>
      <c r="I87" s="2688"/>
      <c r="J87" s="2689" t="s">
        <v>1727</v>
      </c>
      <c r="K87" s="2688" t="s">
        <v>1728</v>
      </c>
      <c r="L87" s="2688">
        <v>86.46</v>
      </c>
      <c r="M87" s="2688">
        <v>3</v>
      </c>
      <c r="N87" s="2688" t="s">
        <v>1064</v>
      </c>
      <c r="O87" s="2688"/>
      <c r="P87" s="2688" t="s">
        <v>1065</v>
      </c>
      <c r="Q87" s="2712">
        <v>720000</v>
      </c>
      <c r="R87" s="2688">
        <v>8328</v>
      </c>
      <c r="S87" s="2722">
        <v>60.52</v>
      </c>
      <c r="T87" s="2723">
        <v>605200</v>
      </c>
      <c r="U87" s="2688">
        <v>7000</v>
      </c>
      <c r="V87" s="2724">
        <v>0.05</v>
      </c>
      <c r="W87" s="2722">
        <v>57.49</v>
      </c>
      <c r="X87" s="2725">
        <v>574900</v>
      </c>
      <c r="Y87" s="2745">
        <v>2005</v>
      </c>
      <c r="Z87" s="2745">
        <v>9</v>
      </c>
      <c r="AA87" s="2745">
        <v>8</v>
      </c>
      <c r="AB87" s="2688">
        <v>1500</v>
      </c>
      <c r="AC87" s="2688" t="s">
        <v>1605</v>
      </c>
      <c r="AD87" s="2688"/>
      <c r="AE87" s="2745" t="s">
        <v>1342</v>
      </c>
      <c r="AF87" s="2688" t="s">
        <v>1068</v>
      </c>
      <c r="AG87" s="2688" t="s">
        <v>1069</v>
      </c>
      <c r="AH87" s="2688"/>
      <c r="AI87" s="2688" t="s">
        <v>175</v>
      </c>
      <c r="AJ87" s="2753"/>
      <c r="AK87" s="2754" t="s">
        <v>1124</v>
      </c>
      <c r="AL87" s="2745"/>
      <c r="AM87" s="2745"/>
      <c r="AN87" s="2745" t="s">
        <v>1088</v>
      </c>
      <c r="AO87" s="2745"/>
      <c r="AP87" s="2688" t="s">
        <v>1208</v>
      </c>
      <c r="AQ87" s="2688" t="s">
        <v>1074</v>
      </c>
      <c r="AR87" s="2745"/>
      <c r="AS87" s="2745"/>
      <c r="AT87" s="2745"/>
      <c r="AU87" s="2745"/>
      <c r="AV87" s="2745"/>
      <c r="AW87" s="2745" t="s">
        <v>1343</v>
      </c>
      <c r="AX87" s="2745"/>
      <c r="AY87" s="2769"/>
      <c r="AZ87" s="2745" t="s">
        <v>1728</v>
      </c>
      <c r="BA87" s="2745"/>
      <c r="BB87" s="2769"/>
      <c r="BC87" s="2745"/>
      <c r="BD87" s="2770"/>
      <c r="BE87" s="2745"/>
      <c r="BF87" s="2788"/>
      <c r="BG87" s="2790">
        <v>38596</v>
      </c>
      <c r="BH87" s="2745"/>
      <c r="BI87" s="2748" t="s">
        <v>1342</v>
      </c>
      <c r="BJ87" s="2789">
        <v>38600</v>
      </c>
      <c r="BK87" s="2789"/>
      <c r="BL87" s="2688" t="s">
        <v>1092</v>
      </c>
      <c r="BM87" s="2745" t="s">
        <v>888</v>
      </c>
      <c r="BN87" s="2745" t="s">
        <v>1077</v>
      </c>
      <c r="BO87" s="2745" t="s">
        <v>1721</v>
      </c>
      <c r="BP87" s="2745"/>
      <c r="BQ87" s="2745" t="e">
        <v>#DIV/0!</v>
      </c>
      <c r="BR87" s="2745" t="e">
        <v>#DIV/0!</v>
      </c>
      <c r="BS87" s="2504"/>
      <c r="BT87" s="2504"/>
      <c r="BU87" s="2504"/>
    </row>
    <row r="88" s="2504" customFormat="1" ht="12" hidden="1" spans="1:70">
      <c r="A88" s="2688" t="s">
        <v>1729</v>
      </c>
      <c r="B88" s="2688" t="s">
        <v>1730</v>
      </c>
      <c r="C88" s="2689" t="s">
        <v>1731</v>
      </c>
      <c r="D88" s="2688">
        <v>13041129480</v>
      </c>
      <c r="E88" s="2688" t="s">
        <v>1060</v>
      </c>
      <c r="F88" s="2688" t="s">
        <v>1732</v>
      </c>
      <c r="G88" s="2688"/>
      <c r="H88" s="2688" t="s">
        <v>1155</v>
      </c>
      <c r="I88" s="2688" t="s">
        <v>1392</v>
      </c>
      <c r="J88" s="2688" t="s">
        <v>1733</v>
      </c>
      <c r="K88" s="2688" t="s">
        <v>1730</v>
      </c>
      <c r="L88" s="2708">
        <v>50.72</v>
      </c>
      <c r="M88" s="2688">
        <v>4</v>
      </c>
      <c r="N88" s="2691" t="s">
        <v>1111</v>
      </c>
      <c r="O88" s="2688" t="s">
        <v>1114</v>
      </c>
      <c r="P88" s="2688" t="s">
        <v>1065</v>
      </c>
      <c r="Q88" s="2688">
        <v>330000</v>
      </c>
      <c r="R88" s="2688">
        <v>6506</v>
      </c>
      <c r="S88" s="2722">
        <v>28.4</v>
      </c>
      <c r="T88" s="2723">
        <v>284000</v>
      </c>
      <c r="U88" s="2688">
        <v>5600</v>
      </c>
      <c r="V88" s="2727">
        <v>0.05</v>
      </c>
      <c r="W88" s="2722">
        <v>26.98</v>
      </c>
      <c r="X88" s="2725">
        <v>269800</v>
      </c>
      <c r="Y88" s="2688">
        <v>2005</v>
      </c>
      <c r="Z88" s="2688">
        <v>10</v>
      </c>
      <c r="AA88" s="2745">
        <v>11</v>
      </c>
      <c r="AB88" s="2688">
        <v>850</v>
      </c>
      <c r="AC88" s="2688" t="s">
        <v>1605</v>
      </c>
      <c r="AD88" s="2688"/>
      <c r="AE88" s="2745" t="s">
        <v>1067</v>
      </c>
      <c r="AF88" s="2688" t="s">
        <v>1068</v>
      </c>
      <c r="AG88" s="2688" t="s">
        <v>1069</v>
      </c>
      <c r="AH88" s="2688"/>
      <c r="AI88" s="2688" t="s">
        <v>1342</v>
      </c>
      <c r="AJ88" s="2753"/>
      <c r="AK88" s="2755" t="s">
        <v>1423</v>
      </c>
      <c r="AL88" s="2688">
        <v>82253558</v>
      </c>
      <c r="AM88" s="2688"/>
      <c r="AN88" s="2688" t="s">
        <v>1088</v>
      </c>
      <c r="AO88" s="2688"/>
      <c r="AP88" s="2688" t="s">
        <v>1208</v>
      </c>
      <c r="AQ88" s="2688" t="s">
        <v>1607</v>
      </c>
      <c r="AR88" s="2688"/>
      <c r="AS88" s="2688"/>
      <c r="AT88" s="2688"/>
      <c r="AU88" s="2688"/>
      <c r="AV88" s="2688"/>
      <c r="AW88" s="2688" t="s">
        <v>1075</v>
      </c>
      <c r="AX88" s="2688"/>
      <c r="AY88" s="2689"/>
      <c r="AZ88" s="2688" t="s">
        <v>1734</v>
      </c>
      <c r="BA88" s="2688"/>
      <c r="BB88" s="2688"/>
      <c r="BC88" s="2688"/>
      <c r="BD88" s="2688"/>
      <c r="BE88" s="2688"/>
      <c r="BF88" s="2688"/>
      <c r="BG88" s="2792">
        <v>38601</v>
      </c>
      <c r="BH88" s="2688"/>
      <c r="BI88" s="2688" t="s">
        <v>1609</v>
      </c>
      <c r="BJ88" s="2789">
        <v>38602</v>
      </c>
      <c r="BK88" s="2789"/>
      <c r="BL88" s="2688" t="s">
        <v>1174</v>
      </c>
      <c r="BM88" s="2688" t="s">
        <v>888</v>
      </c>
      <c r="BN88" s="2688" t="s">
        <v>1148</v>
      </c>
      <c r="BO88" s="2688" t="s">
        <v>1128</v>
      </c>
      <c r="BP88" s="2688"/>
      <c r="BQ88" s="2745" t="e">
        <v>#VALUE!</v>
      </c>
      <c r="BR88" s="2745" t="e">
        <v>#VALUE!</v>
      </c>
    </row>
    <row r="89" s="2505" customFormat="1" ht="12" hidden="1" spans="1:73">
      <c r="A89" s="2688" t="s">
        <v>1735</v>
      </c>
      <c r="B89" s="2688" t="s">
        <v>1736</v>
      </c>
      <c r="C89" s="2689" t="s">
        <v>1737</v>
      </c>
      <c r="D89" s="2689" t="s">
        <v>1738</v>
      </c>
      <c r="E89" s="2688" t="s">
        <v>1060</v>
      </c>
      <c r="F89" s="2690" t="s">
        <v>1739</v>
      </c>
      <c r="G89" s="2688"/>
      <c r="H89" s="2688" t="s">
        <v>1221</v>
      </c>
      <c r="I89" s="2688"/>
      <c r="J89" s="2689" t="s">
        <v>1740</v>
      </c>
      <c r="K89" s="2688" t="s">
        <v>1736</v>
      </c>
      <c r="L89" s="2708">
        <v>92.26</v>
      </c>
      <c r="M89" s="2688">
        <v>12</v>
      </c>
      <c r="N89" s="2691" t="s">
        <v>1064</v>
      </c>
      <c r="O89" s="2688"/>
      <c r="P89" s="2688" t="s">
        <v>1065</v>
      </c>
      <c r="Q89" s="2712">
        <v>387492</v>
      </c>
      <c r="R89" s="2688">
        <v>4200</v>
      </c>
      <c r="S89" s="2722">
        <v>38.74</v>
      </c>
      <c r="T89" s="2723">
        <v>387400</v>
      </c>
      <c r="U89" s="2688">
        <v>4200</v>
      </c>
      <c r="V89" s="2724">
        <v>0.05</v>
      </c>
      <c r="W89" s="2722">
        <v>36.8</v>
      </c>
      <c r="X89" s="2725">
        <v>368000</v>
      </c>
      <c r="Y89" s="2745">
        <v>2005</v>
      </c>
      <c r="Z89" s="2688">
        <v>10</v>
      </c>
      <c r="AA89" s="2745">
        <v>24</v>
      </c>
      <c r="AB89" s="2688">
        <v>1160</v>
      </c>
      <c r="AC89" s="2688" t="s">
        <v>1605</v>
      </c>
      <c r="AD89" s="2688"/>
      <c r="AE89" s="2745" t="s">
        <v>1067</v>
      </c>
      <c r="AF89" s="2688" t="s">
        <v>1068</v>
      </c>
      <c r="AG89" s="2688" t="s">
        <v>1741</v>
      </c>
      <c r="AH89" s="2688"/>
      <c r="AI89" s="2688" t="s">
        <v>1070</v>
      </c>
      <c r="AJ89" s="2753"/>
      <c r="AK89" s="2755" t="s">
        <v>1423</v>
      </c>
      <c r="AL89" s="2745">
        <v>82253558</v>
      </c>
      <c r="AM89" s="2745"/>
      <c r="AN89" s="2688" t="s">
        <v>1182</v>
      </c>
      <c r="AO89" s="2745" t="s">
        <v>1742</v>
      </c>
      <c r="AP89" s="2688" t="s">
        <v>1208</v>
      </c>
      <c r="AQ89" s="2745" t="s">
        <v>1607</v>
      </c>
      <c r="AR89" s="2745"/>
      <c r="AS89" s="2745"/>
      <c r="AT89" s="2745"/>
      <c r="AU89" s="2745"/>
      <c r="AV89" s="2745"/>
      <c r="AW89" s="2688" t="s">
        <v>1075</v>
      </c>
      <c r="AX89" s="2745"/>
      <c r="AY89" s="2769"/>
      <c r="AZ89" s="2745" t="s">
        <v>1743</v>
      </c>
      <c r="BA89" s="2745"/>
      <c r="BB89" s="2769"/>
      <c r="BC89" s="2745"/>
      <c r="BD89" s="2770"/>
      <c r="BE89" s="2745">
        <v>13901114343</v>
      </c>
      <c r="BF89" s="2788"/>
      <c r="BG89" s="2790">
        <v>38602</v>
      </c>
      <c r="BH89" s="2688" t="s">
        <v>1174</v>
      </c>
      <c r="BI89" s="2688" t="s">
        <v>1070</v>
      </c>
      <c r="BJ89" s="2789">
        <v>38602</v>
      </c>
      <c r="BK89" s="2789"/>
      <c r="BL89" s="2688" t="s">
        <v>1174</v>
      </c>
      <c r="BM89" s="2688" t="s">
        <v>888</v>
      </c>
      <c r="BN89" s="2688" t="s">
        <v>1148</v>
      </c>
      <c r="BO89" s="2688" t="s">
        <v>1128</v>
      </c>
      <c r="BP89" s="2745"/>
      <c r="BQ89" s="2745" t="e">
        <v>#DIV/0!</v>
      </c>
      <c r="BR89" s="2745" t="e">
        <v>#DIV/0!</v>
      </c>
      <c r="BS89" s="2504"/>
      <c r="BT89" s="2504"/>
      <c r="BU89" s="2504"/>
    </row>
    <row r="90" s="2507" customFormat="1" ht="12" hidden="1" spans="1:73">
      <c r="A90" s="2693" t="s">
        <v>1744</v>
      </c>
      <c r="B90" s="2693" t="s">
        <v>1745</v>
      </c>
      <c r="C90" s="2694" t="s">
        <v>1746</v>
      </c>
      <c r="D90" s="2694" t="s">
        <v>1747</v>
      </c>
      <c r="E90" s="2693" t="s">
        <v>1060</v>
      </c>
      <c r="F90" s="2695" t="s">
        <v>1748</v>
      </c>
      <c r="G90" s="2693"/>
      <c r="H90" s="2693" t="s">
        <v>1296</v>
      </c>
      <c r="I90" s="2693" t="s">
        <v>1364</v>
      </c>
      <c r="J90" s="2694" t="s">
        <v>1749</v>
      </c>
      <c r="K90" s="2693" t="s">
        <v>1745</v>
      </c>
      <c r="L90" s="2709">
        <v>44.3</v>
      </c>
      <c r="M90" s="2693">
        <v>7</v>
      </c>
      <c r="N90" s="2710" t="s">
        <v>1259</v>
      </c>
      <c r="O90" s="2693"/>
      <c r="P90" s="2693" t="s">
        <v>1065</v>
      </c>
      <c r="Q90" s="2728">
        <v>283000</v>
      </c>
      <c r="R90" s="2729">
        <v>6388</v>
      </c>
      <c r="S90" s="2730">
        <v>22.23</v>
      </c>
      <c r="T90" s="2731">
        <v>222300</v>
      </c>
      <c r="U90" s="2693">
        <v>5020</v>
      </c>
      <c r="V90" s="2732">
        <v>0.05</v>
      </c>
      <c r="W90" s="2730">
        <v>21.11</v>
      </c>
      <c r="X90" s="2733">
        <v>211100</v>
      </c>
      <c r="Y90" s="2706">
        <v>2005</v>
      </c>
      <c r="Z90" s="2706">
        <v>10</v>
      </c>
      <c r="AA90" s="2706">
        <v>18</v>
      </c>
      <c r="AB90" s="2729">
        <v>665</v>
      </c>
      <c r="AC90" s="2698" t="s">
        <v>1605</v>
      </c>
      <c r="AD90" s="2693"/>
      <c r="AE90" s="2706" t="s">
        <v>1067</v>
      </c>
      <c r="AF90" s="2693" t="s">
        <v>1068</v>
      </c>
      <c r="AG90" s="2757" t="s">
        <v>1069</v>
      </c>
      <c r="AH90" s="2693" t="s">
        <v>1174</v>
      </c>
      <c r="AI90" s="2693" t="s">
        <v>1070</v>
      </c>
      <c r="AJ90" s="2758"/>
      <c r="AK90" s="2759" t="s">
        <v>1423</v>
      </c>
      <c r="AL90" s="2706">
        <v>82253558</v>
      </c>
      <c r="AM90" s="2706"/>
      <c r="AN90" s="2757" t="s">
        <v>1072</v>
      </c>
      <c r="AO90" s="2706" t="s">
        <v>1750</v>
      </c>
      <c r="AP90" s="2693" t="s">
        <v>1208</v>
      </c>
      <c r="AQ90" s="2693" t="s">
        <v>1607</v>
      </c>
      <c r="AR90" s="2706"/>
      <c r="AS90" s="2706"/>
      <c r="AT90" s="2706"/>
      <c r="AU90" s="2706"/>
      <c r="AV90" s="2706"/>
      <c r="AW90" s="2706" t="s">
        <v>1250</v>
      </c>
      <c r="AX90" s="2706"/>
      <c r="AY90" s="2772"/>
      <c r="AZ90" s="2706" t="s">
        <v>1751</v>
      </c>
      <c r="BA90" s="2706"/>
      <c r="BB90" s="2772"/>
      <c r="BC90" s="2706"/>
      <c r="BD90" s="2773"/>
      <c r="BE90" s="2706"/>
      <c r="BF90" s="2795"/>
      <c r="BG90" s="2796">
        <v>38590</v>
      </c>
      <c r="BH90" s="2706"/>
      <c r="BI90" s="2693" t="s">
        <v>1070</v>
      </c>
      <c r="BJ90" s="2797">
        <v>38614</v>
      </c>
      <c r="BK90" s="2797"/>
      <c r="BL90" s="2693" t="s">
        <v>1174</v>
      </c>
      <c r="BM90" s="2706" t="s">
        <v>888</v>
      </c>
      <c r="BN90" s="2706" t="s">
        <v>1148</v>
      </c>
      <c r="BO90" s="2706" t="s">
        <v>1344</v>
      </c>
      <c r="BP90" s="2706"/>
      <c r="BQ90" s="2706" t="e">
        <v>#DIV/0!</v>
      </c>
      <c r="BR90" s="2706" t="e">
        <v>#DIV/0!</v>
      </c>
      <c r="BS90" s="2510"/>
      <c r="BT90" s="2510"/>
      <c r="BU90" s="2510"/>
    </row>
    <row r="91" s="2504" customFormat="1" ht="12" hidden="1" spans="1:70">
      <c r="A91" s="2688" t="s">
        <v>1752</v>
      </c>
      <c r="B91" s="2691" t="s">
        <v>1753</v>
      </c>
      <c r="C91" s="2689" t="s">
        <v>1754</v>
      </c>
      <c r="D91" s="2691" t="s">
        <v>1755</v>
      </c>
      <c r="E91" s="2691" t="s">
        <v>1060</v>
      </c>
      <c r="F91" s="2691" t="s">
        <v>1679</v>
      </c>
      <c r="G91" s="2691"/>
      <c r="H91" s="2691" t="s">
        <v>1705</v>
      </c>
      <c r="I91" s="2691" t="s">
        <v>1134</v>
      </c>
      <c r="J91" s="2691" t="s">
        <v>1268</v>
      </c>
      <c r="K91" s="2691" t="s">
        <v>1753</v>
      </c>
      <c r="L91" s="2697">
        <v>51.18</v>
      </c>
      <c r="M91" s="2697">
        <v>5</v>
      </c>
      <c r="N91" s="2688" t="s">
        <v>1259</v>
      </c>
      <c r="O91" s="2697"/>
      <c r="P91" s="2691" t="s">
        <v>1756</v>
      </c>
      <c r="Q91" s="2712">
        <v>331000</v>
      </c>
      <c r="R91" s="2712">
        <v>6467</v>
      </c>
      <c r="S91" s="2722">
        <v>22.51</v>
      </c>
      <c r="T91" s="2723">
        <v>225100</v>
      </c>
      <c r="U91" s="2685">
        <v>4400</v>
      </c>
      <c r="V91" s="2727">
        <v>0.05</v>
      </c>
      <c r="W91" s="2722">
        <v>21.38</v>
      </c>
      <c r="X91" s="2723">
        <v>213800</v>
      </c>
      <c r="Y91" s="2745">
        <v>2005</v>
      </c>
      <c r="Z91" s="2745">
        <v>9</v>
      </c>
      <c r="AA91" s="2745">
        <v>28</v>
      </c>
      <c r="AB91" s="2688">
        <v>675</v>
      </c>
      <c r="AC91" s="2688" t="s">
        <v>1605</v>
      </c>
      <c r="AD91" s="2691"/>
      <c r="AE91" s="2688" t="s">
        <v>175</v>
      </c>
      <c r="AF91" s="2691" t="s">
        <v>1068</v>
      </c>
      <c r="AG91" s="2691" t="s">
        <v>1069</v>
      </c>
      <c r="AH91" s="2691"/>
      <c r="AI91" s="2688" t="s">
        <v>1342</v>
      </c>
      <c r="AJ91" s="2760"/>
      <c r="AK91" s="2755" t="s">
        <v>1124</v>
      </c>
      <c r="AL91" s="2688">
        <v>82253558</v>
      </c>
      <c r="AM91" s="2745"/>
      <c r="AN91" s="2689" t="s">
        <v>1071</v>
      </c>
      <c r="AO91" s="2745" t="s">
        <v>1757</v>
      </c>
      <c r="AP91" s="2688" t="s">
        <v>175</v>
      </c>
      <c r="AQ91" s="2745" t="s">
        <v>1607</v>
      </c>
      <c r="AR91" s="2688"/>
      <c r="AS91" s="2688"/>
      <c r="AT91" s="2688"/>
      <c r="AU91" s="2688"/>
      <c r="AV91" s="2765"/>
      <c r="AW91" s="2691" t="s">
        <v>1090</v>
      </c>
      <c r="AX91" s="2691"/>
      <c r="AY91" s="2691"/>
      <c r="AZ91" s="2691" t="s">
        <v>1758</v>
      </c>
      <c r="BA91" s="2691"/>
      <c r="BB91" s="2696"/>
      <c r="BC91" s="2691"/>
      <c r="BD91" s="2691"/>
      <c r="BE91" s="2691"/>
      <c r="BF91" s="2788"/>
      <c r="BG91" s="2792">
        <v>38604</v>
      </c>
      <c r="BH91" s="2691"/>
      <c r="BI91" s="2691" t="s">
        <v>1609</v>
      </c>
      <c r="BJ91" s="2789">
        <v>38607</v>
      </c>
      <c r="BK91" s="2753"/>
      <c r="BL91" s="2688" t="s">
        <v>1759</v>
      </c>
      <c r="BM91" s="2745" t="s">
        <v>888</v>
      </c>
      <c r="BN91" s="2688" t="s">
        <v>1077</v>
      </c>
      <c r="BO91" s="2744" t="s">
        <v>1128</v>
      </c>
      <c r="BP91" s="2745"/>
      <c r="BQ91" s="2745" t="e">
        <v>#DIV/0!</v>
      </c>
      <c r="BR91" s="2745" t="e">
        <v>#DIV/0!</v>
      </c>
    </row>
    <row r="92" s="2504" customFormat="1" ht="12" hidden="1" spans="1:70">
      <c r="A92" s="2688" t="s">
        <v>1760</v>
      </c>
      <c r="B92" s="2688" t="s">
        <v>1761</v>
      </c>
      <c r="C92" s="2689" t="s">
        <v>1762</v>
      </c>
      <c r="D92" s="2689" t="s">
        <v>1763</v>
      </c>
      <c r="E92" s="2688" t="s">
        <v>1060</v>
      </c>
      <c r="F92" s="2690" t="s">
        <v>1764</v>
      </c>
      <c r="G92" s="2688"/>
      <c r="H92" s="2688" t="s">
        <v>1421</v>
      </c>
      <c r="I92" s="2688"/>
      <c r="J92" s="2689" t="s">
        <v>1765</v>
      </c>
      <c r="K92" s="2688" t="s">
        <v>1766</v>
      </c>
      <c r="L92" s="2688">
        <v>84.05</v>
      </c>
      <c r="M92" s="2688">
        <v>16</v>
      </c>
      <c r="N92" s="2691" t="s">
        <v>1064</v>
      </c>
      <c r="O92" s="2688"/>
      <c r="P92" s="2688" t="s">
        <v>1065</v>
      </c>
      <c r="Q92" s="2712">
        <v>680000</v>
      </c>
      <c r="R92" s="2688">
        <v>8090</v>
      </c>
      <c r="S92" s="2722">
        <v>57.65</v>
      </c>
      <c r="T92" s="2723">
        <v>576500</v>
      </c>
      <c r="U92" s="2688">
        <v>6860</v>
      </c>
      <c r="V92" s="2724">
        <v>0.2</v>
      </c>
      <c r="W92" s="2722">
        <v>46.12</v>
      </c>
      <c r="X92" s="2725">
        <v>461200</v>
      </c>
      <c r="Y92" s="2745">
        <v>2005</v>
      </c>
      <c r="Z92" s="2745">
        <v>9</v>
      </c>
      <c r="AA92" s="2745">
        <v>16</v>
      </c>
      <c r="AB92" s="2688">
        <v>1500</v>
      </c>
      <c r="AC92" s="2688" t="s">
        <v>1707</v>
      </c>
      <c r="AD92" s="2688"/>
      <c r="AE92" s="2745" t="s">
        <v>1067</v>
      </c>
      <c r="AF92" s="2688" t="s">
        <v>1068</v>
      </c>
      <c r="AG92" s="2688"/>
      <c r="AH92" s="2688"/>
      <c r="AI92" s="2688" t="s">
        <v>1070</v>
      </c>
      <c r="AJ92" s="2753"/>
      <c r="AK92" s="2754" t="s">
        <v>1124</v>
      </c>
      <c r="AL92" s="2745">
        <v>82253558</v>
      </c>
      <c r="AM92" s="2745"/>
      <c r="AN92" s="2745"/>
      <c r="AO92" s="2745" t="s">
        <v>1767</v>
      </c>
      <c r="AP92" s="2688" t="s">
        <v>1067</v>
      </c>
      <c r="AQ92" s="2745" t="s">
        <v>1074</v>
      </c>
      <c r="AR92" s="2745"/>
      <c r="AS92" s="2745"/>
      <c r="AT92" s="2745"/>
      <c r="AU92" s="2745"/>
      <c r="AV92" s="2745"/>
      <c r="AW92" s="2745"/>
      <c r="AX92" s="2745"/>
      <c r="AY92" s="2769"/>
      <c r="AZ92" s="2745" t="s">
        <v>1766</v>
      </c>
      <c r="BA92" s="2745"/>
      <c r="BB92" s="2769"/>
      <c r="BC92" s="2745"/>
      <c r="BD92" s="2770"/>
      <c r="BE92" s="2745"/>
      <c r="BF92" s="2788"/>
      <c r="BG92" s="2790">
        <v>38610</v>
      </c>
      <c r="BH92" s="2745"/>
      <c r="BI92" s="2745" t="s">
        <v>1067</v>
      </c>
      <c r="BJ92" s="2789"/>
      <c r="BK92" s="2789"/>
      <c r="BL92" s="2688" t="s">
        <v>1092</v>
      </c>
      <c r="BM92" s="2745" t="s">
        <v>888</v>
      </c>
      <c r="BN92" s="2745" t="s">
        <v>1077</v>
      </c>
      <c r="BO92" s="2745" t="s">
        <v>1344</v>
      </c>
      <c r="BP92" s="2745"/>
      <c r="BQ92" s="2745" t="e">
        <v>#DIV/0!</v>
      </c>
      <c r="BR92" s="2745" t="e">
        <v>#DIV/0!</v>
      </c>
    </row>
    <row r="93" s="2505" customFormat="1" ht="12" hidden="1" spans="1:73">
      <c r="A93" s="2688" t="s">
        <v>1768</v>
      </c>
      <c r="B93" s="2688" t="s">
        <v>1769</v>
      </c>
      <c r="C93" s="2689" t="s">
        <v>1770</v>
      </c>
      <c r="D93" s="2689" t="s">
        <v>1771</v>
      </c>
      <c r="E93" s="2688" t="s">
        <v>1060</v>
      </c>
      <c r="F93" s="2690" t="s">
        <v>1772</v>
      </c>
      <c r="G93" s="2688"/>
      <c r="H93" s="2688" t="s">
        <v>1180</v>
      </c>
      <c r="I93" s="2688" t="s">
        <v>1114</v>
      </c>
      <c r="J93" s="2689" t="s">
        <v>1268</v>
      </c>
      <c r="K93" s="2688" t="s">
        <v>1769</v>
      </c>
      <c r="L93" s="2708">
        <v>94.4</v>
      </c>
      <c r="M93" s="2688">
        <v>5</v>
      </c>
      <c r="N93" s="2688" t="s">
        <v>1064</v>
      </c>
      <c r="O93" s="2688"/>
      <c r="P93" s="2688" t="s">
        <v>1065</v>
      </c>
      <c r="Q93" s="2712">
        <v>640000</v>
      </c>
      <c r="R93" s="2688">
        <v>6780</v>
      </c>
      <c r="S93" s="2722">
        <v>54.75</v>
      </c>
      <c r="T93" s="2723">
        <v>547500</v>
      </c>
      <c r="U93" s="2688">
        <v>5800</v>
      </c>
      <c r="V93" s="2724">
        <v>0.05</v>
      </c>
      <c r="W93" s="2722">
        <v>52.01</v>
      </c>
      <c r="X93" s="2725">
        <v>520100</v>
      </c>
      <c r="Y93" s="2688">
        <v>2005</v>
      </c>
      <c r="Z93" s="2688">
        <v>10</v>
      </c>
      <c r="AA93" s="2745">
        <v>11</v>
      </c>
      <c r="AB93" s="2688">
        <v>1500</v>
      </c>
      <c r="AC93" s="2688" t="s">
        <v>1605</v>
      </c>
      <c r="AD93" s="2688"/>
      <c r="AE93" s="2688" t="s">
        <v>1067</v>
      </c>
      <c r="AF93" s="2688" t="s">
        <v>1068</v>
      </c>
      <c r="AG93" s="2688" t="s">
        <v>1069</v>
      </c>
      <c r="AH93" s="2688"/>
      <c r="AI93" s="2688" t="s">
        <v>1342</v>
      </c>
      <c r="AJ93" s="2753"/>
      <c r="AK93" s="2688" t="s">
        <v>1773</v>
      </c>
      <c r="AL93" s="2688">
        <v>82253558</v>
      </c>
      <c r="AM93" s="2745"/>
      <c r="AN93" s="2688" t="s">
        <v>1088</v>
      </c>
      <c r="AO93" s="2745"/>
      <c r="AP93" s="2688" t="s">
        <v>1208</v>
      </c>
      <c r="AQ93" s="2688" t="s">
        <v>1074</v>
      </c>
      <c r="AR93" s="2745"/>
      <c r="AS93" s="2745"/>
      <c r="AT93" s="2745"/>
      <c r="AU93" s="2745"/>
      <c r="AV93" s="2745"/>
      <c r="AW93" s="2688" t="s">
        <v>1343</v>
      </c>
      <c r="AX93" s="2745"/>
      <c r="AY93" s="2769"/>
      <c r="AZ93" s="2745" t="s">
        <v>1774</v>
      </c>
      <c r="BA93" s="2745"/>
      <c r="BB93" s="2769"/>
      <c r="BC93" s="2745"/>
      <c r="BD93" s="2770"/>
      <c r="BE93" s="2745"/>
      <c r="BF93" s="2788"/>
      <c r="BG93" s="2790">
        <v>38611</v>
      </c>
      <c r="BH93" s="2745"/>
      <c r="BI93" s="2688" t="s">
        <v>1609</v>
      </c>
      <c r="BJ93" s="2792">
        <v>38611</v>
      </c>
      <c r="BK93" s="2789"/>
      <c r="BL93" s="2688" t="s">
        <v>1174</v>
      </c>
      <c r="BM93" s="2688" t="s">
        <v>888</v>
      </c>
      <c r="BN93" s="2688" t="s">
        <v>1077</v>
      </c>
      <c r="BO93" s="2688" t="s">
        <v>1775</v>
      </c>
      <c r="BP93" s="2745"/>
      <c r="BQ93" s="2745" t="e">
        <v>#DIV/0!</v>
      </c>
      <c r="BR93" s="2745" t="e">
        <v>#DIV/0!</v>
      </c>
      <c r="BS93" s="2504"/>
      <c r="BT93" s="2504"/>
      <c r="BU93" s="2504"/>
    </row>
    <row r="94" s="2504" customFormat="1" ht="12" hidden="1" spans="1:70">
      <c r="A94" s="2688" t="s">
        <v>1776</v>
      </c>
      <c r="B94" s="2691" t="s">
        <v>1777</v>
      </c>
      <c r="C94" s="2689" t="s">
        <v>1778</v>
      </c>
      <c r="D94" s="2691" t="s">
        <v>1779</v>
      </c>
      <c r="E94" s="2691" t="s">
        <v>1060</v>
      </c>
      <c r="F94" s="2691" t="s">
        <v>1780</v>
      </c>
      <c r="G94" s="2691"/>
      <c r="H94" s="2691" t="s">
        <v>1239</v>
      </c>
      <c r="I94" s="2691"/>
      <c r="J94" s="2691" t="s">
        <v>1781</v>
      </c>
      <c r="K94" s="2691" t="s">
        <v>1777</v>
      </c>
      <c r="L94" s="2702">
        <v>78.47</v>
      </c>
      <c r="M94" s="2697">
        <v>13</v>
      </c>
      <c r="N94" s="2688" t="s">
        <v>1064</v>
      </c>
      <c r="O94" s="2697"/>
      <c r="P94" s="2688" t="s">
        <v>1065</v>
      </c>
      <c r="Q94" s="2712">
        <v>555000</v>
      </c>
      <c r="R94" s="2688">
        <v>7073</v>
      </c>
      <c r="S94" s="2722">
        <v>47.97</v>
      </c>
      <c r="T94" s="2723">
        <v>479700</v>
      </c>
      <c r="U94" s="2688">
        <v>6114</v>
      </c>
      <c r="V94" s="2724">
        <v>0.05</v>
      </c>
      <c r="W94" s="2722">
        <v>45.57</v>
      </c>
      <c r="X94" s="2725">
        <v>455700</v>
      </c>
      <c r="Y94" s="2745">
        <v>2005</v>
      </c>
      <c r="Z94" s="2688">
        <v>10</v>
      </c>
      <c r="AA94" s="2745">
        <v>24</v>
      </c>
      <c r="AB94" s="2688">
        <v>1435</v>
      </c>
      <c r="AC94" s="2688" t="s">
        <v>1605</v>
      </c>
      <c r="AD94" s="2691"/>
      <c r="AE94" s="2745" t="s">
        <v>1070</v>
      </c>
      <c r="AF94" s="2688" t="s">
        <v>1068</v>
      </c>
      <c r="AG94" s="2691" t="s">
        <v>1069</v>
      </c>
      <c r="AH94" s="2691"/>
      <c r="AI94" s="2688" t="s">
        <v>1342</v>
      </c>
      <c r="AJ94" s="2760"/>
      <c r="AK94" s="2755" t="s">
        <v>1423</v>
      </c>
      <c r="AL94" s="2688">
        <v>82253558</v>
      </c>
      <c r="AM94" s="2745"/>
      <c r="AN94" s="2688" t="s">
        <v>1182</v>
      </c>
      <c r="AO94" s="2688"/>
      <c r="AP94" s="2688" t="s">
        <v>1208</v>
      </c>
      <c r="AQ94" s="2745" t="s">
        <v>1607</v>
      </c>
      <c r="AR94" s="2688"/>
      <c r="AS94" s="2688"/>
      <c r="AT94" s="2688"/>
      <c r="AU94" s="2688"/>
      <c r="AV94" s="2765"/>
      <c r="AW94" s="2745" t="s">
        <v>1343</v>
      </c>
      <c r="AX94" s="2745"/>
      <c r="AY94" s="2769"/>
      <c r="AZ94" s="2688" t="s">
        <v>1782</v>
      </c>
      <c r="BA94" s="2774"/>
      <c r="BB94" s="2775"/>
      <c r="BC94" s="2774"/>
      <c r="BD94" s="2776"/>
      <c r="BE94" s="2745">
        <v>13601298151</v>
      </c>
      <c r="BF94" s="2788"/>
      <c r="BG94" s="2798" t="s">
        <v>1783</v>
      </c>
      <c r="BH94" s="2688"/>
      <c r="BI94" s="2688" t="s">
        <v>1070</v>
      </c>
      <c r="BJ94" s="2789">
        <v>38622</v>
      </c>
      <c r="BK94" s="2753"/>
      <c r="BL94" s="2688" t="s">
        <v>1174</v>
      </c>
      <c r="BM94" s="2688" t="s">
        <v>888</v>
      </c>
      <c r="BN94" s="2688" t="s">
        <v>1148</v>
      </c>
      <c r="BO94" s="2688" t="s">
        <v>1331</v>
      </c>
      <c r="BP94" s="2745"/>
      <c r="BQ94" s="2745" t="e">
        <v>#DIV/0!</v>
      </c>
      <c r="BR94" s="2745" t="e">
        <v>#DIV/0!</v>
      </c>
    </row>
    <row r="95" s="2504" customFormat="1" ht="12" hidden="1" spans="1:70">
      <c r="A95" s="2688" t="s">
        <v>1784</v>
      </c>
      <c r="B95" s="2688" t="s">
        <v>1785</v>
      </c>
      <c r="C95" s="2696" t="s">
        <v>1786</v>
      </c>
      <c r="D95" s="2697">
        <v>13522968718</v>
      </c>
      <c r="E95" s="2697" t="s">
        <v>1060</v>
      </c>
      <c r="F95" s="2688" t="s">
        <v>1787</v>
      </c>
      <c r="G95" s="2697"/>
      <c r="H95" s="2691" t="s">
        <v>1155</v>
      </c>
      <c r="I95" s="2691"/>
      <c r="J95" s="2697" t="s">
        <v>1382</v>
      </c>
      <c r="K95" s="2688" t="s">
        <v>1785</v>
      </c>
      <c r="L95" s="2702">
        <v>49.6</v>
      </c>
      <c r="M95" s="2697">
        <v>2</v>
      </c>
      <c r="N95" s="2691" t="s">
        <v>1259</v>
      </c>
      <c r="O95" s="2697"/>
      <c r="P95" s="2697" t="s">
        <v>1065</v>
      </c>
      <c r="Q95" s="2712">
        <v>350000</v>
      </c>
      <c r="R95" s="2712">
        <v>7056</v>
      </c>
      <c r="S95" s="2722">
        <v>30.75</v>
      </c>
      <c r="T95" s="2723">
        <v>307500</v>
      </c>
      <c r="U95" s="2688">
        <v>6200</v>
      </c>
      <c r="V95" s="2724">
        <v>0.05</v>
      </c>
      <c r="W95" s="2722">
        <v>29.21</v>
      </c>
      <c r="X95" s="2723">
        <v>292100</v>
      </c>
      <c r="Y95" s="2745">
        <v>2005</v>
      </c>
      <c r="Z95" s="2745">
        <v>10</v>
      </c>
      <c r="AA95" s="2688">
        <v>26</v>
      </c>
      <c r="AB95" s="2688">
        <v>920</v>
      </c>
      <c r="AC95" s="2688" t="s">
        <v>1605</v>
      </c>
      <c r="AD95" s="2697"/>
      <c r="AE95" s="2688" t="s">
        <v>175</v>
      </c>
      <c r="AF95" s="2697" t="s">
        <v>1068</v>
      </c>
      <c r="AG95" s="2697" t="s">
        <v>1069</v>
      </c>
      <c r="AH95" s="2697"/>
      <c r="AI95" s="2688" t="s">
        <v>1342</v>
      </c>
      <c r="AJ95" s="2760"/>
      <c r="AK95" s="2755" t="s">
        <v>1423</v>
      </c>
      <c r="AL95" s="2745">
        <v>82253558</v>
      </c>
      <c r="AM95" s="2745"/>
      <c r="AN95" s="2688" t="s">
        <v>1182</v>
      </c>
      <c r="AO95" s="2688" t="s">
        <v>1788</v>
      </c>
      <c r="AP95" s="2688" t="s">
        <v>1208</v>
      </c>
      <c r="AQ95" s="2688" t="s">
        <v>1607</v>
      </c>
      <c r="AR95" s="2697"/>
      <c r="AS95" s="2697"/>
      <c r="AT95" s="2697"/>
      <c r="AU95" s="2697"/>
      <c r="AV95" s="2697"/>
      <c r="AW95" s="2688"/>
      <c r="AX95" s="2697"/>
      <c r="AY95" s="2696"/>
      <c r="AZ95" s="2691" t="s">
        <v>1789</v>
      </c>
      <c r="BA95" s="2691"/>
      <c r="BB95" s="2691"/>
      <c r="BC95" s="2691"/>
      <c r="BD95" s="2697"/>
      <c r="BE95" s="2697"/>
      <c r="BF95" s="2697"/>
      <c r="BG95" s="2760">
        <v>38621</v>
      </c>
      <c r="BH95" s="2697"/>
      <c r="BI95" s="2691" t="s">
        <v>1609</v>
      </c>
      <c r="BJ95" s="2760">
        <v>38625</v>
      </c>
      <c r="BK95" s="2760"/>
      <c r="BL95" s="2745"/>
      <c r="BM95" s="2745" t="s">
        <v>888</v>
      </c>
      <c r="BN95" s="2697" t="s">
        <v>1077</v>
      </c>
      <c r="BO95" s="2688" t="s">
        <v>1128</v>
      </c>
      <c r="BP95" s="2697"/>
      <c r="BQ95" s="2745" t="e">
        <v>#DIV/0!</v>
      </c>
      <c r="BR95" s="2745" t="e">
        <v>#DIV/0!</v>
      </c>
    </row>
    <row r="96" s="2504" customFormat="1" ht="12" hidden="1" spans="1:70">
      <c r="A96" s="2688" t="s">
        <v>1790</v>
      </c>
      <c r="B96" s="2688" t="s">
        <v>1791</v>
      </c>
      <c r="C96" s="2689" t="s">
        <v>1792</v>
      </c>
      <c r="D96" s="2688">
        <v>82304970</v>
      </c>
      <c r="E96" s="2688" t="s">
        <v>1060</v>
      </c>
      <c r="F96" s="2688" t="s">
        <v>1653</v>
      </c>
      <c r="G96" s="2688"/>
      <c r="H96" s="2688" t="s">
        <v>1098</v>
      </c>
      <c r="I96" s="2688" t="s">
        <v>1134</v>
      </c>
      <c r="J96" s="2688" t="s">
        <v>1793</v>
      </c>
      <c r="K96" s="2688" t="s">
        <v>1794</v>
      </c>
      <c r="L96" s="2708">
        <v>91.3</v>
      </c>
      <c r="M96" s="2688">
        <v>8</v>
      </c>
      <c r="N96" s="2688" t="s">
        <v>1064</v>
      </c>
      <c r="O96" s="2688"/>
      <c r="P96" s="2688" t="s">
        <v>1065</v>
      </c>
      <c r="Q96" s="2688">
        <v>585000</v>
      </c>
      <c r="R96" s="2688">
        <v>6407</v>
      </c>
      <c r="S96" s="2722">
        <v>54.78</v>
      </c>
      <c r="T96" s="2723">
        <v>547800</v>
      </c>
      <c r="U96" s="2688">
        <v>6000</v>
      </c>
      <c r="V96" s="2727">
        <v>0.2</v>
      </c>
      <c r="W96" s="2722">
        <v>43.82</v>
      </c>
      <c r="X96" s="2725">
        <v>438200</v>
      </c>
      <c r="Y96" s="2688">
        <v>2005</v>
      </c>
      <c r="Z96" s="2688">
        <v>10</v>
      </c>
      <c r="AA96" s="2745">
        <v>8</v>
      </c>
      <c r="AB96" s="2688">
        <v>1500</v>
      </c>
      <c r="AC96" s="2688" t="s">
        <v>1605</v>
      </c>
      <c r="AD96" s="2688"/>
      <c r="AE96" s="2688" t="s">
        <v>1342</v>
      </c>
      <c r="AF96" s="2688" t="s">
        <v>1068</v>
      </c>
      <c r="AG96" s="2688" t="s">
        <v>1069</v>
      </c>
      <c r="AH96" s="2688"/>
      <c r="AI96" s="2688" t="s">
        <v>1342</v>
      </c>
      <c r="AJ96" s="2753"/>
      <c r="AK96" s="2688" t="s">
        <v>1423</v>
      </c>
      <c r="AL96" s="2688">
        <v>82253558</v>
      </c>
      <c r="AM96" s="2688"/>
      <c r="AN96" s="2688" t="s">
        <v>1088</v>
      </c>
      <c r="AO96" s="2688" t="s">
        <v>1795</v>
      </c>
      <c r="AP96" s="2688" t="s">
        <v>1208</v>
      </c>
      <c r="AQ96" s="2688" t="s">
        <v>1074</v>
      </c>
      <c r="AR96" s="2688"/>
      <c r="AS96" s="2688"/>
      <c r="AT96" s="2688"/>
      <c r="AU96" s="2688"/>
      <c r="AV96" s="2688"/>
      <c r="AW96" s="2688" t="s">
        <v>1343</v>
      </c>
      <c r="AX96" s="2688"/>
      <c r="AY96" s="2689"/>
      <c r="AZ96" s="2688" t="s">
        <v>1794</v>
      </c>
      <c r="BA96" s="2688"/>
      <c r="BB96" s="2688"/>
      <c r="BC96" s="2688"/>
      <c r="BD96" s="2688"/>
      <c r="BE96" s="2688"/>
      <c r="BF96" s="2688"/>
      <c r="BG96" s="2792">
        <v>38592</v>
      </c>
      <c r="BH96" s="2688" t="s">
        <v>1174</v>
      </c>
      <c r="BI96" s="2688" t="s">
        <v>1342</v>
      </c>
      <c r="BJ96" s="2789"/>
      <c r="BK96" s="2789"/>
      <c r="BL96" s="2688" t="s">
        <v>1092</v>
      </c>
      <c r="BM96" s="2688" t="s">
        <v>888</v>
      </c>
      <c r="BN96" s="2688" t="s">
        <v>1077</v>
      </c>
      <c r="BO96" s="2688" t="s">
        <v>1128</v>
      </c>
      <c r="BP96" s="2688"/>
      <c r="BQ96" s="2745" t="e">
        <v>#DIV/0!</v>
      </c>
      <c r="BR96" s="2745" t="e">
        <v>#DIV/0!</v>
      </c>
    </row>
    <row r="97" s="2504" customFormat="1" ht="12" hidden="1" spans="1:70">
      <c r="A97" s="2688" t="s">
        <v>1796</v>
      </c>
      <c r="B97" s="2688" t="s">
        <v>1797</v>
      </c>
      <c r="C97" s="2689" t="s">
        <v>1798</v>
      </c>
      <c r="D97" s="2691">
        <v>13701288692</v>
      </c>
      <c r="E97" s="2688" t="s">
        <v>1060</v>
      </c>
      <c r="F97" s="2688" t="s">
        <v>1799</v>
      </c>
      <c r="G97" s="2688"/>
      <c r="H97" s="2688" t="s">
        <v>1062</v>
      </c>
      <c r="I97" s="2688"/>
      <c r="J97" s="2688" t="s">
        <v>1800</v>
      </c>
      <c r="K97" s="2688" t="s">
        <v>1801</v>
      </c>
      <c r="L97" s="2708">
        <v>117.51</v>
      </c>
      <c r="M97" s="2688">
        <v>5</v>
      </c>
      <c r="N97" s="2691" t="s">
        <v>1513</v>
      </c>
      <c r="O97" s="2688">
        <v>99.02</v>
      </c>
      <c r="P97" s="2688" t="s">
        <v>1065</v>
      </c>
      <c r="Q97" s="2712">
        <v>893076</v>
      </c>
      <c r="R97" s="2712">
        <v>7600</v>
      </c>
      <c r="S97" s="2722">
        <v>91.65</v>
      </c>
      <c r="T97" s="2723">
        <v>916500</v>
      </c>
      <c r="U97" s="2688">
        <v>7800</v>
      </c>
      <c r="V97" s="2724">
        <v>0.05</v>
      </c>
      <c r="W97" s="2722">
        <v>87.06</v>
      </c>
      <c r="X97" s="2723">
        <v>870600</v>
      </c>
      <c r="Y97" s="2745">
        <v>2005</v>
      </c>
      <c r="Z97" s="2745">
        <v>10</v>
      </c>
      <c r="AA97" s="2688">
        <v>17</v>
      </c>
      <c r="AB97" s="2745">
        <v>1500</v>
      </c>
      <c r="AC97" s="2688" t="s">
        <v>1605</v>
      </c>
      <c r="AD97" s="2688"/>
      <c r="AE97" s="2688" t="s">
        <v>175</v>
      </c>
      <c r="AF97" s="2688" t="s">
        <v>1068</v>
      </c>
      <c r="AG97" s="2747" t="s">
        <v>1069</v>
      </c>
      <c r="AH97" s="2688"/>
      <c r="AI97" s="2747" t="s">
        <v>1070</v>
      </c>
      <c r="AJ97" s="2753"/>
      <c r="AK97" s="2754" t="s">
        <v>1423</v>
      </c>
      <c r="AL97" s="2745">
        <v>82253558</v>
      </c>
      <c r="AM97" s="2688"/>
      <c r="AN97" s="2747" t="s">
        <v>1072</v>
      </c>
      <c r="AO97" s="2745" t="s">
        <v>1802</v>
      </c>
      <c r="AP97" s="2688" t="s">
        <v>175</v>
      </c>
      <c r="AQ97" s="2688" t="s">
        <v>1074</v>
      </c>
      <c r="AR97" s="2688"/>
      <c r="AS97" s="2688"/>
      <c r="AT97" s="2688"/>
      <c r="AU97" s="2688"/>
      <c r="AV97" s="2688"/>
      <c r="AW97" s="2688" t="s">
        <v>1174</v>
      </c>
      <c r="AX97" s="2688"/>
      <c r="AY97" s="2689"/>
      <c r="AZ97" s="2688" t="s">
        <v>1801</v>
      </c>
      <c r="BA97" s="2688"/>
      <c r="BB97" s="2689"/>
      <c r="BC97" s="2688"/>
      <c r="BD97" s="2771"/>
      <c r="BE97" s="2688"/>
      <c r="BF97" s="2793"/>
      <c r="BG97" s="2753">
        <v>38624</v>
      </c>
      <c r="BH97" s="2688"/>
      <c r="BI97" s="2688" t="s">
        <v>175</v>
      </c>
      <c r="BJ97" s="2753">
        <v>38638</v>
      </c>
      <c r="BK97" s="2794"/>
      <c r="BL97" s="2688" t="s">
        <v>1174</v>
      </c>
      <c r="BM97" s="2745"/>
      <c r="BN97" s="2745" t="s">
        <v>1174</v>
      </c>
      <c r="BO97" s="2688" t="s">
        <v>1128</v>
      </c>
      <c r="BP97" s="2745"/>
      <c r="BQ97" s="2745">
        <v>9256</v>
      </c>
      <c r="BR97" s="2745">
        <v>9019</v>
      </c>
    </row>
    <row r="98" s="2504" customFormat="1" ht="12" hidden="1" spans="1:70">
      <c r="A98" s="2688" t="s">
        <v>1803</v>
      </c>
      <c r="B98" s="2691" t="s">
        <v>1804</v>
      </c>
      <c r="C98" s="2689" t="s">
        <v>1805</v>
      </c>
      <c r="D98" s="2691">
        <v>13683388870</v>
      </c>
      <c r="E98" s="2691" t="s">
        <v>1060</v>
      </c>
      <c r="F98" s="2691" t="s">
        <v>1806</v>
      </c>
      <c r="G98" s="2691"/>
      <c r="H98" s="2691" t="s">
        <v>1248</v>
      </c>
      <c r="I98" s="2691"/>
      <c r="J98" s="2691" t="s">
        <v>1527</v>
      </c>
      <c r="K98" s="2691" t="s">
        <v>1804</v>
      </c>
      <c r="L98" s="2702">
        <v>110.13</v>
      </c>
      <c r="M98" s="2697">
        <v>2</v>
      </c>
      <c r="N98" s="2688" t="s">
        <v>1064</v>
      </c>
      <c r="O98" s="2697"/>
      <c r="P98" s="2688" t="s">
        <v>1065</v>
      </c>
      <c r="Q98" s="2712">
        <v>700000</v>
      </c>
      <c r="R98" s="2688">
        <v>6356</v>
      </c>
      <c r="S98" s="2722">
        <v>70.2</v>
      </c>
      <c r="T98" s="2723">
        <v>702000</v>
      </c>
      <c r="U98" s="2688">
        <v>6375</v>
      </c>
      <c r="V98" s="2724">
        <v>0.2</v>
      </c>
      <c r="W98" s="2722">
        <v>56.16</v>
      </c>
      <c r="X98" s="2725">
        <v>561600</v>
      </c>
      <c r="Y98" s="2745">
        <v>2005</v>
      </c>
      <c r="Z98" s="2688">
        <v>10</v>
      </c>
      <c r="AA98" s="2745">
        <v>10</v>
      </c>
      <c r="AB98" s="2688">
        <v>1500</v>
      </c>
      <c r="AC98" s="2688" t="s">
        <v>1707</v>
      </c>
      <c r="AD98" s="2691"/>
      <c r="AE98" s="2745" t="s">
        <v>1070</v>
      </c>
      <c r="AF98" s="2688" t="s">
        <v>1068</v>
      </c>
      <c r="AG98" s="2691" t="s">
        <v>1069</v>
      </c>
      <c r="AH98" s="2691"/>
      <c r="AI98" s="2688" t="s">
        <v>1342</v>
      </c>
      <c r="AJ98" s="2760"/>
      <c r="AK98" s="2755" t="s">
        <v>1423</v>
      </c>
      <c r="AL98" s="2688">
        <v>82253558</v>
      </c>
      <c r="AM98" s="2745"/>
      <c r="AN98" s="2745" t="s">
        <v>1088</v>
      </c>
      <c r="AO98" s="2688"/>
      <c r="AP98" s="2688" t="s">
        <v>1208</v>
      </c>
      <c r="AQ98" s="2745" t="s">
        <v>1074</v>
      </c>
      <c r="AR98" s="2688"/>
      <c r="AS98" s="2688"/>
      <c r="AT98" s="2688"/>
      <c r="AU98" s="2688"/>
      <c r="AV98" s="2765"/>
      <c r="AW98" s="2745" t="s">
        <v>1343</v>
      </c>
      <c r="AX98" s="2745"/>
      <c r="AY98" s="2769"/>
      <c r="AZ98" s="2688" t="s">
        <v>1807</v>
      </c>
      <c r="BA98" s="2774"/>
      <c r="BB98" s="2775"/>
      <c r="BC98" s="2774"/>
      <c r="BD98" s="2776"/>
      <c r="BE98" s="2745">
        <v>62267183</v>
      </c>
      <c r="BF98" s="2788"/>
      <c r="BG98" s="2798" t="s">
        <v>1808</v>
      </c>
      <c r="BH98" s="2688"/>
      <c r="BI98" s="2688" t="s">
        <v>1708</v>
      </c>
      <c r="BJ98" s="2789"/>
      <c r="BK98" s="2753"/>
      <c r="BL98" s="2688" t="s">
        <v>1174</v>
      </c>
      <c r="BM98" s="2688" t="s">
        <v>1809</v>
      </c>
      <c r="BN98" s="2688" t="s">
        <v>1077</v>
      </c>
      <c r="BO98" s="2688" t="s">
        <v>1331</v>
      </c>
      <c r="BP98" s="2745"/>
      <c r="BQ98" s="2745" t="e">
        <v>#DIV/0!</v>
      </c>
      <c r="BR98" s="2745" t="e">
        <v>#DIV/0!</v>
      </c>
    </row>
    <row r="99" s="2504" customFormat="1" ht="12" hidden="1" spans="1:70">
      <c r="A99" s="2688" t="s">
        <v>1810</v>
      </c>
      <c r="B99" s="2690" t="s">
        <v>1811</v>
      </c>
      <c r="C99" s="2689" t="s">
        <v>1812</v>
      </c>
      <c r="D99" s="2688" t="s">
        <v>1813</v>
      </c>
      <c r="E99" s="2688" t="s">
        <v>1060</v>
      </c>
      <c r="F99" s="2690" t="s">
        <v>1814</v>
      </c>
      <c r="G99" s="2688"/>
      <c r="H99" s="2691" t="s">
        <v>1155</v>
      </c>
      <c r="I99" s="2691"/>
      <c r="J99" s="2691" t="s">
        <v>1815</v>
      </c>
      <c r="K99" s="2690" t="s">
        <v>1816</v>
      </c>
      <c r="L99" s="2711">
        <v>114.8</v>
      </c>
      <c r="M99" s="2691">
        <v>8</v>
      </c>
      <c r="N99" s="2688" t="s">
        <v>1374</v>
      </c>
      <c r="O99" s="2688"/>
      <c r="P99" s="2688" t="s">
        <v>1065</v>
      </c>
      <c r="Q99" s="2691">
        <v>698000</v>
      </c>
      <c r="R99" s="2688">
        <v>6080</v>
      </c>
      <c r="S99" s="2722">
        <v>63.14</v>
      </c>
      <c r="T99" s="2723">
        <v>631400</v>
      </c>
      <c r="U99" s="2688">
        <v>5500</v>
      </c>
      <c r="V99" s="2724">
        <v>0.05</v>
      </c>
      <c r="W99" s="2722">
        <v>59.98</v>
      </c>
      <c r="X99" s="2725">
        <v>599800</v>
      </c>
      <c r="Y99" s="2745">
        <v>2005</v>
      </c>
      <c r="Z99" s="2688">
        <v>10</v>
      </c>
      <c r="AA99" s="2745">
        <v>14</v>
      </c>
      <c r="AB99" s="2688">
        <v>1500</v>
      </c>
      <c r="AC99" s="2688" t="s">
        <v>1605</v>
      </c>
      <c r="AD99" s="2691"/>
      <c r="AE99" s="2688" t="s">
        <v>175</v>
      </c>
      <c r="AF99" s="2688" t="s">
        <v>1068</v>
      </c>
      <c r="AG99" s="2688" t="s">
        <v>1069</v>
      </c>
      <c r="AH99" s="2691"/>
      <c r="AI99" s="2688" t="s">
        <v>1342</v>
      </c>
      <c r="AJ99" s="2691"/>
      <c r="AK99" s="2688" t="s">
        <v>1423</v>
      </c>
      <c r="AL99" s="2745">
        <v>82253558</v>
      </c>
      <c r="AM99" s="2745"/>
      <c r="AN99" s="2688" t="s">
        <v>1088</v>
      </c>
      <c r="AO99" s="2691"/>
      <c r="AP99" s="2688" t="s">
        <v>1708</v>
      </c>
      <c r="AQ99" s="2688" t="s">
        <v>1074</v>
      </c>
      <c r="AR99" s="2691"/>
      <c r="AS99" s="2688"/>
      <c r="AT99" s="2688"/>
      <c r="AU99" s="2691"/>
      <c r="AV99" s="2691"/>
      <c r="AW99" s="2745" t="s">
        <v>1343</v>
      </c>
      <c r="AX99" s="2691"/>
      <c r="AY99" s="2691"/>
      <c r="AZ99" s="2688" t="s">
        <v>1816</v>
      </c>
      <c r="BA99" s="2688"/>
      <c r="BB99" s="2688"/>
      <c r="BC99" s="2691"/>
      <c r="BD99" s="2691"/>
      <c r="BE99" s="2691"/>
      <c r="BF99" s="2691"/>
      <c r="BG99" s="2696" t="s">
        <v>1817</v>
      </c>
      <c r="BH99" s="2745"/>
      <c r="BI99" s="2688" t="s">
        <v>1708</v>
      </c>
      <c r="BJ99" s="2696" t="s">
        <v>1817</v>
      </c>
      <c r="BK99" s="2688"/>
      <c r="BL99" s="2688" t="s">
        <v>1174</v>
      </c>
      <c r="BM99" s="2745" t="s">
        <v>1077</v>
      </c>
      <c r="BN99" s="2745" t="s">
        <v>1127</v>
      </c>
      <c r="BO99" s="2745" t="s">
        <v>1128</v>
      </c>
      <c r="BP99" s="2688"/>
      <c r="BQ99" s="2745" t="e">
        <v>#DIV/0!</v>
      </c>
      <c r="BR99" s="2745" t="e">
        <v>#DIV/0!</v>
      </c>
    </row>
    <row r="100" s="2504" customFormat="1" ht="12" hidden="1" spans="1:74">
      <c r="A100" s="2688" t="s">
        <v>1818</v>
      </c>
      <c r="B100" s="2688" t="s">
        <v>1819</v>
      </c>
      <c r="C100" s="2689" t="s">
        <v>1820</v>
      </c>
      <c r="D100" s="2689" t="s">
        <v>1821</v>
      </c>
      <c r="E100" s="2691" t="s">
        <v>1060</v>
      </c>
      <c r="F100" s="2691" t="s">
        <v>1822</v>
      </c>
      <c r="G100" s="2688"/>
      <c r="H100" s="2691" t="s">
        <v>1823</v>
      </c>
      <c r="I100" s="2691"/>
      <c r="J100" s="2688" t="s">
        <v>1824</v>
      </c>
      <c r="K100" s="2688" t="s">
        <v>1819</v>
      </c>
      <c r="L100" s="2688">
        <v>66.8</v>
      </c>
      <c r="M100" s="2688">
        <v>1</v>
      </c>
      <c r="N100" s="2688" t="s">
        <v>1064</v>
      </c>
      <c r="O100" s="2688"/>
      <c r="P100" s="2688" t="s">
        <v>1065</v>
      </c>
      <c r="Q100" s="2712">
        <v>485000</v>
      </c>
      <c r="R100" s="2688">
        <v>7260</v>
      </c>
      <c r="S100" s="2722">
        <v>39.07</v>
      </c>
      <c r="T100" s="2723">
        <v>390700</v>
      </c>
      <c r="U100" s="2688">
        <v>5850</v>
      </c>
      <c r="V100" s="2724">
        <v>0.05</v>
      </c>
      <c r="W100" s="2722">
        <v>37.11</v>
      </c>
      <c r="X100" s="2725">
        <v>371100</v>
      </c>
      <c r="Y100" s="2745">
        <v>2005</v>
      </c>
      <c r="Z100" s="2688">
        <v>11</v>
      </c>
      <c r="AA100" s="2745">
        <v>2</v>
      </c>
      <c r="AB100" s="2688">
        <v>1170</v>
      </c>
      <c r="AC100" s="2688" t="s">
        <v>1605</v>
      </c>
      <c r="AD100" s="2688"/>
      <c r="AE100" s="2688" t="s">
        <v>1067</v>
      </c>
      <c r="AF100" s="2691" t="s">
        <v>1068</v>
      </c>
      <c r="AG100" s="2747" t="s">
        <v>1069</v>
      </c>
      <c r="AH100" s="2688"/>
      <c r="AI100" s="2688" t="s">
        <v>1342</v>
      </c>
      <c r="AJ100" s="2753"/>
      <c r="AK100" s="2688" t="s">
        <v>1136</v>
      </c>
      <c r="AL100" s="2745">
        <v>82253558</v>
      </c>
      <c r="AM100" s="2745"/>
      <c r="AN100" s="2689" t="s">
        <v>1087</v>
      </c>
      <c r="AO100" s="2688"/>
      <c r="AP100" s="2688" t="s">
        <v>1208</v>
      </c>
      <c r="AQ100" s="2688" t="s">
        <v>1607</v>
      </c>
      <c r="AR100" s="2745"/>
      <c r="AS100" s="2745"/>
      <c r="AT100" s="2745"/>
      <c r="AU100" s="2745"/>
      <c r="AV100" s="2745"/>
      <c r="AW100" s="2745" t="s">
        <v>1343</v>
      </c>
      <c r="AX100" s="2745"/>
      <c r="AY100" s="2769"/>
      <c r="AZ100" s="2688" t="s">
        <v>1825</v>
      </c>
      <c r="BA100" s="2774"/>
      <c r="BB100" s="2775"/>
      <c r="BC100" s="2774"/>
      <c r="BD100" s="2776"/>
      <c r="BE100" s="2745"/>
      <c r="BF100" s="2788"/>
      <c r="BG100" s="2798">
        <v>38642</v>
      </c>
      <c r="BH100" s="2688"/>
      <c r="BI100" s="2745" t="s">
        <v>1609</v>
      </c>
      <c r="BJ100" s="2789">
        <v>38642</v>
      </c>
      <c r="BK100" s="2789"/>
      <c r="BL100" s="2688" t="s">
        <v>1174</v>
      </c>
      <c r="BM100" s="2745" t="s">
        <v>1114</v>
      </c>
      <c r="BN100" s="2745" t="s">
        <v>1114</v>
      </c>
      <c r="BO100" s="2745" t="s">
        <v>1114</v>
      </c>
      <c r="BP100" s="2745"/>
      <c r="BQ100" s="2745" t="e">
        <v>#DIV/0!</v>
      </c>
      <c r="BR100" s="2745" t="e">
        <v>#DIV/0!</v>
      </c>
      <c r="BV100" s="2505"/>
    </row>
    <row r="101" s="2505" customFormat="1" ht="12" hidden="1" spans="1:73">
      <c r="A101" s="2688" t="s">
        <v>1826</v>
      </c>
      <c r="B101" s="2688" t="s">
        <v>1827</v>
      </c>
      <c r="C101" s="2689" t="s">
        <v>1828</v>
      </c>
      <c r="D101" s="2689" t="s">
        <v>1829</v>
      </c>
      <c r="E101" s="2688" t="s">
        <v>1060</v>
      </c>
      <c r="F101" s="2688" t="s">
        <v>1661</v>
      </c>
      <c r="G101" s="2688"/>
      <c r="H101" s="2688" t="s">
        <v>1180</v>
      </c>
      <c r="I101" s="2688"/>
      <c r="J101" s="2689" t="s">
        <v>1727</v>
      </c>
      <c r="K101" s="2688" t="s">
        <v>1827</v>
      </c>
      <c r="L101" s="2688">
        <v>54.95</v>
      </c>
      <c r="M101" s="2688">
        <v>3</v>
      </c>
      <c r="N101" s="2688" t="s">
        <v>1259</v>
      </c>
      <c r="O101" s="2688"/>
      <c r="P101" s="2688" t="s">
        <v>1065</v>
      </c>
      <c r="Q101" s="2712">
        <v>395000</v>
      </c>
      <c r="R101" s="2688">
        <v>7188</v>
      </c>
      <c r="S101" s="2722">
        <v>34.06</v>
      </c>
      <c r="T101" s="2723">
        <v>340600</v>
      </c>
      <c r="U101" s="2688">
        <v>6200</v>
      </c>
      <c r="V101" s="2724">
        <v>0.05</v>
      </c>
      <c r="W101" s="2722">
        <v>32.35</v>
      </c>
      <c r="X101" s="2725">
        <v>323500</v>
      </c>
      <c r="Y101" s="2745">
        <v>2005</v>
      </c>
      <c r="Z101" s="2688">
        <v>11</v>
      </c>
      <c r="AA101" s="2745">
        <v>7</v>
      </c>
      <c r="AB101" s="2688">
        <v>1020</v>
      </c>
      <c r="AC101" s="2688" t="s">
        <v>1605</v>
      </c>
      <c r="AD101" s="2688"/>
      <c r="AE101" s="2746" t="s">
        <v>175</v>
      </c>
      <c r="AF101" s="2688" t="s">
        <v>1068</v>
      </c>
      <c r="AG101" s="2688" t="s">
        <v>1069</v>
      </c>
      <c r="AH101" s="2688"/>
      <c r="AI101" s="2688" t="s">
        <v>175</v>
      </c>
      <c r="AJ101" s="2753"/>
      <c r="AK101" s="2688" t="s">
        <v>1136</v>
      </c>
      <c r="AL101" s="2688">
        <v>82253558</v>
      </c>
      <c r="AM101" s="2745"/>
      <c r="AN101" s="2688" t="s">
        <v>1088</v>
      </c>
      <c r="AO101" s="2688" t="s">
        <v>1830</v>
      </c>
      <c r="AP101" s="2688" t="s">
        <v>175</v>
      </c>
      <c r="AQ101" s="2688" t="s">
        <v>1607</v>
      </c>
      <c r="AR101" s="2745"/>
      <c r="AS101" s="2745"/>
      <c r="AT101" s="2745"/>
      <c r="AU101" s="2745"/>
      <c r="AV101" s="2745"/>
      <c r="AW101" s="2745" t="s">
        <v>1343</v>
      </c>
      <c r="AX101" s="2745"/>
      <c r="AY101" s="2769"/>
      <c r="AZ101" s="2688" t="s">
        <v>1831</v>
      </c>
      <c r="BA101" s="2745"/>
      <c r="BB101" s="2769"/>
      <c r="BC101" s="2745"/>
      <c r="BD101" s="2770"/>
      <c r="BE101" s="2745"/>
      <c r="BF101" s="2788"/>
      <c r="BG101" s="2790">
        <v>38643</v>
      </c>
      <c r="BH101" s="2745"/>
      <c r="BI101" s="2747" t="s">
        <v>1609</v>
      </c>
      <c r="BJ101" s="2789">
        <v>38644</v>
      </c>
      <c r="BK101" s="2789"/>
      <c r="BL101" s="2688" t="s">
        <v>1174</v>
      </c>
      <c r="BM101" s="2745" t="s">
        <v>888</v>
      </c>
      <c r="BN101" s="2745" t="s">
        <v>1077</v>
      </c>
      <c r="BO101" s="2745" t="s">
        <v>1128</v>
      </c>
      <c r="BP101" s="2745"/>
      <c r="BQ101" s="2745" t="e">
        <v>#DIV/0!</v>
      </c>
      <c r="BR101" s="2745" t="e">
        <v>#DIV/0!</v>
      </c>
      <c r="BS101" s="2504"/>
      <c r="BT101" s="2504"/>
      <c r="BU101" s="2504"/>
    </row>
    <row r="102" s="2505" customFormat="1" ht="12" hidden="1" spans="1:73">
      <c r="A102" s="2688" t="s">
        <v>1832</v>
      </c>
      <c r="B102" s="2688" t="s">
        <v>1833</v>
      </c>
      <c r="C102" s="2689" t="s">
        <v>1834</v>
      </c>
      <c r="D102" s="2689" t="s">
        <v>1835</v>
      </c>
      <c r="E102" s="2688" t="s">
        <v>1060</v>
      </c>
      <c r="F102" s="2690" t="s">
        <v>1836</v>
      </c>
      <c r="G102" s="2688"/>
      <c r="H102" s="2688"/>
      <c r="I102" s="2688"/>
      <c r="J102" s="2689" t="s">
        <v>1837</v>
      </c>
      <c r="K102" s="2688" t="s">
        <v>1833</v>
      </c>
      <c r="L102" s="2688">
        <v>140.1</v>
      </c>
      <c r="M102" s="2688">
        <v>8</v>
      </c>
      <c r="N102" s="2688" t="s">
        <v>1299</v>
      </c>
      <c r="O102" s="2688"/>
      <c r="P102" s="2688" t="s">
        <v>1065</v>
      </c>
      <c r="Q102" s="2712">
        <v>1000000</v>
      </c>
      <c r="R102" s="2688">
        <v>7138</v>
      </c>
      <c r="S102" s="2722">
        <v>91.34</v>
      </c>
      <c r="T102" s="2723">
        <v>913400</v>
      </c>
      <c r="U102" s="2688">
        <v>6520</v>
      </c>
      <c r="V102" s="2724">
        <v>0.05</v>
      </c>
      <c r="W102" s="2722">
        <v>86.77</v>
      </c>
      <c r="X102" s="2725">
        <v>867700</v>
      </c>
      <c r="Y102" s="2745">
        <v>2005</v>
      </c>
      <c r="Z102" s="2688">
        <v>11</v>
      </c>
      <c r="AA102" s="2745">
        <v>4</v>
      </c>
      <c r="AB102" s="2688">
        <v>1500</v>
      </c>
      <c r="AC102" s="2688" t="s">
        <v>1605</v>
      </c>
      <c r="AD102" s="2688"/>
      <c r="AE102" s="2745" t="s">
        <v>1067</v>
      </c>
      <c r="AF102" s="2688" t="s">
        <v>1174</v>
      </c>
      <c r="AG102" s="2688" t="s">
        <v>1069</v>
      </c>
      <c r="AH102" s="2688"/>
      <c r="AI102" s="2688" t="s">
        <v>175</v>
      </c>
      <c r="AJ102" s="2753"/>
      <c r="AK102" s="2755" t="s">
        <v>1136</v>
      </c>
      <c r="AL102" s="2745">
        <v>82253558</v>
      </c>
      <c r="AM102" s="2745"/>
      <c r="AN102" s="2747" t="s">
        <v>1087</v>
      </c>
      <c r="AO102" s="2745" t="s">
        <v>1838</v>
      </c>
      <c r="AP102" s="2745" t="s">
        <v>1067</v>
      </c>
      <c r="AQ102" s="2745" t="s">
        <v>1074</v>
      </c>
      <c r="AR102" s="2745"/>
      <c r="AS102" s="2745"/>
      <c r="AT102" s="2745"/>
      <c r="AU102" s="2745"/>
      <c r="AV102" s="2745"/>
      <c r="AW102" s="2745" t="s">
        <v>1090</v>
      </c>
      <c r="AX102" s="2745"/>
      <c r="AY102" s="2769"/>
      <c r="AZ102" s="2688" t="s">
        <v>1839</v>
      </c>
      <c r="BA102" s="2745"/>
      <c r="BB102" s="2769"/>
      <c r="BC102" s="2745"/>
      <c r="BD102" s="2770"/>
      <c r="BE102" s="2745"/>
      <c r="BF102" s="2788"/>
      <c r="BG102" s="2790">
        <v>38645</v>
      </c>
      <c r="BH102" s="2745"/>
      <c r="BI102" s="2747" t="s">
        <v>1609</v>
      </c>
      <c r="BJ102" s="2789">
        <v>38649</v>
      </c>
      <c r="BK102" s="2789"/>
      <c r="BL102" s="2688" t="s">
        <v>1174</v>
      </c>
      <c r="BM102" s="2745" t="s">
        <v>888</v>
      </c>
      <c r="BN102" s="2745" t="s">
        <v>1148</v>
      </c>
      <c r="BO102" s="2688" t="s">
        <v>1331</v>
      </c>
      <c r="BP102" s="2745"/>
      <c r="BQ102" s="2745" t="e">
        <v>#DIV/0!</v>
      </c>
      <c r="BR102" s="2745" t="e">
        <v>#DIV/0!</v>
      </c>
      <c r="BS102" s="2504"/>
      <c r="BT102" s="2504"/>
      <c r="BU102" s="2504"/>
    </row>
    <row r="103" s="2505" customFormat="1" ht="12" hidden="1" spans="1:73">
      <c r="A103" s="2688" t="s">
        <v>1840</v>
      </c>
      <c r="B103" s="2688" t="s">
        <v>1841</v>
      </c>
      <c r="C103" s="2689" t="s">
        <v>1842</v>
      </c>
      <c r="D103" s="2689" t="s">
        <v>1843</v>
      </c>
      <c r="E103" s="2688" t="s">
        <v>1060</v>
      </c>
      <c r="F103" s="2690" t="s">
        <v>1844</v>
      </c>
      <c r="G103" s="2688"/>
      <c r="H103" s="2688" t="s">
        <v>1845</v>
      </c>
      <c r="I103" s="2688" t="s">
        <v>1846</v>
      </c>
      <c r="J103" s="2689" t="s">
        <v>959</v>
      </c>
      <c r="K103" s="2688" t="s">
        <v>1847</v>
      </c>
      <c r="L103" s="2688">
        <v>121.38</v>
      </c>
      <c r="M103" s="2688">
        <v>1</v>
      </c>
      <c r="N103" s="2688" t="s">
        <v>1101</v>
      </c>
      <c r="O103" s="2688"/>
      <c r="P103" s="2688" t="s">
        <v>1065</v>
      </c>
      <c r="Q103" s="2712">
        <v>550000</v>
      </c>
      <c r="R103" s="2688">
        <v>4531</v>
      </c>
      <c r="S103" s="2722">
        <v>59.47</v>
      </c>
      <c r="T103" s="2723">
        <v>594700</v>
      </c>
      <c r="U103" s="2688">
        <v>4900</v>
      </c>
      <c r="V103" s="2724">
        <v>0.05</v>
      </c>
      <c r="W103" s="2722">
        <v>56.49</v>
      </c>
      <c r="X103" s="2725">
        <v>564900</v>
      </c>
      <c r="Y103" s="2745">
        <v>2005</v>
      </c>
      <c r="Z103" s="2745">
        <v>11</v>
      </c>
      <c r="AA103" s="2745">
        <v>8</v>
      </c>
      <c r="AB103" s="2688">
        <v>1500</v>
      </c>
      <c r="AC103" s="2688" t="s">
        <v>1605</v>
      </c>
      <c r="AD103" s="2688"/>
      <c r="AE103" s="2745" t="s">
        <v>1067</v>
      </c>
      <c r="AF103" s="2688" t="s">
        <v>1068</v>
      </c>
      <c r="AG103" s="2688" t="s">
        <v>1069</v>
      </c>
      <c r="AH103" s="2688" t="s">
        <v>1848</v>
      </c>
      <c r="AI103" s="2688" t="s">
        <v>175</v>
      </c>
      <c r="AJ103" s="2753"/>
      <c r="AK103" s="2754" t="s">
        <v>1136</v>
      </c>
      <c r="AL103" s="2745">
        <v>82253558</v>
      </c>
      <c r="AM103" s="2745"/>
      <c r="AN103" s="2745"/>
      <c r="AO103" s="2745" t="s">
        <v>1849</v>
      </c>
      <c r="AP103" s="2745" t="s">
        <v>1208</v>
      </c>
      <c r="AQ103" s="2745" t="s">
        <v>1074</v>
      </c>
      <c r="AR103" s="2745"/>
      <c r="AS103" s="2745"/>
      <c r="AT103" s="2745"/>
      <c r="AU103" s="2745"/>
      <c r="AV103" s="2745"/>
      <c r="AW103" s="2745"/>
      <c r="AX103" s="2745"/>
      <c r="AY103" s="2769"/>
      <c r="AZ103" s="2745" t="s">
        <v>1847</v>
      </c>
      <c r="BA103" s="2745"/>
      <c r="BB103" s="2769"/>
      <c r="BC103" s="2745"/>
      <c r="BD103" s="2770"/>
      <c r="BE103" s="2745"/>
      <c r="BF103" s="2788"/>
      <c r="BG103" s="2790">
        <v>38636</v>
      </c>
      <c r="BH103" s="2745"/>
      <c r="BI103" s="2745" t="s">
        <v>1067</v>
      </c>
      <c r="BJ103" s="2789">
        <v>38659</v>
      </c>
      <c r="BK103" s="2789"/>
      <c r="BL103" s="2688"/>
      <c r="BM103" s="2745" t="s">
        <v>1850</v>
      </c>
      <c r="BN103" s="2745" t="s">
        <v>1077</v>
      </c>
      <c r="BO103" s="2745" t="s">
        <v>1128</v>
      </c>
      <c r="BP103" s="2745"/>
      <c r="BQ103" s="2745" t="e">
        <v>#DIV/0!</v>
      </c>
      <c r="BR103" s="2745" t="e">
        <v>#DIV/0!</v>
      </c>
      <c r="BS103" s="2504"/>
      <c r="BT103" s="2504"/>
      <c r="BU103" s="2504"/>
    </row>
    <row r="104" s="2505" customFormat="1" ht="12" hidden="1" spans="1:73">
      <c r="A104" s="2688" t="s">
        <v>1851</v>
      </c>
      <c r="B104" s="2688" t="s">
        <v>1852</v>
      </c>
      <c r="C104" s="2689" t="s">
        <v>1853</v>
      </c>
      <c r="D104" s="2689" t="s">
        <v>1854</v>
      </c>
      <c r="E104" s="2688" t="s">
        <v>1060</v>
      </c>
      <c r="F104" s="2688" t="s">
        <v>1855</v>
      </c>
      <c r="G104" s="2688"/>
      <c r="H104" s="2688" t="s">
        <v>1084</v>
      </c>
      <c r="I104" s="2688"/>
      <c r="J104" s="2689" t="s">
        <v>1856</v>
      </c>
      <c r="K104" s="2688" t="s">
        <v>1857</v>
      </c>
      <c r="L104" s="2708">
        <v>71.1</v>
      </c>
      <c r="M104" s="2688">
        <v>7</v>
      </c>
      <c r="N104" s="2688" t="s">
        <v>1064</v>
      </c>
      <c r="O104" s="2688"/>
      <c r="P104" s="2688" t="s">
        <v>1065</v>
      </c>
      <c r="Q104" s="2712">
        <v>530000</v>
      </c>
      <c r="R104" s="2688">
        <v>7454</v>
      </c>
      <c r="S104" s="2722">
        <v>46.21</v>
      </c>
      <c r="T104" s="2723">
        <v>462100</v>
      </c>
      <c r="U104" s="2688">
        <v>6500</v>
      </c>
      <c r="V104" s="2724">
        <v>0.05</v>
      </c>
      <c r="W104" s="2722">
        <v>43.89</v>
      </c>
      <c r="X104" s="2725">
        <v>438900</v>
      </c>
      <c r="Y104" s="2745">
        <v>2005</v>
      </c>
      <c r="Z104" s="2745">
        <v>10</v>
      </c>
      <c r="AA104" s="2745">
        <v>28</v>
      </c>
      <c r="AB104" s="2721">
        <v>1385</v>
      </c>
      <c r="AC104" s="2688" t="s">
        <v>1605</v>
      </c>
      <c r="AD104" s="2688"/>
      <c r="AE104" s="2745" t="s">
        <v>175</v>
      </c>
      <c r="AF104" s="2688" t="s">
        <v>1068</v>
      </c>
      <c r="AG104" s="2688" t="s">
        <v>1069</v>
      </c>
      <c r="AH104" s="2688"/>
      <c r="AI104" s="2688" t="s">
        <v>1342</v>
      </c>
      <c r="AJ104" s="2753"/>
      <c r="AK104" s="2754" t="s">
        <v>1423</v>
      </c>
      <c r="AL104" s="2688">
        <v>82253558</v>
      </c>
      <c r="AM104" s="2745"/>
      <c r="AN104" s="2745" t="s">
        <v>1182</v>
      </c>
      <c r="AO104" s="2745" t="s">
        <v>1858</v>
      </c>
      <c r="AP104" s="2745" t="s">
        <v>1708</v>
      </c>
      <c r="AQ104" s="2688" t="s">
        <v>1074</v>
      </c>
      <c r="AR104" s="2745"/>
      <c r="AS104" s="2745"/>
      <c r="AT104" s="2745"/>
      <c r="AU104" s="2745"/>
      <c r="AV104" s="2745"/>
      <c r="AW104" s="2745" t="s">
        <v>1343</v>
      </c>
      <c r="AX104" s="2745"/>
      <c r="AY104" s="2769"/>
      <c r="AZ104" s="2745" t="s">
        <v>1857</v>
      </c>
      <c r="BA104" s="2745"/>
      <c r="BB104" s="2769"/>
      <c r="BC104" s="2745"/>
      <c r="BD104" s="2770"/>
      <c r="BE104" s="2745"/>
      <c r="BF104" s="2788"/>
      <c r="BG104" s="2753">
        <v>38649</v>
      </c>
      <c r="BH104" s="2745"/>
      <c r="BI104" s="2688" t="s">
        <v>1708</v>
      </c>
      <c r="BJ104" s="2789">
        <v>38650</v>
      </c>
      <c r="BK104" s="2789"/>
      <c r="BL104" s="2688" t="s">
        <v>1174</v>
      </c>
      <c r="BM104" s="2688" t="s">
        <v>888</v>
      </c>
      <c r="BN104" s="2688" t="s">
        <v>1077</v>
      </c>
      <c r="BO104" s="2688" t="s">
        <v>1331</v>
      </c>
      <c r="BP104" s="2745"/>
      <c r="BQ104" s="2745" t="e">
        <v>#DIV/0!</v>
      </c>
      <c r="BR104" s="2745" t="e">
        <v>#DIV/0!</v>
      </c>
      <c r="BS104" s="2504"/>
      <c r="BT104" s="2504"/>
      <c r="BU104" s="2504"/>
    </row>
    <row r="105" s="2505" customFormat="1" ht="12" hidden="1" spans="1:73">
      <c r="A105" s="2688" t="s">
        <v>1859</v>
      </c>
      <c r="B105" s="2688" t="s">
        <v>1860</v>
      </c>
      <c r="C105" s="2689" t="s">
        <v>1861</v>
      </c>
      <c r="D105" s="2689" t="s">
        <v>1862</v>
      </c>
      <c r="E105" s="2688" t="s">
        <v>1060</v>
      </c>
      <c r="F105" s="2690" t="s">
        <v>1863</v>
      </c>
      <c r="G105" s="2688"/>
      <c r="H105" s="2688" t="s">
        <v>1062</v>
      </c>
      <c r="I105" s="2688" t="s">
        <v>1134</v>
      </c>
      <c r="J105" s="2689" t="s">
        <v>1864</v>
      </c>
      <c r="K105" s="2688" t="s">
        <v>1860</v>
      </c>
      <c r="L105" s="2688">
        <v>67.13</v>
      </c>
      <c r="M105" s="2688">
        <v>4</v>
      </c>
      <c r="N105" s="2688" t="s">
        <v>1064</v>
      </c>
      <c r="O105" s="2688"/>
      <c r="P105" s="2688" t="s">
        <v>1065</v>
      </c>
      <c r="Q105" s="2712">
        <v>500000</v>
      </c>
      <c r="R105" s="2688">
        <v>7448</v>
      </c>
      <c r="S105" s="2722">
        <v>42.96</v>
      </c>
      <c r="T105" s="2723">
        <v>429600</v>
      </c>
      <c r="U105" s="2688">
        <v>6400</v>
      </c>
      <c r="V105" s="2724">
        <v>0.05</v>
      </c>
      <c r="W105" s="2722">
        <v>40.81</v>
      </c>
      <c r="X105" s="2725">
        <v>408100</v>
      </c>
      <c r="Y105" s="2745">
        <v>2005</v>
      </c>
      <c r="Z105" s="2745">
        <v>11</v>
      </c>
      <c r="AA105" s="2745">
        <v>7</v>
      </c>
      <c r="AB105" s="2688">
        <v>1285</v>
      </c>
      <c r="AC105" s="2688" t="s">
        <v>1605</v>
      </c>
      <c r="AD105" s="2688"/>
      <c r="AE105" s="2745" t="s">
        <v>1067</v>
      </c>
      <c r="AF105" s="2688" t="s">
        <v>1068</v>
      </c>
      <c r="AG105" s="2688" t="s">
        <v>1069</v>
      </c>
      <c r="AH105" s="2688" t="s">
        <v>1865</v>
      </c>
      <c r="AI105" s="2688" t="s">
        <v>175</v>
      </c>
      <c r="AJ105" s="2753"/>
      <c r="AK105" s="2754" t="s">
        <v>1136</v>
      </c>
      <c r="AL105" s="2745">
        <v>82253558</v>
      </c>
      <c r="AM105" s="2745"/>
      <c r="AN105" s="2745"/>
      <c r="AO105" s="2745"/>
      <c r="AP105" s="2745" t="s">
        <v>1067</v>
      </c>
      <c r="AQ105" s="2745" t="s">
        <v>1074</v>
      </c>
      <c r="AR105" s="2745"/>
      <c r="AS105" s="2745"/>
      <c r="AT105" s="2745"/>
      <c r="AU105" s="2745"/>
      <c r="AV105" s="2745"/>
      <c r="AW105" s="2745"/>
      <c r="AX105" s="2745"/>
      <c r="AY105" s="2769"/>
      <c r="AZ105" s="2745" t="s">
        <v>1866</v>
      </c>
      <c r="BA105" s="2745"/>
      <c r="BB105" s="2769"/>
      <c r="BC105" s="2745"/>
      <c r="BD105" s="2770"/>
      <c r="BE105" s="2745"/>
      <c r="BF105" s="2788"/>
      <c r="BG105" s="2790">
        <v>38645</v>
      </c>
      <c r="BH105" s="2745"/>
      <c r="BI105" s="2745" t="s">
        <v>1067</v>
      </c>
      <c r="BJ105" s="2789">
        <v>38657</v>
      </c>
      <c r="BK105" s="2789"/>
      <c r="BL105" s="2688"/>
      <c r="BM105" s="2745" t="s">
        <v>888</v>
      </c>
      <c r="BN105" s="2745" t="s">
        <v>1077</v>
      </c>
      <c r="BO105" s="2745" t="s">
        <v>1128</v>
      </c>
      <c r="BP105" s="2745"/>
      <c r="BQ105" s="2745" t="e">
        <v>#DIV/0!</v>
      </c>
      <c r="BR105" s="2745" t="e">
        <v>#DIV/0!</v>
      </c>
      <c r="BS105" s="2504"/>
      <c r="BT105" s="2504"/>
      <c r="BU105" s="2504"/>
    </row>
    <row r="106" s="2505" customFormat="1" ht="12" hidden="1" spans="1:73">
      <c r="A106" s="2688" t="s">
        <v>1867</v>
      </c>
      <c r="B106" s="2688" t="s">
        <v>1868</v>
      </c>
      <c r="C106" s="2689" t="s">
        <v>1869</v>
      </c>
      <c r="D106" s="2689" t="s">
        <v>1870</v>
      </c>
      <c r="E106" s="2688" t="s">
        <v>1060</v>
      </c>
      <c r="F106" s="2690" t="s">
        <v>1871</v>
      </c>
      <c r="G106" s="2688"/>
      <c r="H106" s="2688" t="s">
        <v>1239</v>
      </c>
      <c r="I106" s="2688" t="s">
        <v>1872</v>
      </c>
      <c r="J106" s="2689" t="s">
        <v>1873</v>
      </c>
      <c r="K106" s="2688" t="s">
        <v>1868</v>
      </c>
      <c r="L106" s="2688">
        <v>98.52</v>
      </c>
      <c r="M106" s="2688">
        <v>6</v>
      </c>
      <c r="N106" s="2691" t="s">
        <v>1874</v>
      </c>
      <c r="O106" s="2688"/>
      <c r="P106" s="2688" t="s">
        <v>1690</v>
      </c>
      <c r="Q106" s="2712">
        <v>800000</v>
      </c>
      <c r="R106" s="2688">
        <v>8120</v>
      </c>
      <c r="S106" s="2722">
        <v>58.61</v>
      </c>
      <c r="T106" s="2723">
        <v>586100</v>
      </c>
      <c r="U106" s="2688">
        <v>5950</v>
      </c>
      <c r="V106" s="2724">
        <v>0.05</v>
      </c>
      <c r="W106" s="2722">
        <v>55.67</v>
      </c>
      <c r="X106" s="2725">
        <v>556700</v>
      </c>
      <c r="Y106" s="2688">
        <v>2005</v>
      </c>
      <c r="Z106" s="2688">
        <v>11</v>
      </c>
      <c r="AA106" s="2745">
        <v>16</v>
      </c>
      <c r="AB106" s="2688">
        <v>1500</v>
      </c>
      <c r="AC106" s="2688" t="s">
        <v>1605</v>
      </c>
      <c r="AD106" s="2688"/>
      <c r="AE106" s="2691" t="s">
        <v>1067</v>
      </c>
      <c r="AF106" s="2688" t="s">
        <v>1068</v>
      </c>
      <c r="AG106" s="2688" t="s">
        <v>1069</v>
      </c>
      <c r="AH106" s="2688"/>
      <c r="AI106" s="2691" t="s">
        <v>1342</v>
      </c>
      <c r="AJ106" s="2753"/>
      <c r="AK106" s="2754" t="s">
        <v>1136</v>
      </c>
      <c r="AL106" s="2745">
        <v>82253558</v>
      </c>
      <c r="AM106" s="2745"/>
      <c r="AN106" s="2745" t="s">
        <v>1072</v>
      </c>
      <c r="AO106" s="2745" t="s">
        <v>1875</v>
      </c>
      <c r="AP106" s="2747" t="s">
        <v>1208</v>
      </c>
      <c r="AQ106" s="2688" t="s">
        <v>1607</v>
      </c>
      <c r="AR106" s="2745"/>
      <c r="AS106" s="2745"/>
      <c r="AT106" s="2745"/>
      <c r="AU106" s="2745"/>
      <c r="AV106" s="2745"/>
      <c r="AW106" s="2745" t="s">
        <v>1343</v>
      </c>
      <c r="AX106" s="2745"/>
      <c r="AY106" s="2769"/>
      <c r="AZ106" s="2688" t="s">
        <v>1876</v>
      </c>
      <c r="BA106" s="2745"/>
      <c r="BB106" s="2769"/>
      <c r="BC106" s="2745"/>
      <c r="BD106" s="2770"/>
      <c r="BE106" s="2745"/>
      <c r="BF106" s="2788"/>
      <c r="BG106" s="2792"/>
      <c r="BH106" s="2745"/>
      <c r="BI106" s="2688" t="s">
        <v>1609</v>
      </c>
      <c r="BJ106" s="2789">
        <v>38659</v>
      </c>
      <c r="BK106" s="2789"/>
      <c r="BL106" s="2745" t="s">
        <v>1174</v>
      </c>
      <c r="BM106" s="2688" t="s">
        <v>888</v>
      </c>
      <c r="BN106" s="2745" t="s">
        <v>1077</v>
      </c>
      <c r="BO106" s="2745"/>
      <c r="BP106" s="2745"/>
      <c r="BQ106" s="2745" t="e">
        <v>#DIV/0!</v>
      </c>
      <c r="BR106" s="2745" t="e">
        <v>#DIV/0!</v>
      </c>
      <c r="BS106" s="2504"/>
      <c r="BT106" s="2504"/>
      <c r="BU106" s="2504"/>
    </row>
    <row r="107" s="2505" customFormat="1" ht="12" hidden="1" spans="1:73">
      <c r="A107" s="2688" t="s">
        <v>1877</v>
      </c>
      <c r="B107" s="2689" t="s">
        <v>1878</v>
      </c>
      <c r="C107" s="2689" t="s">
        <v>1879</v>
      </c>
      <c r="D107" s="2688" t="s">
        <v>1880</v>
      </c>
      <c r="E107" s="2690" t="s">
        <v>1060</v>
      </c>
      <c r="F107" s="2688" t="s">
        <v>1213</v>
      </c>
      <c r="G107" s="2688"/>
      <c r="H107" s="2688" t="s">
        <v>1881</v>
      </c>
      <c r="I107" s="2689"/>
      <c r="J107" s="2688" t="s">
        <v>1882</v>
      </c>
      <c r="K107" s="2688" t="s">
        <v>1878</v>
      </c>
      <c r="L107" s="2708">
        <v>96.93</v>
      </c>
      <c r="M107" s="2688">
        <v>8</v>
      </c>
      <c r="N107" s="2688" t="s">
        <v>1064</v>
      </c>
      <c r="O107" s="2688"/>
      <c r="P107" s="2712" t="s">
        <v>1065</v>
      </c>
      <c r="Q107" s="2721">
        <v>720000</v>
      </c>
      <c r="R107" s="2734">
        <v>7428</v>
      </c>
      <c r="S107" s="2722">
        <v>65.15</v>
      </c>
      <c r="T107" s="2735">
        <v>651500</v>
      </c>
      <c r="U107" s="2688">
        <v>6722</v>
      </c>
      <c r="V107" s="2727">
        <v>0.2</v>
      </c>
      <c r="W107" s="2736">
        <v>52.12</v>
      </c>
      <c r="X107" s="2737">
        <v>521200</v>
      </c>
      <c r="Y107" s="2745">
        <v>2005</v>
      </c>
      <c r="Z107" s="2745">
        <v>10</v>
      </c>
      <c r="AA107" s="2721">
        <v>28</v>
      </c>
      <c r="AB107" s="2688">
        <v>1500</v>
      </c>
      <c r="AC107" s="2688" t="s">
        <v>1707</v>
      </c>
      <c r="AD107" s="2745"/>
      <c r="AE107" s="2688" t="s">
        <v>1070</v>
      </c>
      <c r="AF107" s="2747" t="s">
        <v>1068</v>
      </c>
      <c r="AG107" s="2688" t="s">
        <v>1069</v>
      </c>
      <c r="AH107" s="2688"/>
      <c r="AI107" s="2753" t="s">
        <v>1342</v>
      </c>
      <c r="AJ107" s="2754"/>
      <c r="AK107" s="2745" t="s">
        <v>1423</v>
      </c>
      <c r="AL107" s="2745">
        <v>82253558</v>
      </c>
      <c r="AM107" s="2745"/>
      <c r="AN107" s="2745" t="s">
        <v>1182</v>
      </c>
      <c r="AO107" s="2745"/>
      <c r="AP107" s="2745" t="s">
        <v>1208</v>
      </c>
      <c r="AQ107" s="2745" t="s">
        <v>1074</v>
      </c>
      <c r="AR107" s="2745"/>
      <c r="AS107" s="2745"/>
      <c r="AT107" s="2745"/>
      <c r="AU107" s="2745"/>
      <c r="AV107" s="2745"/>
      <c r="AW107" s="2745" t="s">
        <v>1343</v>
      </c>
      <c r="AX107" s="2769"/>
      <c r="AY107" s="2745"/>
      <c r="AZ107" s="2745" t="s">
        <v>1883</v>
      </c>
      <c r="BA107" s="2769"/>
      <c r="BB107" s="2745"/>
      <c r="BC107" s="2770"/>
      <c r="BD107" s="2745"/>
      <c r="BE107" s="2745"/>
      <c r="BF107" s="2799"/>
      <c r="BG107" s="2790">
        <v>38643</v>
      </c>
      <c r="BH107" s="2745"/>
      <c r="BI107" s="2789" t="s">
        <v>1070</v>
      </c>
      <c r="BJ107" s="2789"/>
      <c r="BK107" s="2688"/>
      <c r="BL107" s="2745" t="s">
        <v>1174</v>
      </c>
      <c r="BM107" s="2745" t="s">
        <v>888</v>
      </c>
      <c r="BN107" s="2745" t="s">
        <v>1077</v>
      </c>
      <c r="BO107" s="2745" t="s">
        <v>1331</v>
      </c>
      <c r="BP107" s="2745"/>
      <c r="BQ107" s="2745" t="e">
        <v>#DIV/0!</v>
      </c>
      <c r="BR107" s="2745" t="e">
        <v>#DIV/0!</v>
      </c>
      <c r="BS107" s="2504"/>
      <c r="BT107" s="2504"/>
      <c r="BU107" s="2504"/>
    </row>
    <row r="108" s="2504" customFormat="1" ht="12" hidden="1" spans="1:74">
      <c r="A108" s="2688" t="s">
        <v>1884</v>
      </c>
      <c r="B108" s="2688" t="s">
        <v>1885</v>
      </c>
      <c r="C108" s="2689" t="s">
        <v>1886</v>
      </c>
      <c r="D108" s="2689" t="s">
        <v>1887</v>
      </c>
      <c r="E108" s="2691" t="s">
        <v>1060</v>
      </c>
      <c r="F108" s="2691" t="s">
        <v>1888</v>
      </c>
      <c r="G108" s="2691"/>
      <c r="H108" s="2691" t="s">
        <v>1889</v>
      </c>
      <c r="I108" s="2691" t="s">
        <v>1222</v>
      </c>
      <c r="J108" s="2691" t="s">
        <v>1890</v>
      </c>
      <c r="K108" s="2688" t="s">
        <v>1885</v>
      </c>
      <c r="L108" s="2697">
        <v>60.4</v>
      </c>
      <c r="M108" s="2697" t="s">
        <v>1071</v>
      </c>
      <c r="N108" s="2688" t="s">
        <v>1064</v>
      </c>
      <c r="O108" s="2697"/>
      <c r="P108" s="2691" t="s">
        <v>1065</v>
      </c>
      <c r="Q108" s="2712">
        <v>450000</v>
      </c>
      <c r="R108" s="2688">
        <v>7450</v>
      </c>
      <c r="S108" s="2722">
        <v>34.06</v>
      </c>
      <c r="T108" s="2723">
        <v>340600</v>
      </c>
      <c r="U108" s="2688">
        <v>5640</v>
      </c>
      <c r="V108" s="2724">
        <v>0.05</v>
      </c>
      <c r="W108" s="2722">
        <v>32.35</v>
      </c>
      <c r="X108" s="2725">
        <v>323500</v>
      </c>
      <c r="Y108" s="2745">
        <v>2005</v>
      </c>
      <c r="Z108" s="2745">
        <v>11</v>
      </c>
      <c r="AA108" s="2745">
        <v>17</v>
      </c>
      <c r="AB108" s="2688">
        <v>1020</v>
      </c>
      <c r="AC108" s="2688" t="s">
        <v>1605</v>
      </c>
      <c r="AD108" s="2691"/>
      <c r="AE108" s="2691" t="s">
        <v>1639</v>
      </c>
      <c r="AF108" s="2688" t="s">
        <v>1068</v>
      </c>
      <c r="AG108" s="2691" t="s">
        <v>1069</v>
      </c>
      <c r="AH108" s="2691"/>
      <c r="AI108" s="2688" t="s">
        <v>1342</v>
      </c>
      <c r="AJ108" s="2760"/>
      <c r="AK108" s="2755" t="s">
        <v>1136</v>
      </c>
      <c r="AL108" s="2745">
        <v>82253558</v>
      </c>
      <c r="AM108" s="2745"/>
      <c r="AN108" s="2688" t="s">
        <v>1072</v>
      </c>
      <c r="AO108" s="2688" t="s">
        <v>1891</v>
      </c>
      <c r="AP108" s="2747" t="s">
        <v>1208</v>
      </c>
      <c r="AQ108" s="2745" t="s">
        <v>1607</v>
      </c>
      <c r="AR108" s="2688"/>
      <c r="AS108" s="2688"/>
      <c r="AT108" s="2688"/>
      <c r="AU108" s="2688"/>
      <c r="AV108" s="2765"/>
      <c r="AW108" s="2745" t="s">
        <v>1343</v>
      </c>
      <c r="AX108" s="2745"/>
      <c r="AY108" s="2769"/>
      <c r="AZ108" s="2688" t="s">
        <v>1892</v>
      </c>
      <c r="BA108" s="2774"/>
      <c r="BB108" s="2775"/>
      <c r="BC108" s="2774"/>
      <c r="BD108" s="2776"/>
      <c r="BE108" s="2745"/>
      <c r="BF108" s="2788"/>
      <c r="BG108" s="2798">
        <v>38656</v>
      </c>
      <c r="BH108" s="2688"/>
      <c r="BI108" s="2688" t="s">
        <v>1609</v>
      </c>
      <c r="BJ108" s="2789">
        <v>38656</v>
      </c>
      <c r="BK108" s="2753"/>
      <c r="BL108" s="2688" t="s">
        <v>1174</v>
      </c>
      <c r="BM108" s="2688" t="s">
        <v>1127</v>
      </c>
      <c r="BN108" s="2688" t="s">
        <v>1148</v>
      </c>
      <c r="BO108" s="2688" t="s">
        <v>1331</v>
      </c>
      <c r="BP108" s="2745"/>
      <c r="BQ108" s="2745" t="e">
        <v>#DIV/0!</v>
      </c>
      <c r="BR108" s="2745" t="e">
        <v>#DIV/0!</v>
      </c>
      <c r="BV108" s="2505"/>
    </row>
    <row r="109" s="2504" customFormat="1" ht="12" hidden="1" spans="1:74">
      <c r="A109" s="2688" t="s">
        <v>1893</v>
      </c>
      <c r="B109" s="2691" t="s">
        <v>1894</v>
      </c>
      <c r="C109" s="2689" t="s">
        <v>1895</v>
      </c>
      <c r="D109" s="2689" t="s">
        <v>1896</v>
      </c>
      <c r="E109" s="2691" t="s">
        <v>1060</v>
      </c>
      <c r="F109" s="2691" t="s">
        <v>1897</v>
      </c>
      <c r="G109" s="2691"/>
      <c r="H109" s="2691" t="s">
        <v>1898</v>
      </c>
      <c r="I109" s="2691"/>
      <c r="J109" s="2691" t="s">
        <v>1899</v>
      </c>
      <c r="K109" s="2691" t="s">
        <v>1894</v>
      </c>
      <c r="L109" s="2697">
        <v>64.89</v>
      </c>
      <c r="M109" s="2697">
        <v>6</v>
      </c>
      <c r="N109" s="2688" t="s">
        <v>1064</v>
      </c>
      <c r="O109" s="2697"/>
      <c r="P109" s="2691" t="s">
        <v>1065</v>
      </c>
      <c r="Q109" s="2712">
        <v>430000</v>
      </c>
      <c r="R109" s="2712">
        <v>6627</v>
      </c>
      <c r="S109" s="2722">
        <v>40.73</v>
      </c>
      <c r="T109" s="2723">
        <v>407300</v>
      </c>
      <c r="U109" s="2688">
        <v>6277</v>
      </c>
      <c r="V109" s="2724">
        <v>0.05</v>
      </c>
      <c r="W109" s="2722">
        <v>38.69</v>
      </c>
      <c r="X109" s="2723">
        <v>386900</v>
      </c>
      <c r="Y109" s="2745">
        <v>2005</v>
      </c>
      <c r="Z109" s="2745">
        <v>11</v>
      </c>
      <c r="AA109" s="2745">
        <v>25</v>
      </c>
      <c r="AB109" s="2688">
        <v>1220</v>
      </c>
      <c r="AC109" s="2688" t="s">
        <v>1605</v>
      </c>
      <c r="AD109" s="2691"/>
      <c r="AE109" s="2748" t="s">
        <v>1900</v>
      </c>
      <c r="AF109" s="2691" t="s">
        <v>1068</v>
      </c>
      <c r="AG109" s="2691" t="s">
        <v>1069</v>
      </c>
      <c r="AH109" s="2691"/>
      <c r="AI109" s="2688" t="s">
        <v>1342</v>
      </c>
      <c r="AJ109" s="2760"/>
      <c r="AK109" s="2754" t="s">
        <v>1136</v>
      </c>
      <c r="AL109" s="2688">
        <v>82253558</v>
      </c>
      <c r="AM109" s="2745"/>
      <c r="AN109" s="2747" t="s">
        <v>1182</v>
      </c>
      <c r="AO109" s="2745"/>
      <c r="AP109" s="2688" t="s">
        <v>1208</v>
      </c>
      <c r="AQ109" s="2688" t="s">
        <v>1607</v>
      </c>
      <c r="AR109" s="2688"/>
      <c r="AS109" s="2688"/>
      <c r="AT109" s="2688"/>
      <c r="AU109" s="2688"/>
      <c r="AV109" s="2765"/>
      <c r="AW109" s="2688" t="s">
        <v>1090</v>
      </c>
      <c r="AX109" s="2691"/>
      <c r="AY109" s="2691"/>
      <c r="AZ109" s="2691" t="s">
        <v>1901</v>
      </c>
      <c r="BA109" s="2691"/>
      <c r="BB109" s="2696"/>
      <c r="BC109" s="2691"/>
      <c r="BD109" s="2691"/>
      <c r="BE109" s="2691"/>
      <c r="BF109" s="2788"/>
      <c r="BG109" s="2792">
        <v>38650</v>
      </c>
      <c r="BH109" s="2691"/>
      <c r="BI109" s="2688" t="s">
        <v>1609</v>
      </c>
      <c r="BJ109" s="2789">
        <v>38658</v>
      </c>
      <c r="BK109" s="2753"/>
      <c r="BL109" s="2688" t="s">
        <v>1174</v>
      </c>
      <c r="BM109" s="2688" t="s">
        <v>888</v>
      </c>
      <c r="BN109" s="2745" t="s">
        <v>1148</v>
      </c>
      <c r="BO109" s="2688" t="s">
        <v>1149</v>
      </c>
      <c r="BP109" s="2745"/>
      <c r="BQ109" s="2745"/>
      <c r="BR109" s="2745"/>
      <c r="BV109" s="2505"/>
    </row>
    <row r="110" s="2505" customFormat="1" ht="12" hidden="1" spans="1:73">
      <c r="A110" s="2688" t="s">
        <v>1902</v>
      </c>
      <c r="B110" s="2688" t="s">
        <v>1903</v>
      </c>
      <c r="C110" s="2689" t="s">
        <v>1904</v>
      </c>
      <c r="D110" s="2689" t="s">
        <v>1905</v>
      </c>
      <c r="E110" s="2688" t="s">
        <v>1060</v>
      </c>
      <c r="F110" s="2690" t="s">
        <v>1205</v>
      </c>
      <c r="G110" s="2688"/>
      <c r="H110" s="2688" t="s">
        <v>1906</v>
      </c>
      <c r="I110" s="2688"/>
      <c r="J110" s="2689" t="s">
        <v>1907</v>
      </c>
      <c r="K110" s="2688" t="s">
        <v>1908</v>
      </c>
      <c r="L110" s="2688">
        <v>89.49</v>
      </c>
      <c r="M110" s="2688">
        <v>7</v>
      </c>
      <c r="N110" s="2688" t="s">
        <v>1064</v>
      </c>
      <c r="O110" s="2688"/>
      <c r="P110" s="2688" t="s">
        <v>1065</v>
      </c>
      <c r="Q110" s="2712">
        <v>580000</v>
      </c>
      <c r="R110" s="2688">
        <v>6481</v>
      </c>
      <c r="S110" s="2722">
        <v>58.7</v>
      </c>
      <c r="T110" s="2723">
        <v>587000</v>
      </c>
      <c r="U110" s="2688">
        <v>6560</v>
      </c>
      <c r="V110" s="2724">
        <v>0.2</v>
      </c>
      <c r="W110" s="2722">
        <v>46.96</v>
      </c>
      <c r="X110" s="2725">
        <v>469600</v>
      </c>
      <c r="Y110" s="2745">
        <v>2005</v>
      </c>
      <c r="Z110" s="2745">
        <v>11</v>
      </c>
      <c r="AA110" s="2745">
        <v>7</v>
      </c>
      <c r="AB110" s="2688">
        <v>1500</v>
      </c>
      <c r="AC110" s="2688" t="s">
        <v>1707</v>
      </c>
      <c r="AD110" s="2688"/>
      <c r="AE110" s="2745" t="s">
        <v>1067</v>
      </c>
      <c r="AF110" s="2688" t="s">
        <v>1068</v>
      </c>
      <c r="AG110" s="2688"/>
      <c r="AH110" s="2688"/>
      <c r="AI110" s="2688" t="s">
        <v>175</v>
      </c>
      <c r="AJ110" s="2753"/>
      <c r="AK110" s="2754" t="s">
        <v>1136</v>
      </c>
      <c r="AL110" s="2745">
        <v>82253558</v>
      </c>
      <c r="AM110" s="2745"/>
      <c r="AN110" s="2745"/>
      <c r="AO110" s="2745"/>
      <c r="AP110" s="2745" t="s">
        <v>1067</v>
      </c>
      <c r="AQ110" s="2745" t="s">
        <v>1074</v>
      </c>
      <c r="AR110" s="2745"/>
      <c r="AS110" s="2745"/>
      <c r="AT110" s="2745"/>
      <c r="AU110" s="2745"/>
      <c r="AV110" s="2745"/>
      <c r="AW110" s="2745"/>
      <c r="AX110" s="2745"/>
      <c r="AY110" s="2769"/>
      <c r="AZ110" s="2745" t="s">
        <v>1908</v>
      </c>
      <c r="BA110" s="2745"/>
      <c r="BB110" s="2769"/>
      <c r="BC110" s="2745"/>
      <c r="BD110" s="2770"/>
      <c r="BE110" s="2745"/>
      <c r="BF110" s="2788"/>
      <c r="BG110" s="2790">
        <v>38658</v>
      </c>
      <c r="BH110" s="2745"/>
      <c r="BI110" s="2745" t="s">
        <v>1067</v>
      </c>
      <c r="BJ110" s="2789"/>
      <c r="BK110" s="2789"/>
      <c r="BL110" s="2688"/>
      <c r="BM110" s="2745" t="s">
        <v>1850</v>
      </c>
      <c r="BN110" s="2745" t="s">
        <v>1909</v>
      </c>
      <c r="BO110" s="2745" t="s">
        <v>1128</v>
      </c>
      <c r="BP110" s="2745"/>
      <c r="BQ110" s="2745" t="e">
        <v>#DIV/0!</v>
      </c>
      <c r="BR110" s="2745" t="e">
        <v>#DIV/0!</v>
      </c>
      <c r="BS110" s="2504"/>
      <c r="BT110" s="2504"/>
      <c r="BU110" s="2504"/>
    </row>
    <row r="111" s="2504" customFormat="1" ht="12" hidden="1" spans="1:74">
      <c r="A111" s="2688" t="s">
        <v>1910</v>
      </c>
      <c r="B111" s="2688" t="s">
        <v>1911</v>
      </c>
      <c r="C111" s="2696" t="s">
        <v>1912</v>
      </c>
      <c r="D111" s="2696" t="s">
        <v>1913</v>
      </c>
      <c r="E111" s="2688" t="s">
        <v>1060</v>
      </c>
      <c r="F111" s="2688" t="s">
        <v>1914</v>
      </c>
      <c r="G111" s="2688"/>
      <c r="H111" s="2691"/>
      <c r="I111" s="2691" t="s">
        <v>1577</v>
      </c>
      <c r="J111" s="2691" t="s">
        <v>1915</v>
      </c>
      <c r="K111" s="2688" t="s">
        <v>1911</v>
      </c>
      <c r="L111" s="2697">
        <v>61.2</v>
      </c>
      <c r="M111" s="2697">
        <v>4</v>
      </c>
      <c r="N111" s="2688" t="s">
        <v>1064</v>
      </c>
      <c r="O111" s="2697"/>
      <c r="P111" s="2688" t="s">
        <v>1065</v>
      </c>
      <c r="Q111" s="2712">
        <v>320000</v>
      </c>
      <c r="R111" s="2688">
        <v>5229</v>
      </c>
      <c r="S111" s="2722">
        <v>40.35</v>
      </c>
      <c r="T111" s="2738">
        <v>403500</v>
      </c>
      <c r="U111" s="2688">
        <v>6594</v>
      </c>
      <c r="V111" s="2724">
        <v>0.05</v>
      </c>
      <c r="W111" s="2722">
        <v>38.33</v>
      </c>
      <c r="X111" s="2725">
        <v>383300</v>
      </c>
      <c r="Y111" s="2745">
        <v>2005</v>
      </c>
      <c r="Z111" s="2745">
        <v>11</v>
      </c>
      <c r="AA111" s="2688">
        <v>29</v>
      </c>
      <c r="AB111" s="2688">
        <v>1210</v>
      </c>
      <c r="AC111" s="2688" t="s">
        <v>1605</v>
      </c>
      <c r="AD111" s="2688"/>
      <c r="AE111" s="2745" t="s">
        <v>1900</v>
      </c>
      <c r="AF111" s="2691" t="s">
        <v>1068</v>
      </c>
      <c r="AG111" s="2688" t="s">
        <v>1069</v>
      </c>
      <c r="AH111" s="2688"/>
      <c r="AI111" s="2688" t="s">
        <v>1342</v>
      </c>
      <c r="AJ111" s="2760"/>
      <c r="AK111" s="2755" t="s">
        <v>1136</v>
      </c>
      <c r="AL111" s="2688">
        <v>82253558</v>
      </c>
      <c r="AM111" s="2745"/>
      <c r="AN111" s="2745" t="s">
        <v>1071</v>
      </c>
      <c r="AO111" s="2688" t="s">
        <v>1916</v>
      </c>
      <c r="AP111" s="2688" t="s">
        <v>1208</v>
      </c>
      <c r="AQ111" s="2745"/>
      <c r="AR111" s="2688">
        <v>2005</v>
      </c>
      <c r="AS111" s="2688">
        <v>11</v>
      </c>
      <c r="AT111" s="2688">
        <v>29</v>
      </c>
      <c r="AU111" s="2688"/>
      <c r="AV111" s="2765"/>
      <c r="AW111" s="2745" t="s">
        <v>1075</v>
      </c>
      <c r="AX111" s="2745"/>
      <c r="AY111" s="2769"/>
      <c r="AZ111" s="2688" t="s">
        <v>1917</v>
      </c>
      <c r="BA111" s="2774"/>
      <c r="BB111" s="2775"/>
      <c r="BC111" s="2774"/>
      <c r="BD111" s="2776"/>
      <c r="BE111" s="2745">
        <v>13701142002</v>
      </c>
      <c r="BF111" s="2788"/>
      <c r="BG111" s="2798">
        <v>38654</v>
      </c>
      <c r="BH111" s="2688"/>
      <c r="BI111" s="2789" t="s">
        <v>1918</v>
      </c>
      <c r="BJ111" s="2789">
        <v>38663</v>
      </c>
      <c r="BK111" s="2753" t="s">
        <v>1114</v>
      </c>
      <c r="BL111" s="2745" t="s">
        <v>1174</v>
      </c>
      <c r="BM111" s="2745" t="s">
        <v>888</v>
      </c>
      <c r="BN111" s="2745" t="s">
        <v>1077</v>
      </c>
      <c r="BO111" s="2688" t="s">
        <v>1331</v>
      </c>
      <c r="BP111" s="2745"/>
      <c r="BQ111" s="2745" t="e">
        <v>#DIV/0!</v>
      </c>
      <c r="BR111" s="2745" t="e">
        <v>#DIV/0!</v>
      </c>
      <c r="BV111" s="2505"/>
    </row>
    <row r="112" s="2504" customFormat="1" ht="12" hidden="1" spans="1:70">
      <c r="A112" s="2688" t="s">
        <v>1919</v>
      </c>
      <c r="B112" s="2688" t="s">
        <v>1920</v>
      </c>
      <c r="C112" s="2696" t="s">
        <v>1921</v>
      </c>
      <c r="D112" s="2688"/>
      <c r="E112" s="2688" t="s">
        <v>1060</v>
      </c>
      <c r="F112" s="2688" t="s">
        <v>1922</v>
      </c>
      <c r="G112" s="2688"/>
      <c r="H112" s="2691"/>
      <c r="I112" s="2691" t="s">
        <v>1196</v>
      </c>
      <c r="J112" s="2691" t="s">
        <v>1275</v>
      </c>
      <c r="K112" s="2688" t="s">
        <v>1920</v>
      </c>
      <c r="L112" s="2697">
        <v>55.41</v>
      </c>
      <c r="M112" s="2697">
        <v>1</v>
      </c>
      <c r="N112" s="2688" t="s">
        <v>1259</v>
      </c>
      <c r="O112" s="2697"/>
      <c r="P112" s="2688" t="s">
        <v>1065</v>
      </c>
      <c r="Q112" s="2712">
        <v>390000</v>
      </c>
      <c r="R112" s="2688">
        <v>7038</v>
      </c>
      <c r="S112" s="2722">
        <v>37.15</v>
      </c>
      <c r="T112" s="2738">
        <v>371500</v>
      </c>
      <c r="U112" s="2688">
        <v>6705</v>
      </c>
      <c r="V112" s="2724">
        <v>0.05</v>
      </c>
      <c r="W112" s="2722">
        <v>35.29</v>
      </c>
      <c r="X112" s="2725">
        <v>352900</v>
      </c>
      <c r="Y112" s="2745">
        <v>2005</v>
      </c>
      <c r="Z112" s="2745">
        <v>12</v>
      </c>
      <c r="AA112" s="2688">
        <v>2</v>
      </c>
      <c r="AB112" s="2688">
        <v>1110</v>
      </c>
      <c r="AC112" s="2688" t="s">
        <v>1605</v>
      </c>
      <c r="AD112" s="2688"/>
      <c r="AE112" s="2688" t="s">
        <v>1900</v>
      </c>
      <c r="AF112" s="2691" t="s">
        <v>1068</v>
      </c>
      <c r="AG112" s="2688" t="s">
        <v>1069</v>
      </c>
      <c r="AH112" s="2688"/>
      <c r="AI112" s="2685" t="s">
        <v>1342</v>
      </c>
      <c r="AJ112" s="2760"/>
      <c r="AK112" s="2688" t="s">
        <v>1563</v>
      </c>
      <c r="AL112" s="2744">
        <v>82253558</v>
      </c>
      <c r="AM112" s="2745"/>
      <c r="AN112" s="2688" t="s">
        <v>1087</v>
      </c>
      <c r="AO112" s="2688" t="s">
        <v>1114</v>
      </c>
      <c r="AP112" s="2744" t="s">
        <v>1208</v>
      </c>
      <c r="AQ112" s="2688" t="s">
        <v>1607</v>
      </c>
      <c r="AR112" s="2688">
        <v>2005</v>
      </c>
      <c r="AS112" s="2688">
        <v>12</v>
      </c>
      <c r="AT112" s="2688">
        <v>2</v>
      </c>
      <c r="AU112" s="2688"/>
      <c r="AV112" s="2765"/>
      <c r="AW112" s="2745" t="s">
        <v>1075</v>
      </c>
      <c r="AX112" s="2745"/>
      <c r="AY112" s="2769"/>
      <c r="AZ112" s="2688" t="s">
        <v>1923</v>
      </c>
      <c r="BA112" s="2774"/>
      <c r="BB112" s="2775"/>
      <c r="BC112" s="2774"/>
      <c r="BD112" s="2776"/>
      <c r="BE112" s="2745"/>
      <c r="BF112" s="2788"/>
      <c r="BG112" s="2798">
        <v>38660</v>
      </c>
      <c r="BH112" s="2688"/>
      <c r="BI112" s="2688" t="s">
        <v>1609</v>
      </c>
      <c r="BJ112" s="2789">
        <v>38660</v>
      </c>
      <c r="BK112" s="2753" t="s">
        <v>1114</v>
      </c>
      <c r="BL112" s="2745" t="s">
        <v>1174</v>
      </c>
      <c r="BM112" s="2745" t="s">
        <v>888</v>
      </c>
      <c r="BN112" s="2745" t="s">
        <v>1148</v>
      </c>
      <c r="BO112" s="2688" t="s">
        <v>1331</v>
      </c>
      <c r="BP112" s="2745"/>
      <c r="BQ112" s="2745" t="e">
        <v>#DIV/0!</v>
      </c>
      <c r="BR112" s="2745" t="e">
        <v>#DIV/0!</v>
      </c>
    </row>
    <row r="113" s="2504" customFormat="1" ht="12" hidden="1" spans="1:74">
      <c r="A113" s="2688" t="s">
        <v>1924</v>
      </c>
      <c r="B113" s="2688" t="s">
        <v>1925</v>
      </c>
      <c r="C113" s="2689" t="s">
        <v>1926</v>
      </c>
      <c r="D113" s="2689" t="s">
        <v>1927</v>
      </c>
      <c r="E113" s="2688" t="s">
        <v>1060</v>
      </c>
      <c r="F113" s="2688" t="s">
        <v>1503</v>
      </c>
      <c r="G113" s="2688"/>
      <c r="H113" s="2688" t="s">
        <v>1084</v>
      </c>
      <c r="I113" s="2688" t="s">
        <v>1638</v>
      </c>
      <c r="J113" s="2689" t="s">
        <v>1928</v>
      </c>
      <c r="K113" s="2688" t="s">
        <v>1925</v>
      </c>
      <c r="L113" s="2688">
        <v>119.96</v>
      </c>
      <c r="M113" s="2688">
        <v>8</v>
      </c>
      <c r="N113" s="2688" t="s">
        <v>1101</v>
      </c>
      <c r="O113" s="2688"/>
      <c r="P113" s="2688" t="s">
        <v>1065</v>
      </c>
      <c r="Q113" s="2712">
        <v>520000</v>
      </c>
      <c r="R113" s="2688">
        <v>4335</v>
      </c>
      <c r="S113" s="2722">
        <v>64.77</v>
      </c>
      <c r="T113" s="2723">
        <v>647700</v>
      </c>
      <c r="U113" s="2688">
        <v>5400</v>
      </c>
      <c r="V113" s="2724">
        <v>0.2</v>
      </c>
      <c r="W113" s="2722">
        <v>51.81</v>
      </c>
      <c r="X113" s="2725">
        <v>518100</v>
      </c>
      <c r="Y113" s="2745">
        <v>2005</v>
      </c>
      <c r="Z113" s="2745">
        <v>11</v>
      </c>
      <c r="AA113" s="2745">
        <v>14</v>
      </c>
      <c r="AB113" s="2688">
        <v>1500</v>
      </c>
      <c r="AC113" s="2688" t="s">
        <v>1707</v>
      </c>
      <c r="AD113" s="2688"/>
      <c r="AE113" s="2688" t="s">
        <v>175</v>
      </c>
      <c r="AF113" s="2688" t="s">
        <v>1068</v>
      </c>
      <c r="AG113" s="2688" t="s">
        <v>1069</v>
      </c>
      <c r="AH113" s="2688"/>
      <c r="AI113" s="2688" t="s">
        <v>1342</v>
      </c>
      <c r="AJ113" s="2753"/>
      <c r="AK113" s="2754" t="s">
        <v>1136</v>
      </c>
      <c r="AL113" s="2688">
        <v>82253558</v>
      </c>
      <c r="AM113" s="2745"/>
      <c r="AN113" s="2745" t="s">
        <v>1072</v>
      </c>
      <c r="AO113" s="2745"/>
      <c r="AP113" s="2688" t="s">
        <v>175</v>
      </c>
      <c r="AQ113" s="2688" t="s">
        <v>1074</v>
      </c>
      <c r="AR113" s="2745"/>
      <c r="AS113" s="2745"/>
      <c r="AT113" s="2745"/>
      <c r="AU113" s="2745"/>
      <c r="AV113" s="2745"/>
      <c r="AW113" s="2745" t="s">
        <v>1343</v>
      </c>
      <c r="AX113" s="2745"/>
      <c r="AY113" s="2769"/>
      <c r="AZ113" s="2745" t="s">
        <v>1929</v>
      </c>
      <c r="BA113" s="2745"/>
      <c r="BB113" s="2769"/>
      <c r="BC113" s="2745"/>
      <c r="BD113" s="2770"/>
      <c r="BE113" s="2745"/>
      <c r="BF113" s="2788"/>
      <c r="BG113" s="2790">
        <v>38643</v>
      </c>
      <c r="BH113" s="2745"/>
      <c r="BI113" s="2745" t="s">
        <v>1708</v>
      </c>
      <c r="BJ113" s="2789"/>
      <c r="BK113" s="2789"/>
      <c r="BL113" s="2745" t="s">
        <v>1174</v>
      </c>
      <c r="BM113" s="2745" t="s">
        <v>888</v>
      </c>
      <c r="BN113" s="2745" t="s">
        <v>1077</v>
      </c>
      <c r="BO113" s="2688" t="s">
        <v>1128</v>
      </c>
      <c r="BP113" s="2745"/>
      <c r="BQ113" s="2745" t="e">
        <v>#DIV/0!</v>
      </c>
      <c r="BR113" s="2745" t="e">
        <v>#DIV/0!</v>
      </c>
      <c r="BV113" s="2505"/>
    </row>
    <row r="114" s="2505" customFormat="1" ht="12" hidden="1" spans="1:73">
      <c r="A114" s="2688" t="s">
        <v>1930</v>
      </c>
      <c r="B114" s="2688" t="s">
        <v>1465</v>
      </c>
      <c r="C114" s="2689" t="s">
        <v>1931</v>
      </c>
      <c r="D114" s="2689" t="s">
        <v>1932</v>
      </c>
      <c r="E114" s="2688" t="s">
        <v>1060</v>
      </c>
      <c r="F114" s="2688" t="s">
        <v>1933</v>
      </c>
      <c r="G114" s="2688"/>
      <c r="H114" s="2688" t="s">
        <v>1934</v>
      </c>
      <c r="I114" s="2688"/>
      <c r="J114" s="2689" t="s">
        <v>1935</v>
      </c>
      <c r="K114" s="2688" t="s">
        <v>1465</v>
      </c>
      <c r="L114" s="2688">
        <v>66.7</v>
      </c>
      <c r="M114" s="2688">
        <v>6</v>
      </c>
      <c r="N114" s="2688" t="s">
        <v>1064</v>
      </c>
      <c r="O114" s="2688"/>
      <c r="P114" s="2688" t="s">
        <v>1690</v>
      </c>
      <c r="Q114" s="2712">
        <v>353000</v>
      </c>
      <c r="R114" s="2688">
        <v>5292</v>
      </c>
      <c r="S114" s="2722">
        <v>31.01</v>
      </c>
      <c r="T114" s="2723">
        <v>310100</v>
      </c>
      <c r="U114" s="2688">
        <v>4650</v>
      </c>
      <c r="V114" s="2724">
        <v>0.05</v>
      </c>
      <c r="W114" s="2722">
        <v>29.45</v>
      </c>
      <c r="X114" s="2725">
        <v>294500</v>
      </c>
      <c r="Y114" s="2745">
        <v>2005</v>
      </c>
      <c r="Z114" s="2745">
        <v>11</v>
      </c>
      <c r="AA114" s="2745">
        <v>22</v>
      </c>
      <c r="AB114" s="2688">
        <v>930</v>
      </c>
      <c r="AC114" s="2688" t="s">
        <v>1605</v>
      </c>
      <c r="AD114" s="2688"/>
      <c r="AE114" s="2688" t="s">
        <v>1067</v>
      </c>
      <c r="AF114" s="2688" t="s">
        <v>1068</v>
      </c>
      <c r="AG114" s="2688" t="s">
        <v>1069</v>
      </c>
      <c r="AH114" s="2688"/>
      <c r="AI114" s="2753" t="s">
        <v>1342</v>
      </c>
      <c r="AJ114" s="2753"/>
      <c r="AK114" s="2754" t="s">
        <v>1136</v>
      </c>
      <c r="AL114" s="2745">
        <v>82253558</v>
      </c>
      <c r="AM114" s="2745"/>
      <c r="AN114" s="2688" t="s">
        <v>1182</v>
      </c>
      <c r="AO114" s="2745"/>
      <c r="AP114" s="2745" t="s">
        <v>1208</v>
      </c>
      <c r="AQ114" s="2688" t="s">
        <v>1607</v>
      </c>
      <c r="AR114" s="2745"/>
      <c r="AS114" s="2745"/>
      <c r="AT114" s="2745"/>
      <c r="AU114" s="2745"/>
      <c r="AV114" s="2745"/>
      <c r="AW114" s="2745" t="s">
        <v>1343</v>
      </c>
      <c r="AX114" s="2745"/>
      <c r="AY114" s="2769"/>
      <c r="AZ114" s="2745" t="s">
        <v>1936</v>
      </c>
      <c r="BA114" s="2745"/>
      <c r="BB114" s="2769"/>
      <c r="BC114" s="2745"/>
      <c r="BD114" s="2770"/>
      <c r="BE114" s="2745"/>
      <c r="BF114" s="2788"/>
      <c r="BG114" s="2790">
        <v>38650</v>
      </c>
      <c r="BH114" s="2745"/>
      <c r="BI114" s="2688" t="s">
        <v>1609</v>
      </c>
      <c r="BJ114" s="2789">
        <v>38667</v>
      </c>
      <c r="BK114" s="2789"/>
      <c r="BL114" s="2745" t="s">
        <v>1174</v>
      </c>
      <c r="BM114" s="2745" t="s">
        <v>888</v>
      </c>
      <c r="BN114" s="2745" t="s">
        <v>1077</v>
      </c>
      <c r="BO114" s="2745" t="s">
        <v>1128</v>
      </c>
      <c r="BP114" s="2745"/>
      <c r="BQ114" s="2745" t="e">
        <v>#DIV/0!</v>
      </c>
      <c r="BR114" s="2745" t="e">
        <v>#DIV/0!</v>
      </c>
      <c r="BS114" s="2504"/>
      <c r="BT114" s="2504"/>
      <c r="BU114" s="2504"/>
    </row>
    <row r="115" s="2505" customFormat="1" ht="12" hidden="1" spans="1:73">
      <c r="A115" s="2688" t="s">
        <v>1937</v>
      </c>
      <c r="B115" s="2688" t="s">
        <v>1938</v>
      </c>
      <c r="C115" s="2689" t="s">
        <v>1939</v>
      </c>
      <c r="D115" s="2689" t="s">
        <v>1940</v>
      </c>
      <c r="E115" s="2688" t="s">
        <v>1060</v>
      </c>
      <c r="F115" s="2690" t="s">
        <v>1941</v>
      </c>
      <c r="G115" s="2688"/>
      <c r="H115" s="2688" t="s">
        <v>1421</v>
      </c>
      <c r="I115" s="2688" t="s">
        <v>1099</v>
      </c>
      <c r="J115" s="2689" t="s">
        <v>1382</v>
      </c>
      <c r="K115" s="2688" t="s">
        <v>1938</v>
      </c>
      <c r="L115" s="2688">
        <v>40.6</v>
      </c>
      <c r="M115" s="2688">
        <v>2</v>
      </c>
      <c r="N115" s="2688" t="s">
        <v>1942</v>
      </c>
      <c r="O115" s="2688"/>
      <c r="P115" s="2688" t="s">
        <v>1065</v>
      </c>
      <c r="Q115" s="2712">
        <v>292000</v>
      </c>
      <c r="R115" s="2688">
        <v>7192</v>
      </c>
      <c r="S115" s="2722">
        <v>23.54</v>
      </c>
      <c r="T115" s="2723">
        <v>235400</v>
      </c>
      <c r="U115" s="2688">
        <v>5800</v>
      </c>
      <c r="V115" s="2724">
        <v>0.05</v>
      </c>
      <c r="W115" s="2722">
        <v>22.36</v>
      </c>
      <c r="X115" s="2725">
        <v>223600</v>
      </c>
      <c r="Y115" s="2745">
        <v>2005</v>
      </c>
      <c r="Z115" s="2745">
        <v>11</v>
      </c>
      <c r="AA115" s="2745">
        <v>28</v>
      </c>
      <c r="AB115" s="2688">
        <v>705</v>
      </c>
      <c r="AC115" s="2688" t="s">
        <v>1605</v>
      </c>
      <c r="AD115" s="2688"/>
      <c r="AE115" s="2688" t="s">
        <v>1067</v>
      </c>
      <c r="AF115" s="2688" t="s">
        <v>1068</v>
      </c>
      <c r="AG115" s="2688" t="s">
        <v>1069</v>
      </c>
      <c r="AH115" s="2688"/>
      <c r="AI115" s="2688" t="s">
        <v>1342</v>
      </c>
      <c r="AJ115" s="2753"/>
      <c r="AK115" s="2755" t="s">
        <v>1136</v>
      </c>
      <c r="AL115" s="2745">
        <v>82253558</v>
      </c>
      <c r="AM115" s="2745"/>
      <c r="AN115" s="2688" t="s">
        <v>1071</v>
      </c>
      <c r="AO115" s="2745" t="s">
        <v>1943</v>
      </c>
      <c r="AP115" s="2745" t="s">
        <v>1067</v>
      </c>
      <c r="AQ115" s="2688" t="s">
        <v>1607</v>
      </c>
      <c r="AR115" s="2745">
        <v>2005</v>
      </c>
      <c r="AS115" s="2745">
        <v>11</v>
      </c>
      <c r="AT115" s="2745">
        <v>29</v>
      </c>
      <c r="AU115" s="2745"/>
      <c r="AV115" s="2745"/>
      <c r="AW115" s="2745"/>
      <c r="AX115" s="2745"/>
      <c r="AY115" s="2769"/>
      <c r="AZ115" s="2745" t="s">
        <v>1944</v>
      </c>
      <c r="BA115" s="2745"/>
      <c r="BB115" s="2769"/>
      <c r="BC115" s="2745"/>
      <c r="BD115" s="2770"/>
      <c r="BE115" s="2745"/>
      <c r="BF115" s="2788"/>
      <c r="BG115" s="2790">
        <v>38670</v>
      </c>
      <c r="BH115" s="2745"/>
      <c r="BI115" s="2688" t="s">
        <v>1609</v>
      </c>
      <c r="BJ115" s="2789">
        <v>38670</v>
      </c>
      <c r="BK115" s="2789"/>
      <c r="BL115" s="2688" t="s">
        <v>1174</v>
      </c>
      <c r="BM115" s="2745" t="s">
        <v>888</v>
      </c>
      <c r="BN115" s="2745" t="s">
        <v>1148</v>
      </c>
      <c r="BO115" s="2688" t="s">
        <v>1331</v>
      </c>
      <c r="BP115" s="2745"/>
      <c r="BQ115" s="2745" t="e">
        <v>#DIV/0!</v>
      </c>
      <c r="BR115" s="2745" t="e">
        <v>#DIV/0!</v>
      </c>
      <c r="BS115" s="2504"/>
      <c r="BT115" s="2504"/>
      <c r="BU115" s="2504"/>
    </row>
    <row r="116" s="2505" customFormat="1" ht="12" hidden="1" spans="1:73">
      <c r="A116" s="2688" t="s">
        <v>1945</v>
      </c>
      <c r="B116" s="2688" t="s">
        <v>1946</v>
      </c>
      <c r="C116" s="2689" t="s">
        <v>1947</v>
      </c>
      <c r="D116" s="2689" t="s">
        <v>1948</v>
      </c>
      <c r="E116" s="2688" t="s">
        <v>1060</v>
      </c>
      <c r="F116" s="2690" t="s">
        <v>1949</v>
      </c>
      <c r="G116" s="2688"/>
      <c r="H116" s="2688" t="s">
        <v>1062</v>
      </c>
      <c r="I116" s="2688"/>
      <c r="J116" s="2689" t="s">
        <v>1950</v>
      </c>
      <c r="K116" s="2688" t="s">
        <v>1951</v>
      </c>
      <c r="L116" s="2688">
        <v>129.29</v>
      </c>
      <c r="M116" s="2688">
        <v>4</v>
      </c>
      <c r="N116" s="2688" t="s">
        <v>1101</v>
      </c>
      <c r="O116" s="2688"/>
      <c r="P116" s="2688" t="s">
        <v>1065</v>
      </c>
      <c r="Q116" s="2712">
        <v>920000</v>
      </c>
      <c r="R116" s="2688">
        <v>7116</v>
      </c>
      <c r="S116" s="2722">
        <v>79.51</v>
      </c>
      <c r="T116" s="2723">
        <v>795100</v>
      </c>
      <c r="U116" s="2688">
        <v>6150</v>
      </c>
      <c r="V116" s="2724">
        <v>0.2</v>
      </c>
      <c r="W116" s="2722">
        <v>63.6</v>
      </c>
      <c r="X116" s="2725">
        <v>636000</v>
      </c>
      <c r="Y116" s="2745">
        <v>2005</v>
      </c>
      <c r="Z116" s="2745">
        <v>11</v>
      </c>
      <c r="AA116" s="2745">
        <v>16</v>
      </c>
      <c r="AB116" s="2688">
        <v>1500</v>
      </c>
      <c r="AC116" s="2688" t="s">
        <v>1707</v>
      </c>
      <c r="AD116" s="2688"/>
      <c r="AE116" s="2746" t="s">
        <v>175</v>
      </c>
      <c r="AF116" s="2688" t="s">
        <v>1068</v>
      </c>
      <c r="AG116" s="2747" t="s">
        <v>1069</v>
      </c>
      <c r="AH116" s="2688"/>
      <c r="AI116" s="2688" t="s">
        <v>1070</v>
      </c>
      <c r="AJ116" s="2753"/>
      <c r="AK116" s="2754" t="s">
        <v>1136</v>
      </c>
      <c r="AL116" s="2688">
        <v>82253558</v>
      </c>
      <c r="AM116" s="2745"/>
      <c r="AN116" s="2747" t="s">
        <v>1071</v>
      </c>
      <c r="AO116" s="2745" t="s">
        <v>1952</v>
      </c>
      <c r="AP116" s="2688" t="s">
        <v>175</v>
      </c>
      <c r="AQ116" s="2745" t="s">
        <v>1074</v>
      </c>
      <c r="AR116" s="2745"/>
      <c r="AS116" s="2745"/>
      <c r="AT116" s="2745"/>
      <c r="AU116" s="2745"/>
      <c r="AV116" s="2745"/>
      <c r="AW116" s="2745" t="s">
        <v>1075</v>
      </c>
      <c r="AX116" s="2745"/>
      <c r="AY116" s="2769"/>
      <c r="AZ116" s="2745" t="s">
        <v>1951</v>
      </c>
      <c r="BA116" s="2745"/>
      <c r="BB116" s="2769"/>
      <c r="BC116" s="2745"/>
      <c r="BD116" s="2770"/>
      <c r="BE116" s="2745"/>
      <c r="BF116" s="2788"/>
      <c r="BG116" s="2790">
        <v>38651</v>
      </c>
      <c r="BH116" s="2745"/>
      <c r="BI116" s="2800" t="s">
        <v>175</v>
      </c>
      <c r="BJ116" s="2789"/>
      <c r="BK116" s="2789"/>
      <c r="BL116" s="2745" t="s">
        <v>1174</v>
      </c>
      <c r="BM116" s="2688" t="s">
        <v>888</v>
      </c>
      <c r="BN116" s="2745" t="s">
        <v>1077</v>
      </c>
      <c r="BO116" s="2688" t="s">
        <v>1128</v>
      </c>
      <c r="BP116" s="2745" t="s">
        <v>1953</v>
      </c>
      <c r="BQ116" s="2745" t="e">
        <v>#DIV/0!</v>
      </c>
      <c r="BR116" s="2745" t="e">
        <v>#DIV/0!</v>
      </c>
      <c r="BS116" s="2504"/>
      <c r="BT116" s="2504"/>
      <c r="BU116" s="2504"/>
    </row>
    <row r="117" s="2504" customFormat="1" ht="12" hidden="1" spans="1:74">
      <c r="A117" s="2688" t="s">
        <v>1954</v>
      </c>
      <c r="B117" s="2688" t="s">
        <v>1955</v>
      </c>
      <c r="C117" s="2689" t="s">
        <v>1956</v>
      </c>
      <c r="D117" s="2691" t="s">
        <v>1957</v>
      </c>
      <c r="E117" s="2688" t="s">
        <v>1060</v>
      </c>
      <c r="F117" s="2688" t="s">
        <v>1230</v>
      </c>
      <c r="G117" s="2688"/>
      <c r="H117" s="2691" t="s">
        <v>1239</v>
      </c>
      <c r="I117" s="2691"/>
      <c r="J117" s="2697" t="s">
        <v>1958</v>
      </c>
      <c r="K117" s="2688" t="s">
        <v>1959</v>
      </c>
      <c r="L117" s="2702">
        <v>84.16</v>
      </c>
      <c r="M117" s="2697">
        <v>4</v>
      </c>
      <c r="N117" s="2688" t="s">
        <v>1064</v>
      </c>
      <c r="O117" s="2688"/>
      <c r="P117" s="2688" t="s">
        <v>1065</v>
      </c>
      <c r="Q117" s="2739">
        <v>530000</v>
      </c>
      <c r="R117" s="2688">
        <v>6298</v>
      </c>
      <c r="S117" s="2722">
        <v>50.49</v>
      </c>
      <c r="T117" s="2723">
        <v>504900</v>
      </c>
      <c r="U117" s="2688">
        <v>6000</v>
      </c>
      <c r="V117" s="2724">
        <v>0.05</v>
      </c>
      <c r="W117" s="2722">
        <v>47.96</v>
      </c>
      <c r="X117" s="2725">
        <v>479600</v>
      </c>
      <c r="Y117" s="2688">
        <v>2005</v>
      </c>
      <c r="Z117" s="2688">
        <v>11</v>
      </c>
      <c r="AA117" s="2688">
        <v>24</v>
      </c>
      <c r="AB117" s="2688">
        <v>1500</v>
      </c>
      <c r="AC117" s="2688" t="s">
        <v>1605</v>
      </c>
      <c r="AD117" s="2688"/>
      <c r="AE117" s="2745" t="s">
        <v>175</v>
      </c>
      <c r="AF117" s="2688" t="s">
        <v>1068</v>
      </c>
      <c r="AG117" s="2688" t="s">
        <v>1069</v>
      </c>
      <c r="AH117" s="2688"/>
      <c r="AI117" s="2688"/>
      <c r="AJ117" s="2697"/>
      <c r="AK117" s="2755" t="s">
        <v>1136</v>
      </c>
      <c r="AL117" s="2688">
        <v>82253558</v>
      </c>
      <c r="AM117" s="2688"/>
      <c r="AN117" s="2688" t="s">
        <v>1182</v>
      </c>
      <c r="AO117" s="2688" t="s">
        <v>1960</v>
      </c>
      <c r="AP117" s="2688" t="s">
        <v>1208</v>
      </c>
      <c r="AQ117" s="2688" t="s">
        <v>1074</v>
      </c>
      <c r="AR117" s="2688"/>
      <c r="AS117" s="2688"/>
      <c r="AT117" s="2688"/>
      <c r="AU117" s="2688"/>
      <c r="AV117" s="2688"/>
      <c r="AW117" s="2688" t="s">
        <v>1343</v>
      </c>
      <c r="AX117" s="2688"/>
      <c r="AY117" s="2747"/>
      <c r="AZ117" s="2688" t="s">
        <v>1959</v>
      </c>
      <c r="BA117" s="2688"/>
      <c r="BB117" s="2688"/>
      <c r="BC117" s="2688"/>
      <c r="BD117" s="2688"/>
      <c r="BE117" s="2688"/>
      <c r="BF117" s="2688"/>
      <c r="BG117" s="2760">
        <v>38677</v>
      </c>
      <c r="BH117" s="2688"/>
      <c r="BI117" s="2745" t="s">
        <v>1918</v>
      </c>
      <c r="BJ117" s="2789">
        <v>38677</v>
      </c>
      <c r="BK117" s="2753"/>
      <c r="BL117" s="2688" t="s">
        <v>1174</v>
      </c>
      <c r="BM117" s="2688" t="s">
        <v>888</v>
      </c>
      <c r="BN117" s="2688" t="s">
        <v>1148</v>
      </c>
      <c r="BO117" s="2688" t="s">
        <v>1709</v>
      </c>
      <c r="BP117" s="2688"/>
      <c r="BQ117" s="2745" t="e">
        <v>#DIV/0!</v>
      </c>
      <c r="BR117" s="2745" t="e">
        <v>#DIV/0!</v>
      </c>
      <c r="BV117" s="2505"/>
    </row>
    <row r="118" s="2505" customFormat="1" ht="12" hidden="1" spans="1:73">
      <c r="A118" s="2688" t="s">
        <v>1961</v>
      </c>
      <c r="B118" s="2688" t="s">
        <v>1962</v>
      </c>
      <c r="C118" s="2689" t="s">
        <v>1963</v>
      </c>
      <c r="D118" s="2689" t="s">
        <v>1964</v>
      </c>
      <c r="E118" s="2688" t="s">
        <v>1060</v>
      </c>
      <c r="F118" s="2688" t="s">
        <v>1965</v>
      </c>
      <c r="G118" s="2688"/>
      <c r="H118" s="2688" t="s">
        <v>1084</v>
      </c>
      <c r="I118" s="2688"/>
      <c r="J118" s="2689" t="s">
        <v>1966</v>
      </c>
      <c r="K118" s="2688" t="s">
        <v>1962</v>
      </c>
      <c r="L118" s="2688">
        <v>91.33</v>
      </c>
      <c r="M118" s="2688">
        <v>16</v>
      </c>
      <c r="N118" s="2688" t="s">
        <v>1064</v>
      </c>
      <c r="O118" s="2688"/>
      <c r="P118" s="2688" t="s">
        <v>1065</v>
      </c>
      <c r="Q118" s="2712">
        <v>650000</v>
      </c>
      <c r="R118" s="2688">
        <v>7117</v>
      </c>
      <c r="S118" s="2722">
        <v>59.36</v>
      </c>
      <c r="T118" s="2723">
        <v>593600</v>
      </c>
      <c r="U118" s="2688">
        <v>6500</v>
      </c>
      <c r="V118" s="2724">
        <v>0.2</v>
      </c>
      <c r="W118" s="2722">
        <v>47.48</v>
      </c>
      <c r="X118" s="2725">
        <v>474800</v>
      </c>
      <c r="Y118" s="2745">
        <v>2005</v>
      </c>
      <c r="Z118" s="2745">
        <v>11</v>
      </c>
      <c r="AA118" s="2745">
        <v>23</v>
      </c>
      <c r="AB118" s="2688">
        <v>1500</v>
      </c>
      <c r="AC118" s="2688" t="s">
        <v>1707</v>
      </c>
      <c r="AD118" s="2688"/>
      <c r="AE118" s="2745" t="s">
        <v>175</v>
      </c>
      <c r="AF118" s="2688" t="s">
        <v>1068</v>
      </c>
      <c r="AG118" s="2688" t="s">
        <v>1069</v>
      </c>
      <c r="AH118" s="2688"/>
      <c r="AI118" s="2688"/>
      <c r="AJ118" s="2753"/>
      <c r="AK118" s="2755" t="s">
        <v>1136</v>
      </c>
      <c r="AL118" s="2688">
        <v>82253558</v>
      </c>
      <c r="AM118" s="2745"/>
      <c r="AN118" s="2688" t="s">
        <v>1182</v>
      </c>
      <c r="AO118" s="2745" t="s">
        <v>1967</v>
      </c>
      <c r="AP118" s="2688" t="s">
        <v>1208</v>
      </c>
      <c r="AQ118" s="2745" t="s">
        <v>1074</v>
      </c>
      <c r="AR118" s="2745"/>
      <c r="AS118" s="2745"/>
      <c r="AT118" s="2745"/>
      <c r="AU118" s="2745"/>
      <c r="AV118" s="2745"/>
      <c r="AW118" s="2688" t="s">
        <v>1343</v>
      </c>
      <c r="AX118" s="2745"/>
      <c r="AY118" s="2769"/>
      <c r="AZ118" s="2745" t="s">
        <v>1968</v>
      </c>
      <c r="BA118" s="2745"/>
      <c r="BB118" s="2769"/>
      <c r="BC118" s="2745"/>
      <c r="BD118" s="2770"/>
      <c r="BE118" s="2745"/>
      <c r="BF118" s="2788"/>
      <c r="BG118" s="2790">
        <v>38661</v>
      </c>
      <c r="BH118" s="2745"/>
      <c r="BI118" s="2688" t="s">
        <v>1208</v>
      </c>
      <c r="BJ118" s="2789"/>
      <c r="BK118" s="2789"/>
      <c r="BL118" s="2688" t="s">
        <v>1174</v>
      </c>
      <c r="BM118" s="2688" t="s">
        <v>888</v>
      </c>
      <c r="BN118" s="2688" t="s">
        <v>1077</v>
      </c>
      <c r="BO118" s="2745" t="s">
        <v>1128</v>
      </c>
      <c r="BP118" s="2745"/>
      <c r="BQ118" s="2745" t="e">
        <v>#DIV/0!</v>
      </c>
      <c r="BR118" s="2745" t="e">
        <v>#DIV/0!</v>
      </c>
      <c r="BS118" s="2504"/>
      <c r="BT118" s="2504"/>
      <c r="BU118" s="2504"/>
    </row>
    <row r="119" s="2504" customFormat="1" ht="12" hidden="1" spans="1:74">
      <c r="A119" s="2688" t="s">
        <v>1969</v>
      </c>
      <c r="B119" s="2688" t="s">
        <v>1970</v>
      </c>
      <c r="C119" s="2696" t="s">
        <v>1971</v>
      </c>
      <c r="D119" s="2688">
        <v>13311228282</v>
      </c>
      <c r="E119" s="2688" t="s">
        <v>1060</v>
      </c>
      <c r="F119" s="2688" t="s">
        <v>1972</v>
      </c>
      <c r="G119" s="2688"/>
      <c r="H119" s="2691" t="s">
        <v>1221</v>
      </c>
      <c r="I119" s="2691"/>
      <c r="J119" s="2691" t="s">
        <v>1973</v>
      </c>
      <c r="K119" s="2691" t="s">
        <v>1970</v>
      </c>
      <c r="L119" s="2697">
        <v>91.89</v>
      </c>
      <c r="M119" s="2697">
        <v>5</v>
      </c>
      <c r="N119" s="2688" t="s">
        <v>1123</v>
      </c>
      <c r="O119" s="2697"/>
      <c r="P119" s="2688" t="s">
        <v>1065</v>
      </c>
      <c r="Q119" s="2712">
        <v>690000</v>
      </c>
      <c r="R119" s="2688">
        <v>7509</v>
      </c>
      <c r="S119" s="2722">
        <v>65.66</v>
      </c>
      <c r="T119" s="2738">
        <v>656600</v>
      </c>
      <c r="U119" s="2688">
        <v>7146</v>
      </c>
      <c r="V119" s="2724">
        <v>0.2</v>
      </c>
      <c r="W119" s="2722">
        <v>52.52</v>
      </c>
      <c r="X119" s="2725">
        <v>525200</v>
      </c>
      <c r="Y119" s="2745">
        <v>2005</v>
      </c>
      <c r="Z119" s="2745">
        <v>11</v>
      </c>
      <c r="AA119" s="2688">
        <v>29</v>
      </c>
      <c r="AB119" s="2688">
        <v>1500</v>
      </c>
      <c r="AC119" s="2688" t="s">
        <v>1112</v>
      </c>
      <c r="AD119" s="2688"/>
      <c r="AE119" s="2688" t="s">
        <v>1974</v>
      </c>
      <c r="AF119" s="2691" t="s">
        <v>1068</v>
      </c>
      <c r="AG119" s="2688" t="s">
        <v>1069</v>
      </c>
      <c r="AH119" s="2688"/>
      <c r="AI119" s="2688" t="s">
        <v>1342</v>
      </c>
      <c r="AJ119" s="2760"/>
      <c r="AK119" s="2755" t="s">
        <v>1136</v>
      </c>
      <c r="AL119" s="2745">
        <v>82253558</v>
      </c>
      <c r="AM119" s="2745"/>
      <c r="AN119" s="2688" t="s">
        <v>1071</v>
      </c>
      <c r="AO119" s="2688" t="s">
        <v>1114</v>
      </c>
      <c r="AP119" s="2688" t="s">
        <v>1208</v>
      </c>
      <c r="AQ119" s="2747" t="s">
        <v>1074</v>
      </c>
      <c r="AR119" s="2688"/>
      <c r="AS119" s="2688"/>
      <c r="AT119" s="2688"/>
      <c r="AU119" s="2688"/>
      <c r="AV119" s="2765"/>
      <c r="AW119" s="2745" t="s">
        <v>1075</v>
      </c>
      <c r="AX119" s="2745"/>
      <c r="AY119" s="2769"/>
      <c r="AZ119" s="2688" t="s">
        <v>1975</v>
      </c>
      <c r="BA119" s="2774"/>
      <c r="BB119" s="2775"/>
      <c r="BC119" s="2774"/>
      <c r="BD119" s="2776"/>
      <c r="BE119" s="2745"/>
      <c r="BF119" s="2788"/>
      <c r="BG119" s="2792">
        <v>38679</v>
      </c>
      <c r="BH119" s="2688"/>
      <c r="BI119" s="2688" t="s">
        <v>1609</v>
      </c>
      <c r="BJ119" s="2789"/>
      <c r="BK119" s="2753" t="s">
        <v>1114</v>
      </c>
      <c r="BL119" s="2745" t="s">
        <v>1174</v>
      </c>
      <c r="BM119" s="2745" t="s">
        <v>888</v>
      </c>
      <c r="BN119" s="2745" t="s">
        <v>1148</v>
      </c>
      <c r="BO119" s="2688" t="s">
        <v>1331</v>
      </c>
      <c r="BP119" s="2745"/>
      <c r="BQ119" s="2745" t="e">
        <v>#DIV/0!</v>
      </c>
      <c r="BR119" s="2745" t="e">
        <v>#DIV/0!</v>
      </c>
      <c r="BV119" s="2505"/>
    </row>
    <row r="120" s="2508" customFormat="1" ht="12" hidden="1" spans="1:73">
      <c r="A120" s="2685" t="s">
        <v>1976</v>
      </c>
      <c r="B120" s="2684" t="s">
        <v>1977</v>
      </c>
      <c r="C120" s="2686" t="s">
        <v>1978</v>
      </c>
      <c r="D120" s="2684"/>
      <c r="E120" s="2684" t="s">
        <v>1979</v>
      </c>
      <c r="F120" s="2684" t="s">
        <v>1980</v>
      </c>
      <c r="G120" s="2684"/>
      <c r="H120" s="2684" t="s">
        <v>1647</v>
      </c>
      <c r="I120" s="2684" t="s">
        <v>1196</v>
      </c>
      <c r="J120" s="2684" t="s">
        <v>1981</v>
      </c>
      <c r="K120" s="2684" t="s">
        <v>1977</v>
      </c>
      <c r="L120" s="2713">
        <v>59.2</v>
      </c>
      <c r="M120" s="2713">
        <v>3</v>
      </c>
      <c r="N120" s="2685" t="s">
        <v>1064</v>
      </c>
      <c r="O120" s="2713"/>
      <c r="P120" s="2684" t="s">
        <v>1065</v>
      </c>
      <c r="Q120" s="2716">
        <v>425000</v>
      </c>
      <c r="R120" s="2685">
        <v>7179</v>
      </c>
      <c r="S120" s="2717">
        <v>36.11</v>
      </c>
      <c r="T120" s="2718">
        <v>361100</v>
      </c>
      <c r="U120" s="2685">
        <v>6100</v>
      </c>
      <c r="V120" s="2719">
        <v>0.05</v>
      </c>
      <c r="W120" s="2717">
        <v>34.3</v>
      </c>
      <c r="X120" s="2720">
        <v>343000</v>
      </c>
      <c r="Y120" s="2744">
        <v>2005</v>
      </c>
      <c r="Z120" s="2744">
        <v>12</v>
      </c>
      <c r="AA120" s="2744">
        <v>13</v>
      </c>
      <c r="AB120" s="2685">
        <v>1080</v>
      </c>
      <c r="AC120" s="2685" t="s">
        <v>1605</v>
      </c>
      <c r="AD120" s="2684"/>
      <c r="AE120" s="2684" t="s">
        <v>175</v>
      </c>
      <c r="AF120" s="2684" t="s">
        <v>1068</v>
      </c>
      <c r="AG120" s="2684" t="s">
        <v>1069</v>
      </c>
      <c r="AH120" s="2684"/>
      <c r="AI120" s="2685" t="s">
        <v>1070</v>
      </c>
      <c r="AJ120" s="2761"/>
      <c r="AK120" s="2685" t="s">
        <v>1563</v>
      </c>
      <c r="AL120" s="2744">
        <v>82253558</v>
      </c>
      <c r="AM120" s="2744"/>
      <c r="AN120" s="2685" t="s">
        <v>1088</v>
      </c>
      <c r="AO120" s="2685"/>
      <c r="AP120" s="2749" t="s">
        <v>175</v>
      </c>
      <c r="AQ120" s="2685" t="s">
        <v>1675</v>
      </c>
      <c r="AR120" s="2685">
        <v>2005</v>
      </c>
      <c r="AS120" s="2685">
        <v>12</v>
      </c>
      <c r="AT120" s="2685">
        <v>13</v>
      </c>
      <c r="AU120" s="2685"/>
      <c r="AV120" s="2766"/>
      <c r="AW120" s="2685"/>
      <c r="AX120" s="2744"/>
      <c r="AY120" s="2767"/>
      <c r="AZ120" s="2685" t="s">
        <v>1982</v>
      </c>
      <c r="BA120" s="2777"/>
      <c r="BB120" s="2778"/>
      <c r="BC120" s="2777"/>
      <c r="BD120" s="2779"/>
      <c r="BE120" s="2744"/>
      <c r="BF120" s="2784"/>
      <c r="BG120" s="2801">
        <v>38674</v>
      </c>
      <c r="BH120" s="2685"/>
      <c r="BI120" s="2744" t="s">
        <v>1918</v>
      </c>
      <c r="BJ120" s="2787">
        <v>38677</v>
      </c>
      <c r="BK120" s="2751"/>
      <c r="BL120" s="2685" t="s">
        <v>1174</v>
      </c>
      <c r="BM120" s="2685" t="s">
        <v>888</v>
      </c>
      <c r="BN120" s="2744" t="s">
        <v>1148</v>
      </c>
      <c r="BO120" s="2685" t="s">
        <v>1128</v>
      </c>
      <c r="BP120" s="2744"/>
      <c r="BQ120" s="2744" t="e">
        <v>#DIV/0!</v>
      </c>
      <c r="BR120" s="2744" t="e">
        <v>#DIV/0!</v>
      </c>
      <c r="BS120" s="2504"/>
      <c r="BT120" s="2504"/>
      <c r="BU120" s="2504"/>
    </row>
    <row r="121" s="2504" customFormat="1" ht="12" hidden="1" spans="1:70">
      <c r="A121" s="2688" t="s">
        <v>1983</v>
      </c>
      <c r="B121" s="2691" t="s">
        <v>1984</v>
      </c>
      <c r="C121" s="2689" t="s">
        <v>1985</v>
      </c>
      <c r="D121" s="2691">
        <v>13810688771</v>
      </c>
      <c r="E121" s="2691" t="s">
        <v>1060</v>
      </c>
      <c r="F121" s="2691" t="s">
        <v>1986</v>
      </c>
      <c r="G121" s="2691"/>
      <c r="H121" s="2691" t="s">
        <v>1446</v>
      </c>
      <c r="I121" s="2691" t="s">
        <v>1222</v>
      </c>
      <c r="J121" s="2691" t="s">
        <v>1100</v>
      </c>
      <c r="K121" s="2691" t="s">
        <v>1984</v>
      </c>
      <c r="L121" s="2697">
        <v>64.35</v>
      </c>
      <c r="M121" s="2697">
        <v>4</v>
      </c>
      <c r="N121" s="2688" t="s">
        <v>1064</v>
      </c>
      <c r="O121" s="2697"/>
      <c r="P121" s="2691" t="s">
        <v>1065</v>
      </c>
      <c r="Q121" s="2712">
        <v>410000</v>
      </c>
      <c r="R121" s="2688">
        <v>6371</v>
      </c>
      <c r="S121" s="2722">
        <v>32.17</v>
      </c>
      <c r="T121" s="2723">
        <v>321700</v>
      </c>
      <c r="U121" s="2688">
        <v>5000</v>
      </c>
      <c r="V121" s="2724">
        <v>0.05</v>
      </c>
      <c r="W121" s="2722">
        <v>30.56</v>
      </c>
      <c r="X121" s="2725">
        <v>305600</v>
      </c>
      <c r="Y121" s="2745">
        <v>2005</v>
      </c>
      <c r="Z121" s="2745">
        <v>12</v>
      </c>
      <c r="AA121" s="2745">
        <v>5</v>
      </c>
      <c r="AB121" s="2688">
        <v>965</v>
      </c>
      <c r="AC121" s="2688" t="s">
        <v>1605</v>
      </c>
      <c r="AD121" s="2691"/>
      <c r="AE121" s="2691" t="s">
        <v>1067</v>
      </c>
      <c r="AF121" s="2691" t="s">
        <v>1068</v>
      </c>
      <c r="AG121" s="2691" t="s">
        <v>1069</v>
      </c>
      <c r="AH121" s="2691"/>
      <c r="AI121" s="2688" t="s">
        <v>1342</v>
      </c>
      <c r="AJ121" s="2760"/>
      <c r="AK121" s="2755" t="s">
        <v>1563</v>
      </c>
      <c r="AL121" s="2745">
        <v>82253558</v>
      </c>
      <c r="AM121" s="2745"/>
      <c r="AN121" s="2745" t="s">
        <v>1087</v>
      </c>
      <c r="AO121" s="2688"/>
      <c r="AP121" s="2688" t="s">
        <v>1208</v>
      </c>
      <c r="AQ121" s="2688" t="s">
        <v>1675</v>
      </c>
      <c r="AR121" s="2688">
        <v>2005</v>
      </c>
      <c r="AS121" s="2688">
        <v>12</v>
      </c>
      <c r="AT121" s="2688">
        <v>5</v>
      </c>
      <c r="AU121" s="2688"/>
      <c r="AV121" s="2765"/>
      <c r="AW121" s="2688" t="s">
        <v>1075</v>
      </c>
      <c r="AX121" s="2745"/>
      <c r="AY121" s="2769"/>
      <c r="AZ121" s="2688" t="s">
        <v>1987</v>
      </c>
      <c r="BA121" s="2774"/>
      <c r="BB121" s="2775"/>
      <c r="BC121" s="2774"/>
      <c r="BD121" s="2776"/>
      <c r="BE121" s="2745">
        <v>13641155453</v>
      </c>
      <c r="BF121" s="2788"/>
      <c r="BG121" s="2798">
        <v>38671</v>
      </c>
      <c r="BH121" s="2688"/>
      <c r="BI121" s="2745" t="s">
        <v>1918</v>
      </c>
      <c r="BJ121" s="2789">
        <v>38677</v>
      </c>
      <c r="BK121" s="2753"/>
      <c r="BL121" s="2688" t="s">
        <v>1174</v>
      </c>
      <c r="BM121" s="2688" t="s">
        <v>888</v>
      </c>
      <c r="BN121" s="2745" t="s">
        <v>1077</v>
      </c>
      <c r="BO121" s="2688" t="s">
        <v>1709</v>
      </c>
      <c r="BP121" s="2745"/>
      <c r="BQ121" s="2745" t="e">
        <v>#DIV/0!</v>
      </c>
      <c r="BR121" s="2745" t="e">
        <v>#DIV/0!</v>
      </c>
    </row>
    <row r="122" s="2508" customFormat="1" ht="12" hidden="1" spans="1:73">
      <c r="A122" s="2685" t="s">
        <v>1988</v>
      </c>
      <c r="B122" s="2685" t="s">
        <v>1989</v>
      </c>
      <c r="C122" s="2686" t="s">
        <v>1990</v>
      </c>
      <c r="D122" s="2686" t="s">
        <v>1991</v>
      </c>
      <c r="E122" s="2685" t="s">
        <v>1060</v>
      </c>
      <c r="F122" s="2692" t="s">
        <v>1992</v>
      </c>
      <c r="G122" s="2685"/>
      <c r="H122" s="2685" t="s">
        <v>1084</v>
      </c>
      <c r="I122" s="2684" t="s">
        <v>1099</v>
      </c>
      <c r="J122" s="2686" t="s">
        <v>1275</v>
      </c>
      <c r="K122" s="2685" t="s">
        <v>1989</v>
      </c>
      <c r="L122" s="2685">
        <v>57</v>
      </c>
      <c r="M122" s="2685">
        <v>2</v>
      </c>
      <c r="N122" s="2685" t="s">
        <v>1064</v>
      </c>
      <c r="O122" s="2685"/>
      <c r="P122" s="2685" t="s">
        <v>1065</v>
      </c>
      <c r="Q122" s="2716">
        <v>385000</v>
      </c>
      <c r="R122" s="2688">
        <v>6754</v>
      </c>
      <c r="S122" s="2722">
        <v>32.55</v>
      </c>
      <c r="T122" s="2723">
        <v>325500</v>
      </c>
      <c r="U122" s="2685">
        <v>5711</v>
      </c>
      <c r="V122" s="2719">
        <v>0.05</v>
      </c>
      <c r="W122" s="2722">
        <v>30.92</v>
      </c>
      <c r="X122" s="2725">
        <v>309200</v>
      </c>
      <c r="Y122" s="2744">
        <v>2005</v>
      </c>
      <c r="Z122" s="2744">
        <v>12</v>
      </c>
      <c r="AA122" s="2744">
        <v>22</v>
      </c>
      <c r="AB122" s="2685">
        <v>975</v>
      </c>
      <c r="AC122" s="2685" t="s">
        <v>1605</v>
      </c>
      <c r="AD122" s="2685"/>
      <c r="AE122" s="2744" t="s">
        <v>1070</v>
      </c>
      <c r="AF122" s="2684" t="s">
        <v>1068</v>
      </c>
      <c r="AG122" s="2749" t="s">
        <v>1069</v>
      </c>
      <c r="AH122" s="2685"/>
      <c r="AI122" s="2685" t="s">
        <v>1342</v>
      </c>
      <c r="AJ122" s="2751"/>
      <c r="AK122" s="2685" t="s">
        <v>1563</v>
      </c>
      <c r="AL122" s="2685">
        <v>82253558</v>
      </c>
      <c r="AM122" s="2744"/>
      <c r="AN122" s="2685" t="s">
        <v>1182</v>
      </c>
      <c r="AO122" s="2744" t="s">
        <v>1993</v>
      </c>
      <c r="AP122" s="2685" t="s">
        <v>1208</v>
      </c>
      <c r="AQ122" s="2685" t="s">
        <v>1675</v>
      </c>
      <c r="AR122" s="2744">
        <v>2005</v>
      </c>
      <c r="AS122" s="2744">
        <v>12</v>
      </c>
      <c r="AT122" s="2744">
        <v>22</v>
      </c>
      <c r="AU122" s="2744"/>
      <c r="AV122" s="2744"/>
      <c r="AW122" s="2685" t="s">
        <v>1075</v>
      </c>
      <c r="AX122" s="2685"/>
      <c r="AY122" s="2780"/>
      <c r="AZ122" s="2685" t="s">
        <v>1994</v>
      </c>
      <c r="BA122" s="2744"/>
      <c r="BB122" s="2767"/>
      <c r="BC122" s="2744"/>
      <c r="BD122" s="2768"/>
      <c r="BE122" s="2744">
        <v>13683312461</v>
      </c>
      <c r="BF122" s="2784"/>
      <c r="BG122" s="2802">
        <v>38674</v>
      </c>
      <c r="BH122" s="2744"/>
      <c r="BI122" s="2744" t="s">
        <v>1918</v>
      </c>
      <c r="BJ122" s="2787">
        <v>38684</v>
      </c>
      <c r="BK122" s="2787"/>
      <c r="BL122" s="2685" t="s">
        <v>1174</v>
      </c>
      <c r="BM122" s="2744" t="s">
        <v>888</v>
      </c>
      <c r="BN122" s="2744" t="s">
        <v>1148</v>
      </c>
      <c r="BO122" s="2744" t="s">
        <v>1331</v>
      </c>
      <c r="BP122" s="2744"/>
      <c r="BQ122" s="2744" t="e">
        <v>#DIV/0!</v>
      </c>
      <c r="BR122" s="2745" t="e">
        <v>#DIV/0!</v>
      </c>
      <c r="BS122" s="2504"/>
      <c r="BT122" s="2504"/>
      <c r="BU122" s="2504"/>
    </row>
    <row r="123" s="2508" customFormat="1" ht="12" hidden="1" spans="1:73">
      <c r="A123" s="2685" t="s">
        <v>1995</v>
      </c>
      <c r="B123" s="2684" t="s">
        <v>1996</v>
      </c>
      <c r="C123" s="2686" t="s">
        <v>1997</v>
      </c>
      <c r="D123" s="2684">
        <v>13811839039</v>
      </c>
      <c r="E123" s="2684" t="s">
        <v>1060</v>
      </c>
      <c r="F123" s="2684" t="s">
        <v>1998</v>
      </c>
      <c r="G123" s="2684"/>
      <c r="H123" s="2684" t="s">
        <v>1999</v>
      </c>
      <c r="I123" s="2684"/>
      <c r="J123" s="2684" t="s">
        <v>2000</v>
      </c>
      <c r="K123" s="2684" t="s">
        <v>1996</v>
      </c>
      <c r="L123" s="2713">
        <v>76.72</v>
      </c>
      <c r="M123" s="2713">
        <v>3</v>
      </c>
      <c r="N123" s="2685" t="s">
        <v>1123</v>
      </c>
      <c r="O123" s="2713"/>
      <c r="P123" s="2684" t="s">
        <v>1065</v>
      </c>
      <c r="Q123" s="2716">
        <v>510000</v>
      </c>
      <c r="R123" s="2685">
        <v>6648</v>
      </c>
      <c r="S123" s="2717">
        <v>44.49</v>
      </c>
      <c r="T123" s="2718">
        <v>444900</v>
      </c>
      <c r="U123" s="2685">
        <v>5800</v>
      </c>
      <c r="V123" s="2719">
        <v>0.05</v>
      </c>
      <c r="W123" s="2717">
        <v>42.26</v>
      </c>
      <c r="X123" s="2720">
        <v>422600</v>
      </c>
      <c r="Y123" s="2744">
        <v>2005</v>
      </c>
      <c r="Z123" s="2744">
        <v>12</v>
      </c>
      <c r="AA123" s="2744">
        <v>9</v>
      </c>
      <c r="AB123" s="2685">
        <v>1330</v>
      </c>
      <c r="AC123" s="2685" t="s">
        <v>1605</v>
      </c>
      <c r="AD123" s="2684"/>
      <c r="AE123" s="2684" t="s">
        <v>1342</v>
      </c>
      <c r="AF123" s="2684" t="s">
        <v>1068</v>
      </c>
      <c r="AG123" s="2684" t="s">
        <v>1069</v>
      </c>
      <c r="AH123" s="2684"/>
      <c r="AI123" s="2685" t="s">
        <v>1342</v>
      </c>
      <c r="AJ123" s="2761"/>
      <c r="AK123" s="2752" t="s">
        <v>1563</v>
      </c>
      <c r="AL123" s="2744">
        <v>82253558</v>
      </c>
      <c r="AM123" s="2744"/>
      <c r="AN123" s="2749" t="s">
        <v>1088</v>
      </c>
      <c r="AO123" s="2685"/>
      <c r="AP123" s="2749" t="s">
        <v>1208</v>
      </c>
      <c r="AQ123" s="2744" t="s">
        <v>1607</v>
      </c>
      <c r="AR123" s="2685">
        <v>2005</v>
      </c>
      <c r="AS123" s="2685">
        <v>12</v>
      </c>
      <c r="AT123" s="2685">
        <v>9</v>
      </c>
      <c r="AU123" s="2685"/>
      <c r="AV123" s="2766"/>
      <c r="AW123" s="2685" t="s">
        <v>1343</v>
      </c>
      <c r="AX123" s="2744"/>
      <c r="AY123" s="2767"/>
      <c r="AZ123" s="2685" t="s">
        <v>2001</v>
      </c>
      <c r="BA123" s="2777"/>
      <c r="BB123" s="2778"/>
      <c r="BC123" s="2777"/>
      <c r="BD123" s="2779"/>
      <c r="BE123" s="2744"/>
      <c r="BF123" s="2784"/>
      <c r="BG123" s="2801">
        <v>38681</v>
      </c>
      <c r="BH123" s="2685"/>
      <c r="BI123" s="2744" t="s">
        <v>1609</v>
      </c>
      <c r="BJ123" s="2787">
        <v>38681</v>
      </c>
      <c r="BK123" s="2751"/>
      <c r="BL123" s="2685" t="s">
        <v>1092</v>
      </c>
      <c r="BM123" s="2685" t="s">
        <v>888</v>
      </c>
      <c r="BN123" s="2744" t="s">
        <v>1077</v>
      </c>
      <c r="BO123" s="2685" t="s">
        <v>1331</v>
      </c>
      <c r="BP123" s="2744"/>
      <c r="BQ123" s="2744" t="e">
        <v>#DIV/0!</v>
      </c>
      <c r="BR123" s="2744" t="e">
        <v>#DIV/0!</v>
      </c>
      <c r="BS123" s="2504"/>
      <c r="BT123" s="2504"/>
      <c r="BU123" s="2504"/>
    </row>
    <row r="124" s="2506" customFormat="1" ht="12" hidden="1" spans="1:73">
      <c r="A124" s="2685" t="s">
        <v>2002</v>
      </c>
      <c r="B124" s="2685" t="s">
        <v>2003</v>
      </c>
      <c r="C124" s="2686" t="s">
        <v>2004</v>
      </c>
      <c r="D124" s="2686" t="s">
        <v>2005</v>
      </c>
      <c r="E124" s="2685" t="s">
        <v>1060</v>
      </c>
      <c r="F124" s="2692" t="s">
        <v>2006</v>
      </c>
      <c r="G124" s="2685"/>
      <c r="H124" s="2685" t="s">
        <v>1688</v>
      </c>
      <c r="I124" s="2685" t="s">
        <v>1143</v>
      </c>
      <c r="J124" s="2686" t="s">
        <v>1268</v>
      </c>
      <c r="K124" s="2685" t="s">
        <v>2003</v>
      </c>
      <c r="L124" s="2685">
        <v>62.3</v>
      </c>
      <c r="M124" s="2685">
        <v>5</v>
      </c>
      <c r="N124" s="2685" t="s">
        <v>1064</v>
      </c>
      <c r="O124" s="2685">
        <v>40.7</v>
      </c>
      <c r="P124" s="2685" t="s">
        <v>1065</v>
      </c>
      <c r="Q124" s="2716">
        <v>400000</v>
      </c>
      <c r="R124" s="2688">
        <v>6421</v>
      </c>
      <c r="S124" s="2722">
        <v>37.06</v>
      </c>
      <c r="T124" s="2723">
        <v>370600</v>
      </c>
      <c r="U124" s="2685">
        <v>5950</v>
      </c>
      <c r="V124" s="2719">
        <v>0.05</v>
      </c>
      <c r="W124" s="2722">
        <v>35.2</v>
      </c>
      <c r="X124" s="2725">
        <v>352000</v>
      </c>
      <c r="Y124" s="2744">
        <v>2005</v>
      </c>
      <c r="Z124" s="2744">
        <v>12</v>
      </c>
      <c r="AA124" s="2744">
        <v>20</v>
      </c>
      <c r="AB124" s="2685">
        <v>1110</v>
      </c>
      <c r="AC124" s="2685" t="s">
        <v>1605</v>
      </c>
      <c r="AD124" s="2685"/>
      <c r="AE124" s="2685" t="s">
        <v>1067</v>
      </c>
      <c r="AF124" s="2685" t="s">
        <v>1068</v>
      </c>
      <c r="AG124" s="2685" t="s">
        <v>1069</v>
      </c>
      <c r="AH124" s="2685"/>
      <c r="AI124" s="2685" t="s">
        <v>175</v>
      </c>
      <c r="AJ124" s="2751"/>
      <c r="AK124" s="2762" t="s">
        <v>1563</v>
      </c>
      <c r="AL124" s="2744">
        <v>82253558</v>
      </c>
      <c r="AM124" s="2744"/>
      <c r="AN124" s="2685" t="s">
        <v>1182</v>
      </c>
      <c r="AO124" s="2744"/>
      <c r="AP124" s="2744" t="s">
        <v>1342</v>
      </c>
      <c r="AQ124" s="2685" t="s">
        <v>1675</v>
      </c>
      <c r="AR124" s="2685">
        <v>2005</v>
      </c>
      <c r="AS124" s="2685">
        <v>12</v>
      </c>
      <c r="AT124" s="2685">
        <v>20</v>
      </c>
      <c r="AU124" s="2744"/>
      <c r="AV124" s="2744"/>
      <c r="AW124" s="2685" t="s">
        <v>1343</v>
      </c>
      <c r="AX124" s="2744"/>
      <c r="AY124" s="2767"/>
      <c r="AZ124" s="2685" t="s">
        <v>2007</v>
      </c>
      <c r="BA124" s="2744"/>
      <c r="BB124" s="2767"/>
      <c r="BC124" s="2744"/>
      <c r="BD124" s="2768"/>
      <c r="BE124" s="2744"/>
      <c r="BF124" s="2784"/>
      <c r="BG124" s="2785">
        <v>38684</v>
      </c>
      <c r="BH124" s="2744"/>
      <c r="BI124" s="2744" t="s">
        <v>1918</v>
      </c>
      <c r="BJ124" s="2787">
        <v>38685</v>
      </c>
      <c r="BK124" s="2787"/>
      <c r="BL124" s="2685" t="s">
        <v>1174</v>
      </c>
      <c r="BM124" s="2744" t="s">
        <v>888</v>
      </c>
      <c r="BN124" s="2744" t="s">
        <v>1077</v>
      </c>
      <c r="BO124" s="2744" t="s">
        <v>1721</v>
      </c>
      <c r="BP124" s="2744"/>
      <c r="BQ124" s="2744">
        <v>9106</v>
      </c>
      <c r="BR124" s="2745">
        <v>9828</v>
      </c>
      <c r="BS124" s="2504"/>
      <c r="BT124" s="2504"/>
      <c r="BU124" s="2504"/>
    </row>
    <row r="125" s="2508" customFormat="1" ht="12" hidden="1" spans="1:73">
      <c r="A125" s="2685" t="s">
        <v>2008</v>
      </c>
      <c r="B125" s="2685" t="s">
        <v>2009</v>
      </c>
      <c r="C125" s="2686" t="s">
        <v>2010</v>
      </c>
      <c r="D125" s="2684">
        <v>13611217910</v>
      </c>
      <c r="E125" s="2685" t="s">
        <v>1060</v>
      </c>
      <c r="F125" s="2684" t="s">
        <v>2011</v>
      </c>
      <c r="G125" s="2685"/>
      <c r="H125" s="2685" t="s">
        <v>1239</v>
      </c>
      <c r="I125" s="2685"/>
      <c r="J125" s="2686" t="s">
        <v>2012</v>
      </c>
      <c r="K125" s="2685" t="s">
        <v>2009</v>
      </c>
      <c r="L125" s="2714">
        <v>100.44</v>
      </c>
      <c r="M125" s="2685">
        <v>17</v>
      </c>
      <c r="N125" s="2685" t="s">
        <v>1290</v>
      </c>
      <c r="O125" s="2685"/>
      <c r="P125" s="2685" t="s">
        <v>1065</v>
      </c>
      <c r="Q125" s="2740">
        <v>727000</v>
      </c>
      <c r="R125" s="2688">
        <v>7238</v>
      </c>
      <c r="S125" s="2722">
        <v>64.9</v>
      </c>
      <c r="T125" s="2723">
        <v>649000</v>
      </c>
      <c r="U125" s="2740">
        <v>6462</v>
      </c>
      <c r="V125" s="2719">
        <v>0.05</v>
      </c>
      <c r="W125" s="2722">
        <v>61.65</v>
      </c>
      <c r="X125" s="2725">
        <v>616500</v>
      </c>
      <c r="Y125" s="2744">
        <v>2005</v>
      </c>
      <c r="Z125" s="2744">
        <v>12</v>
      </c>
      <c r="AA125" s="2744">
        <v>22</v>
      </c>
      <c r="AB125" s="2685">
        <v>1500</v>
      </c>
      <c r="AC125" s="2685" t="s">
        <v>1605</v>
      </c>
      <c r="AD125" s="2685"/>
      <c r="AE125" s="2744" t="s">
        <v>1070</v>
      </c>
      <c r="AF125" s="2685" t="s">
        <v>1068</v>
      </c>
      <c r="AG125" s="2685" t="s">
        <v>1069</v>
      </c>
      <c r="AH125" s="2685"/>
      <c r="AI125" s="2685" t="s">
        <v>1342</v>
      </c>
      <c r="AJ125" s="2761"/>
      <c r="AK125" s="2752" t="s">
        <v>1563</v>
      </c>
      <c r="AL125" s="2685">
        <v>82253558</v>
      </c>
      <c r="AM125" s="2685" t="s">
        <v>1114</v>
      </c>
      <c r="AN125" s="2685" t="s">
        <v>1182</v>
      </c>
      <c r="AO125" s="2685"/>
      <c r="AP125" s="2685" t="s">
        <v>1208</v>
      </c>
      <c r="AQ125" s="2685" t="s">
        <v>1675</v>
      </c>
      <c r="AR125" s="2744">
        <v>2005</v>
      </c>
      <c r="AS125" s="2744">
        <v>12</v>
      </c>
      <c r="AT125" s="2744">
        <v>22</v>
      </c>
      <c r="AU125" s="2685"/>
      <c r="AV125" s="2685"/>
      <c r="AW125" s="2685" t="s">
        <v>1090</v>
      </c>
      <c r="AX125" s="2685"/>
      <c r="AY125" s="2685"/>
      <c r="AZ125" s="2685" t="s">
        <v>2013</v>
      </c>
      <c r="BA125" s="2685"/>
      <c r="BB125" s="2685"/>
      <c r="BC125" s="2685"/>
      <c r="BD125" s="2685"/>
      <c r="BE125" s="2685">
        <v>13901235209</v>
      </c>
      <c r="BF125" s="2685"/>
      <c r="BG125" s="2785">
        <v>38693</v>
      </c>
      <c r="BH125" s="2686"/>
      <c r="BI125" s="2744" t="s">
        <v>1918</v>
      </c>
      <c r="BJ125" s="2802">
        <v>38693</v>
      </c>
      <c r="BK125" s="2787"/>
      <c r="BL125" s="2685" t="s">
        <v>1174</v>
      </c>
      <c r="BM125" s="2685" t="s">
        <v>1127</v>
      </c>
      <c r="BN125" s="2685" t="s">
        <v>1148</v>
      </c>
      <c r="BO125" s="2685" t="s">
        <v>1331</v>
      </c>
      <c r="BP125" s="2685"/>
      <c r="BQ125" s="2744" t="e">
        <v>#DIV/0!</v>
      </c>
      <c r="BR125" s="2745" t="e">
        <v>#DIV/0!</v>
      </c>
      <c r="BS125" s="2504"/>
      <c r="BT125" s="2504"/>
      <c r="BU125" s="2504"/>
    </row>
    <row r="126" s="2508" customFormat="1" ht="12" hidden="1" spans="1:73">
      <c r="A126" s="2685" t="s">
        <v>2014</v>
      </c>
      <c r="B126" s="2684" t="s">
        <v>2015</v>
      </c>
      <c r="C126" s="2686" t="s">
        <v>2016</v>
      </c>
      <c r="D126" s="2684" t="s">
        <v>2017</v>
      </c>
      <c r="E126" s="2684" t="s">
        <v>1060</v>
      </c>
      <c r="F126" s="2684" t="s">
        <v>1933</v>
      </c>
      <c r="G126" s="2684"/>
      <c r="H126" s="2684" t="s">
        <v>1934</v>
      </c>
      <c r="I126" s="2684"/>
      <c r="J126" s="2684" t="s">
        <v>2018</v>
      </c>
      <c r="K126" s="2684" t="s">
        <v>2015</v>
      </c>
      <c r="L126" s="2713">
        <v>51.7</v>
      </c>
      <c r="M126" s="2715" t="s">
        <v>2019</v>
      </c>
      <c r="N126" s="2684" t="s">
        <v>1259</v>
      </c>
      <c r="O126" s="2713"/>
      <c r="P126" s="2684" t="s">
        <v>1065</v>
      </c>
      <c r="Q126" s="2716">
        <v>257000</v>
      </c>
      <c r="R126" s="2688">
        <v>4971</v>
      </c>
      <c r="S126" s="2722">
        <v>23.26</v>
      </c>
      <c r="T126" s="2723">
        <v>232600</v>
      </c>
      <c r="U126" s="2685">
        <v>4500</v>
      </c>
      <c r="V126" s="2741">
        <v>0.05</v>
      </c>
      <c r="W126" s="2722">
        <v>22.09</v>
      </c>
      <c r="X126" s="2725">
        <v>220900</v>
      </c>
      <c r="Y126" s="2744">
        <v>2005</v>
      </c>
      <c r="Z126" s="2744">
        <v>12</v>
      </c>
      <c r="AA126" s="2685">
        <v>20</v>
      </c>
      <c r="AB126" s="2685">
        <v>695</v>
      </c>
      <c r="AC126" s="2685" t="s">
        <v>1605</v>
      </c>
      <c r="AD126" s="2684"/>
      <c r="AE126" s="2749" t="s">
        <v>1639</v>
      </c>
      <c r="AF126" s="2684" t="s">
        <v>1068</v>
      </c>
      <c r="AG126" s="2684" t="s">
        <v>1069</v>
      </c>
      <c r="AH126" s="2684"/>
      <c r="AI126" s="2685" t="s">
        <v>1342</v>
      </c>
      <c r="AJ126" s="2761"/>
      <c r="AK126" s="2762" t="s">
        <v>1563</v>
      </c>
      <c r="AL126" s="2685">
        <v>82253558</v>
      </c>
      <c r="AM126" s="2744"/>
      <c r="AN126" s="2685" t="s">
        <v>1182</v>
      </c>
      <c r="AO126" s="2744" t="s">
        <v>2020</v>
      </c>
      <c r="AP126" s="2685" t="s">
        <v>1208</v>
      </c>
      <c r="AQ126" s="2685" t="s">
        <v>1675</v>
      </c>
      <c r="AR126" s="2685">
        <v>2005</v>
      </c>
      <c r="AS126" s="2685">
        <v>12</v>
      </c>
      <c r="AT126" s="2685">
        <v>20</v>
      </c>
      <c r="AU126" s="2685"/>
      <c r="AV126" s="2766"/>
      <c r="AW126" s="2762" t="s">
        <v>1075</v>
      </c>
      <c r="AX126" s="2684"/>
      <c r="AY126" s="2684"/>
      <c r="AZ126" s="2684" t="s">
        <v>2021</v>
      </c>
      <c r="BA126" s="2684"/>
      <c r="BB126" s="2781"/>
      <c r="BC126" s="2684"/>
      <c r="BD126" s="2684"/>
      <c r="BE126" s="2684"/>
      <c r="BF126" s="2784"/>
      <c r="BG126" s="2802">
        <v>38664</v>
      </c>
      <c r="BH126" s="2684"/>
      <c r="BI126" s="2744" t="s">
        <v>1918</v>
      </c>
      <c r="BJ126" s="2803">
        <v>38688</v>
      </c>
      <c r="BK126" s="2751"/>
      <c r="BL126" s="2685" t="s">
        <v>1174</v>
      </c>
      <c r="BM126" s="2685" t="s">
        <v>888</v>
      </c>
      <c r="BN126" s="2685" t="s">
        <v>1148</v>
      </c>
      <c r="BO126" s="2685" t="s">
        <v>1128</v>
      </c>
      <c r="BP126" s="2744"/>
      <c r="BQ126" s="2744" t="e">
        <v>#DIV/0!</v>
      </c>
      <c r="BR126" s="2745" t="e">
        <v>#DIV/0!</v>
      </c>
      <c r="BS126" s="2504"/>
      <c r="BT126" s="2504"/>
      <c r="BU126" s="2504"/>
    </row>
    <row r="127" s="2508" customFormat="1" ht="12" hidden="1" spans="1:73">
      <c r="A127" s="2685" t="s">
        <v>2022</v>
      </c>
      <c r="B127" s="2684" t="s">
        <v>2023</v>
      </c>
      <c r="C127" s="2686" t="s">
        <v>2024</v>
      </c>
      <c r="D127" s="2684" t="s">
        <v>2025</v>
      </c>
      <c r="E127" s="2684" t="s">
        <v>1060</v>
      </c>
      <c r="F127" s="2684" t="s">
        <v>1888</v>
      </c>
      <c r="G127" s="2684"/>
      <c r="H127" s="2684" t="s">
        <v>2026</v>
      </c>
      <c r="I127" s="2684"/>
      <c r="J127" s="2684" t="s">
        <v>2027</v>
      </c>
      <c r="K127" s="2684" t="s">
        <v>2023</v>
      </c>
      <c r="L127" s="2713">
        <v>59.92</v>
      </c>
      <c r="M127" s="2715" t="s">
        <v>740</v>
      </c>
      <c r="N127" s="2684" t="s">
        <v>1259</v>
      </c>
      <c r="O127" s="2713"/>
      <c r="P127" s="2684" t="s">
        <v>1065</v>
      </c>
      <c r="Q127" s="2716">
        <v>450000</v>
      </c>
      <c r="R127" s="2688">
        <v>7510</v>
      </c>
      <c r="S127" s="2722">
        <v>35.17</v>
      </c>
      <c r="T127" s="2723">
        <v>351700</v>
      </c>
      <c r="U127" s="2685">
        <v>5870</v>
      </c>
      <c r="V127" s="2741">
        <v>0.05</v>
      </c>
      <c r="W127" s="2722">
        <v>33.41</v>
      </c>
      <c r="X127" s="2725">
        <v>334100</v>
      </c>
      <c r="Y127" s="2744">
        <v>2005</v>
      </c>
      <c r="Z127" s="2744">
        <v>12</v>
      </c>
      <c r="AA127" s="2685">
        <v>20</v>
      </c>
      <c r="AB127" s="2685">
        <v>1055</v>
      </c>
      <c r="AC127" s="2685" t="s">
        <v>1605</v>
      </c>
      <c r="AD127" s="2684"/>
      <c r="AE127" s="2749" t="s">
        <v>1639</v>
      </c>
      <c r="AF127" s="2684" t="s">
        <v>1068</v>
      </c>
      <c r="AG127" s="2684" t="s">
        <v>1069</v>
      </c>
      <c r="AH127" s="2684"/>
      <c r="AI127" s="2685" t="s">
        <v>1342</v>
      </c>
      <c r="AJ127" s="2761"/>
      <c r="AK127" s="2762" t="s">
        <v>1563</v>
      </c>
      <c r="AL127" s="2685">
        <v>82253558</v>
      </c>
      <c r="AM127" s="2744"/>
      <c r="AN127" s="2684" t="s">
        <v>1182</v>
      </c>
      <c r="AO127" s="2744" t="s">
        <v>2028</v>
      </c>
      <c r="AP127" s="2685" t="s">
        <v>1208</v>
      </c>
      <c r="AQ127" s="2685" t="s">
        <v>1607</v>
      </c>
      <c r="AR127" s="2685">
        <v>2005</v>
      </c>
      <c r="AS127" s="2685">
        <v>12</v>
      </c>
      <c r="AT127" s="2762">
        <v>20</v>
      </c>
      <c r="AU127" s="2685"/>
      <c r="AV127" s="2766"/>
      <c r="AW127" s="2762" t="s">
        <v>1075</v>
      </c>
      <c r="AX127" s="2684"/>
      <c r="AY127" s="2684"/>
      <c r="AZ127" s="2684" t="s">
        <v>2029</v>
      </c>
      <c r="BA127" s="2684"/>
      <c r="BB127" s="2781"/>
      <c r="BC127" s="2684"/>
      <c r="BD127" s="2684"/>
      <c r="BE127" s="2684">
        <v>62335790</v>
      </c>
      <c r="BF127" s="2784"/>
      <c r="BG127" s="2802">
        <v>38688</v>
      </c>
      <c r="BH127" s="2684"/>
      <c r="BI127" s="2685" t="s">
        <v>1609</v>
      </c>
      <c r="BJ127" s="2803">
        <v>38691</v>
      </c>
      <c r="BK127" s="2751"/>
      <c r="BL127" s="2685" t="s">
        <v>1174</v>
      </c>
      <c r="BM127" s="2685" t="s">
        <v>888</v>
      </c>
      <c r="BN127" s="2685" t="s">
        <v>1148</v>
      </c>
      <c r="BO127" s="2685" t="s">
        <v>1128</v>
      </c>
      <c r="BP127" s="2744"/>
      <c r="BQ127" s="2744" t="e">
        <v>#DIV/0!</v>
      </c>
      <c r="BR127" s="2745" t="e">
        <v>#DIV/0!</v>
      </c>
      <c r="BS127" s="2504"/>
      <c r="BT127" s="2504"/>
      <c r="BU127" s="2504"/>
    </row>
    <row r="128" s="2509" customFormat="1" ht="12" hidden="1" spans="1:73">
      <c r="A128" s="2698" t="s">
        <v>2030</v>
      </c>
      <c r="B128" s="2698" t="s">
        <v>2031</v>
      </c>
      <c r="C128" s="2699" t="s">
        <v>2032</v>
      </c>
      <c r="D128" s="2699" t="s">
        <v>2033</v>
      </c>
      <c r="E128" s="2698" t="s">
        <v>1060</v>
      </c>
      <c r="F128" s="2700" t="s">
        <v>2034</v>
      </c>
      <c r="G128" s="2698"/>
      <c r="H128" s="2698" t="s">
        <v>1248</v>
      </c>
      <c r="I128" s="2698"/>
      <c r="J128" s="2699" t="s">
        <v>2035</v>
      </c>
      <c r="K128" s="2698" t="s">
        <v>2031</v>
      </c>
      <c r="L128" s="2698">
        <v>63.8</v>
      </c>
      <c r="M128" s="2698">
        <v>7</v>
      </c>
      <c r="N128" s="2698" t="s">
        <v>1064</v>
      </c>
      <c r="O128" s="2698">
        <v>44.8</v>
      </c>
      <c r="P128" s="2698" t="s">
        <v>1065</v>
      </c>
      <c r="Q128" s="2742">
        <v>398000</v>
      </c>
      <c r="R128" s="2693">
        <v>6238</v>
      </c>
      <c r="S128" s="2730">
        <v>35.09</v>
      </c>
      <c r="T128" s="2731">
        <v>350900</v>
      </c>
      <c r="U128" s="2698">
        <v>5500</v>
      </c>
      <c r="V128" s="2743">
        <v>0.05</v>
      </c>
      <c r="W128" s="2730">
        <v>33.33</v>
      </c>
      <c r="X128" s="2733">
        <v>333300</v>
      </c>
      <c r="Y128" s="2750">
        <v>2005</v>
      </c>
      <c r="Z128" s="2750">
        <v>12</v>
      </c>
      <c r="AA128" s="2750">
        <v>22</v>
      </c>
      <c r="AB128" s="2698">
        <v>1050</v>
      </c>
      <c r="AC128" s="2698" t="s">
        <v>1605</v>
      </c>
      <c r="AD128" s="2698"/>
      <c r="AE128" s="2750" t="s">
        <v>1208</v>
      </c>
      <c r="AF128" s="2698" t="s">
        <v>1068</v>
      </c>
      <c r="AG128" s="2698" t="s">
        <v>1069</v>
      </c>
      <c r="AH128" s="2698"/>
      <c r="AI128" s="2698" t="s">
        <v>175</v>
      </c>
      <c r="AJ128" s="2763"/>
      <c r="AK128" s="2764" t="s">
        <v>1563</v>
      </c>
      <c r="AL128" s="2750">
        <v>82253558</v>
      </c>
      <c r="AM128" s="2750"/>
      <c r="AN128" s="2698" t="s">
        <v>1182</v>
      </c>
      <c r="AO128" s="2750" t="s">
        <v>2036</v>
      </c>
      <c r="AP128" s="2698" t="s">
        <v>1208</v>
      </c>
      <c r="AQ128" s="2698" t="s">
        <v>1675</v>
      </c>
      <c r="AR128" s="2750">
        <v>2005</v>
      </c>
      <c r="AS128" s="2750">
        <v>12</v>
      </c>
      <c r="AT128" s="2750">
        <v>22</v>
      </c>
      <c r="AU128" s="2750"/>
      <c r="AV128" s="2750"/>
      <c r="AW128" s="2750" t="s">
        <v>1343</v>
      </c>
      <c r="AX128" s="2750"/>
      <c r="AY128" s="2750"/>
      <c r="AZ128" s="2782" t="s">
        <v>2037</v>
      </c>
      <c r="BA128" s="2750"/>
      <c r="BB128" s="2782"/>
      <c r="BC128" s="2750"/>
      <c r="BD128" s="2783"/>
      <c r="BE128" s="2750"/>
      <c r="BF128" s="2804"/>
      <c r="BG128" s="2805">
        <v>38692</v>
      </c>
      <c r="BH128" s="2750"/>
      <c r="BI128" s="2750" t="s">
        <v>1918</v>
      </c>
      <c r="BJ128" s="2806">
        <v>38692</v>
      </c>
      <c r="BK128" s="2806"/>
      <c r="BL128" s="2698" t="s">
        <v>1174</v>
      </c>
      <c r="BM128" s="2750" t="s">
        <v>888</v>
      </c>
      <c r="BN128" s="2750" t="s">
        <v>1148</v>
      </c>
      <c r="BO128" s="2750" t="s">
        <v>1128</v>
      </c>
      <c r="BP128" s="2750"/>
      <c r="BQ128" s="2750">
        <v>7833</v>
      </c>
      <c r="BR128" s="2706">
        <v>8884</v>
      </c>
      <c r="BS128" s="2510"/>
      <c r="BT128" s="2510"/>
      <c r="BU128" s="2510"/>
    </row>
    <row r="129" s="2508" customFormat="1" ht="12" hidden="1" spans="1:73">
      <c r="A129" s="2685" t="s">
        <v>2038</v>
      </c>
      <c r="B129" s="2685" t="s">
        <v>2039</v>
      </c>
      <c r="C129" s="2686" t="s">
        <v>2040</v>
      </c>
      <c r="D129" s="2685">
        <v>68829622</v>
      </c>
      <c r="E129" s="2685" t="s">
        <v>1060</v>
      </c>
      <c r="F129" s="2685" t="s">
        <v>2041</v>
      </c>
      <c r="G129" s="2685"/>
      <c r="H129" s="2685" t="s">
        <v>1934</v>
      </c>
      <c r="I129" s="2685"/>
      <c r="J129" s="2685" t="s">
        <v>2042</v>
      </c>
      <c r="K129" s="2684" t="s">
        <v>2043</v>
      </c>
      <c r="L129" s="2685">
        <v>82.3</v>
      </c>
      <c r="M129" s="2685">
        <v>4</v>
      </c>
      <c r="N129" s="2685" t="s">
        <v>1064</v>
      </c>
      <c r="O129" s="2685"/>
      <c r="P129" s="2685" t="s">
        <v>1065</v>
      </c>
      <c r="Q129" s="2685">
        <v>320000</v>
      </c>
      <c r="R129" s="2685">
        <v>3888</v>
      </c>
      <c r="S129" s="2717">
        <v>37.46</v>
      </c>
      <c r="T129" s="2718">
        <v>374600</v>
      </c>
      <c r="U129" s="2685">
        <v>4552</v>
      </c>
      <c r="V129" s="2741">
        <v>0.05</v>
      </c>
      <c r="W129" s="2717">
        <v>35.58</v>
      </c>
      <c r="X129" s="2720">
        <v>355800</v>
      </c>
      <c r="Y129" s="2744">
        <v>2005</v>
      </c>
      <c r="Z129" s="2744">
        <v>12</v>
      </c>
      <c r="AA129" s="2744">
        <v>9</v>
      </c>
      <c r="AB129" s="2685">
        <v>1120</v>
      </c>
      <c r="AC129" s="2685" t="s">
        <v>1605</v>
      </c>
      <c r="AD129" s="2685"/>
      <c r="AE129" s="2685" t="s">
        <v>2044</v>
      </c>
      <c r="AF129" s="2685" t="s">
        <v>1068</v>
      </c>
      <c r="AG129" s="2685" t="s">
        <v>1069</v>
      </c>
      <c r="AH129" s="2685"/>
      <c r="AI129" s="2685" t="s">
        <v>1342</v>
      </c>
      <c r="AJ129" s="2751"/>
      <c r="AK129" s="2685" t="s">
        <v>1563</v>
      </c>
      <c r="AL129" s="2744">
        <v>82253558</v>
      </c>
      <c r="AM129" s="2685"/>
      <c r="AN129" s="2685" t="s">
        <v>1088</v>
      </c>
      <c r="AO129" s="2685" t="s">
        <v>1114</v>
      </c>
      <c r="AP129" s="2685" t="s">
        <v>1208</v>
      </c>
      <c r="AQ129" s="2685" t="s">
        <v>2045</v>
      </c>
      <c r="AR129" s="2685"/>
      <c r="AS129" s="2685"/>
      <c r="AT129" s="2685"/>
      <c r="AU129" s="2685"/>
      <c r="AV129" s="2685"/>
      <c r="AW129" s="2685" t="s">
        <v>1075</v>
      </c>
      <c r="AX129" s="2685"/>
      <c r="AY129" s="2686"/>
      <c r="AZ129" s="2685" t="s">
        <v>2043</v>
      </c>
      <c r="BA129" s="2685"/>
      <c r="BB129" s="2685"/>
      <c r="BC129" s="2685"/>
      <c r="BD129" s="2685"/>
      <c r="BE129" s="2685">
        <v>13366196397</v>
      </c>
      <c r="BF129" s="2685"/>
      <c r="BG129" s="2802">
        <v>38681</v>
      </c>
      <c r="BH129" s="2685"/>
      <c r="BI129" s="2685" t="s">
        <v>1070</v>
      </c>
      <c r="BJ129" s="2787">
        <v>38686</v>
      </c>
      <c r="BK129" s="2787"/>
      <c r="BL129" s="2685" t="s">
        <v>1174</v>
      </c>
      <c r="BM129" s="2685" t="s">
        <v>888</v>
      </c>
      <c r="BN129" s="2685" t="s">
        <v>1148</v>
      </c>
      <c r="BO129" s="2685" t="s">
        <v>1331</v>
      </c>
      <c r="BP129" s="2685"/>
      <c r="BQ129" s="2744" t="e">
        <v>#DIV/0!</v>
      </c>
      <c r="BR129" s="2744" t="e">
        <v>#DIV/0!</v>
      </c>
      <c r="BS129" s="2504"/>
      <c r="BT129" s="2504"/>
      <c r="BU129" s="2504"/>
    </row>
    <row r="130" s="2509" customFormat="1" ht="12" hidden="1" spans="1:73">
      <c r="A130" s="2807" t="s">
        <v>2046</v>
      </c>
      <c r="B130" s="2807" t="s">
        <v>2047</v>
      </c>
      <c r="C130" s="2699" t="s">
        <v>2048</v>
      </c>
      <c r="D130" s="2807" t="s">
        <v>2049</v>
      </c>
      <c r="E130" s="2807" t="s">
        <v>1060</v>
      </c>
      <c r="F130" s="2807" t="s">
        <v>2050</v>
      </c>
      <c r="G130" s="2807"/>
      <c r="H130" s="2807" t="s">
        <v>1062</v>
      </c>
      <c r="I130" s="2807" t="s">
        <v>2051</v>
      </c>
      <c r="J130" s="2807" t="s">
        <v>2052</v>
      </c>
      <c r="K130" s="2807" t="s">
        <v>2053</v>
      </c>
      <c r="L130" s="2811">
        <v>57.2</v>
      </c>
      <c r="M130" s="2811" t="s">
        <v>1182</v>
      </c>
      <c r="N130" s="2807" t="s">
        <v>1064</v>
      </c>
      <c r="O130" s="2811"/>
      <c r="P130" s="2807" t="s">
        <v>1065</v>
      </c>
      <c r="Q130" s="2742">
        <v>320000</v>
      </c>
      <c r="R130" s="2693">
        <v>5594</v>
      </c>
      <c r="S130" s="2730">
        <v>27.45</v>
      </c>
      <c r="T130" s="2731">
        <v>274500</v>
      </c>
      <c r="U130" s="2698">
        <v>4800</v>
      </c>
      <c r="V130" s="2743">
        <v>0.05</v>
      </c>
      <c r="W130" s="2730">
        <v>26.07</v>
      </c>
      <c r="X130" s="2733">
        <v>260700</v>
      </c>
      <c r="Y130" s="2750">
        <v>2005</v>
      </c>
      <c r="Z130" s="2750">
        <v>12</v>
      </c>
      <c r="AA130" s="2750">
        <v>20</v>
      </c>
      <c r="AB130" s="2698">
        <v>820</v>
      </c>
      <c r="AC130" s="2698" t="s">
        <v>1605</v>
      </c>
      <c r="AD130" s="2807"/>
      <c r="AE130" s="2750" t="s">
        <v>1067</v>
      </c>
      <c r="AF130" s="2807" t="s">
        <v>1068</v>
      </c>
      <c r="AG130" s="2807" t="s">
        <v>1069</v>
      </c>
      <c r="AH130" s="2807"/>
      <c r="AI130" s="2698" t="s">
        <v>1342</v>
      </c>
      <c r="AJ130" s="2816"/>
      <c r="AK130" s="2817" t="s">
        <v>1563</v>
      </c>
      <c r="AL130" s="2750">
        <v>82253558</v>
      </c>
      <c r="AM130" s="2750"/>
      <c r="AN130" s="2750" t="s">
        <v>1072</v>
      </c>
      <c r="AO130" s="2750"/>
      <c r="AP130" s="2698" t="s">
        <v>1208</v>
      </c>
      <c r="AQ130" s="2750" t="s">
        <v>1074</v>
      </c>
      <c r="AR130" s="2698"/>
      <c r="AS130" s="2698"/>
      <c r="AT130" s="2698"/>
      <c r="AU130" s="2698"/>
      <c r="AV130" s="2820"/>
      <c r="AW130" s="2750" t="s">
        <v>1343</v>
      </c>
      <c r="AX130" s="2750"/>
      <c r="AY130" s="2782"/>
      <c r="AZ130" s="2807" t="s">
        <v>2053</v>
      </c>
      <c r="BA130" s="2821"/>
      <c r="BB130" s="2822"/>
      <c r="BC130" s="2821"/>
      <c r="BD130" s="2823"/>
      <c r="BE130" s="2750"/>
      <c r="BF130" s="2804"/>
      <c r="BG130" s="2827">
        <v>38694</v>
      </c>
      <c r="BH130" s="2698" t="s">
        <v>1174</v>
      </c>
      <c r="BI130" s="2698" t="s">
        <v>1342</v>
      </c>
      <c r="BJ130" s="2806">
        <v>38701</v>
      </c>
      <c r="BK130" s="2805"/>
      <c r="BL130" s="2698" t="s">
        <v>1174</v>
      </c>
      <c r="BM130" s="2698" t="s">
        <v>888</v>
      </c>
      <c r="BN130" s="2698" t="s">
        <v>1077</v>
      </c>
      <c r="BO130" s="2698" t="s">
        <v>1128</v>
      </c>
      <c r="BP130" s="2750"/>
      <c r="BQ130" s="2750" t="e">
        <v>#DIV/0!</v>
      </c>
      <c r="BR130" s="2706" t="e">
        <v>#DIV/0!</v>
      </c>
      <c r="BS130" s="2510"/>
      <c r="BT130" s="2510"/>
      <c r="BU130" s="2510"/>
    </row>
    <row r="131" s="2508" customFormat="1" ht="12" hidden="1" spans="1:73">
      <c r="A131" s="2685" t="s">
        <v>2054</v>
      </c>
      <c r="B131" s="2684" t="s">
        <v>2055</v>
      </c>
      <c r="C131" s="2686" t="s">
        <v>2056</v>
      </c>
      <c r="D131" s="2684">
        <v>13901331262</v>
      </c>
      <c r="E131" s="2684" t="s">
        <v>1060</v>
      </c>
      <c r="F131" s="2684" t="s">
        <v>2057</v>
      </c>
      <c r="G131" s="2684"/>
      <c r="H131" s="2684" t="s">
        <v>1180</v>
      </c>
      <c r="I131" s="2684" t="s">
        <v>1222</v>
      </c>
      <c r="J131" s="2684" t="s">
        <v>1382</v>
      </c>
      <c r="K131" s="2684" t="s">
        <v>2058</v>
      </c>
      <c r="L131" s="2713">
        <v>69.2</v>
      </c>
      <c r="M131" s="2713">
        <v>2</v>
      </c>
      <c r="N131" s="2685" t="s">
        <v>1259</v>
      </c>
      <c r="O131" s="2713"/>
      <c r="P131" s="2684" t="s">
        <v>1065</v>
      </c>
      <c r="Q131" s="2716">
        <v>545000</v>
      </c>
      <c r="R131" s="2688">
        <v>7876</v>
      </c>
      <c r="S131" s="2722">
        <v>43.59</v>
      </c>
      <c r="T131" s="2723">
        <v>435900</v>
      </c>
      <c r="U131" s="2685">
        <v>6300</v>
      </c>
      <c r="V131" s="2719">
        <v>0.05</v>
      </c>
      <c r="W131" s="2722">
        <v>41.41</v>
      </c>
      <c r="X131" s="2725">
        <v>414100</v>
      </c>
      <c r="Y131" s="2744">
        <v>2005</v>
      </c>
      <c r="Z131" s="2744">
        <v>12</v>
      </c>
      <c r="AA131" s="2744">
        <v>21</v>
      </c>
      <c r="AB131" s="2685">
        <v>1305</v>
      </c>
      <c r="AC131" s="2685" t="s">
        <v>1605</v>
      </c>
      <c r="AD131" s="2684"/>
      <c r="AE131" s="2685" t="s">
        <v>1067</v>
      </c>
      <c r="AF131" s="2684" t="s">
        <v>1068</v>
      </c>
      <c r="AG131" s="2685" t="s">
        <v>1069</v>
      </c>
      <c r="AH131" s="2684"/>
      <c r="AI131" s="2685" t="s">
        <v>1342</v>
      </c>
      <c r="AJ131" s="2761"/>
      <c r="AK131" s="2752" t="s">
        <v>1563</v>
      </c>
      <c r="AL131" s="2744">
        <v>82253558</v>
      </c>
      <c r="AM131" s="2744"/>
      <c r="AN131" s="2684" t="s">
        <v>1182</v>
      </c>
      <c r="AO131" s="2685"/>
      <c r="AP131" s="2685" t="s">
        <v>1208</v>
      </c>
      <c r="AQ131" s="2685" t="s">
        <v>1607</v>
      </c>
      <c r="AR131" s="2685">
        <v>2005</v>
      </c>
      <c r="AS131" s="2685">
        <v>12</v>
      </c>
      <c r="AT131" s="2684">
        <v>21</v>
      </c>
      <c r="AU131" s="2685"/>
      <c r="AV131" s="2766"/>
      <c r="AW131" s="2685" t="s">
        <v>1343</v>
      </c>
      <c r="AX131" s="2744"/>
      <c r="AY131" s="2767"/>
      <c r="AZ131" s="2685" t="s">
        <v>2058</v>
      </c>
      <c r="BA131" s="2777"/>
      <c r="BB131" s="2778"/>
      <c r="BC131" s="2777"/>
      <c r="BD131" s="2779"/>
      <c r="BE131" s="2744"/>
      <c r="BF131" s="2784"/>
      <c r="BG131" s="2801">
        <v>38681</v>
      </c>
      <c r="BH131" s="2685"/>
      <c r="BI131" s="2685" t="s">
        <v>1609</v>
      </c>
      <c r="BJ131" s="2787">
        <v>38691</v>
      </c>
      <c r="BK131" s="2751"/>
      <c r="BL131" s="2685" t="s">
        <v>1174</v>
      </c>
      <c r="BM131" s="2685" t="s">
        <v>888</v>
      </c>
      <c r="BN131" s="2744" t="s">
        <v>1148</v>
      </c>
      <c r="BO131" s="2685" t="s">
        <v>1128</v>
      </c>
      <c r="BP131" s="2744"/>
      <c r="BQ131" s="2744" t="e">
        <v>#DIV/0!</v>
      </c>
      <c r="BR131" s="2745" t="e">
        <v>#DIV/0!</v>
      </c>
      <c r="BS131" s="2504"/>
      <c r="BT131" s="2504"/>
      <c r="BU131" s="2504"/>
    </row>
    <row r="132" s="2508" customFormat="1" ht="12" hidden="1" spans="1:73">
      <c r="A132" s="2685" t="s">
        <v>2059</v>
      </c>
      <c r="B132" s="2684" t="s">
        <v>2060</v>
      </c>
      <c r="C132" s="2686" t="s">
        <v>2061</v>
      </c>
      <c r="D132" s="2684">
        <v>13601162881</v>
      </c>
      <c r="E132" s="2684" t="s">
        <v>1060</v>
      </c>
      <c r="F132" s="2684" t="s">
        <v>2062</v>
      </c>
      <c r="G132" s="2684"/>
      <c r="H132" s="2684" t="s">
        <v>1084</v>
      </c>
      <c r="I132" s="2684"/>
      <c r="J132" s="2684" t="s">
        <v>2063</v>
      </c>
      <c r="K132" s="2684" t="s">
        <v>2064</v>
      </c>
      <c r="L132" s="2713">
        <v>132.87</v>
      </c>
      <c r="M132" s="2713">
        <v>5</v>
      </c>
      <c r="N132" s="2685" t="s">
        <v>1299</v>
      </c>
      <c r="O132" s="2713"/>
      <c r="P132" s="2684" t="s">
        <v>1065</v>
      </c>
      <c r="Q132" s="2716">
        <v>1095000</v>
      </c>
      <c r="R132" s="2688">
        <v>8241</v>
      </c>
      <c r="S132" s="2722">
        <v>100.98</v>
      </c>
      <c r="T132" s="2723">
        <v>1009800</v>
      </c>
      <c r="U132" s="2685">
        <v>7600</v>
      </c>
      <c r="V132" s="2719">
        <v>0.05</v>
      </c>
      <c r="W132" s="2722">
        <v>95.93</v>
      </c>
      <c r="X132" s="2725">
        <v>959300</v>
      </c>
      <c r="Y132" s="2744">
        <v>2005</v>
      </c>
      <c r="Z132" s="2744">
        <v>12</v>
      </c>
      <c r="AA132" s="2744">
        <v>21</v>
      </c>
      <c r="AB132" s="2685">
        <v>1500</v>
      </c>
      <c r="AC132" s="2685" t="s">
        <v>1605</v>
      </c>
      <c r="AD132" s="2684"/>
      <c r="AE132" s="2685" t="s">
        <v>1067</v>
      </c>
      <c r="AF132" s="2684" t="s">
        <v>1068</v>
      </c>
      <c r="AG132" s="2685" t="s">
        <v>1069</v>
      </c>
      <c r="AH132" s="2684"/>
      <c r="AI132" s="2685" t="s">
        <v>1342</v>
      </c>
      <c r="AJ132" s="2761"/>
      <c r="AK132" s="2752" t="s">
        <v>1563</v>
      </c>
      <c r="AL132" s="2744">
        <v>82253558</v>
      </c>
      <c r="AM132" s="2744"/>
      <c r="AN132" s="2685" t="s">
        <v>1182</v>
      </c>
      <c r="AO132" s="2685"/>
      <c r="AP132" s="2685" t="s">
        <v>1208</v>
      </c>
      <c r="AQ132" s="2685" t="s">
        <v>1675</v>
      </c>
      <c r="AR132" s="2685">
        <v>2005</v>
      </c>
      <c r="AS132" s="2685">
        <v>12</v>
      </c>
      <c r="AT132" s="2685">
        <v>21</v>
      </c>
      <c r="AU132" s="2685"/>
      <c r="AV132" s="2766"/>
      <c r="AW132" s="2685" t="s">
        <v>1343</v>
      </c>
      <c r="AX132" s="2744"/>
      <c r="AY132" s="2767"/>
      <c r="AZ132" s="2685" t="s">
        <v>2064</v>
      </c>
      <c r="BA132" s="2777"/>
      <c r="BB132" s="2778"/>
      <c r="BC132" s="2777"/>
      <c r="BD132" s="2779"/>
      <c r="BE132" s="2744"/>
      <c r="BF132" s="2784"/>
      <c r="BG132" s="2801">
        <v>38692</v>
      </c>
      <c r="BH132" s="2685"/>
      <c r="BI132" s="2744" t="s">
        <v>1918</v>
      </c>
      <c r="BJ132" s="2787">
        <v>38698</v>
      </c>
      <c r="BK132" s="2751"/>
      <c r="BL132" s="2685" t="s">
        <v>1174</v>
      </c>
      <c r="BM132" s="2685" t="s">
        <v>888</v>
      </c>
      <c r="BN132" s="2744" t="s">
        <v>1148</v>
      </c>
      <c r="BO132" s="2685" t="s">
        <v>1128</v>
      </c>
      <c r="BP132" s="2744"/>
      <c r="BQ132" s="2744" t="e">
        <v>#DIV/0!</v>
      </c>
      <c r="BR132" s="2745" t="e">
        <v>#DIV/0!</v>
      </c>
      <c r="BS132" s="2504"/>
      <c r="BT132" s="2504"/>
      <c r="BU132" s="2504"/>
    </row>
    <row r="133" s="2504" customFormat="1" ht="12" hidden="1" spans="1:70">
      <c r="A133" s="2691" t="s">
        <v>2065</v>
      </c>
      <c r="B133" s="2691" t="s">
        <v>2066</v>
      </c>
      <c r="C133" s="2689" t="s">
        <v>2067</v>
      </c>
      <c r="D133" s="2691">
        <v>13601368001</v>
      </c>
      <c r="E133" s="2691" t="s">
        <v>1060</v>
      </c>
      <c r="F133" s="2691" t="s">
        <v>2068</v>
      </c>
      <c r="G133" s="2691"/>
      <c r="H133" s="2691" t="s">
        <v>2069</v>
      </c>
      <c r="I133" s="2691" t="s">
        <v>1099</v>
      </c>
      <c r="J133" s="2691" t="s">
        <v>1135</v>
      </c>
      <c r="K133" s="2691" t="s">
        <v>2066</v>
      </c>
      <c r="L133" s="2697">
        <v>99</v>
      </c>
      <c r="M133" s="2697" t="s">
        <v>1087</v>
      </c>
      <c r="N133" s="2691" t="s">
        <v>1290</v>
      </c>
      <c r="O133" s="2697"/>
      <c r="P133" s="2691" t="s">
        <v>1065</v>
      </c>
      <c r="Q133" s="2712">
        <v>720000</v>
      </c>
      <c r="R133" s="2688">
        <v>7273</v>
      </c>
      <c r="S133" s="2722">
        <v>59.4</v>
      </c>
      <c r="T133" s="2723">
        <v>594000</v>
      </c>
      <c r="U133" s="2688">
        <v>6000</v>
      </c>
      <c r="V133" s="2724">
        <v>0.05</v>
      </c>
      <c r="W133" s="2722">
        <v>56.43</v>
      </c>
      <c r="X133" s="2725">
        <v>564300</v>
      </c>
      <c r="Y133" s="2745">
        <v>2005</v>
      </c>
      <c r="Z133" s="2745">
        <v>12</v>
      </c>
      <c r="AA133" s="2745">
        <v>23</v>
      </c>
      <c r="AB133" s="2688">
        <v>1500</v>
      </c>
      <c r="AC133" s="2688" t="s">
        <v>1605</v>
      </c>
      <c r="AD133" s="2691"/>
      <c r="AE133" s="2745" t="s">
        <v>1067</v>
      </c>
      <c r="AF133" s="2691" t="s">
        <v>1068</v>
      </c>
      <c r="AG133" s="2691" t="s">
        <v>1069</v>
      </c>
      <c r="AH133" s="2691"/>
      <c r="AI133" s="2688" t="s">
        <v>1342</v>
      </c>
      <c r="AJ133" s="2760"/>
      <c r="AK133" s="2754" t="s">
        <v>1563</v>
      </c>
      <c r="AL133" s="2745">
        <v>82253558</v>
      </c>
      <c r="AM133" s="2745"/>
      <c r="AN133" s="2684" t="s">
        <v>1182</v>
      </c>
      <c r="AO133" s="2745"/>
      <c r="AP133" s="2688" t="s">
        <v>1208</v>
      </c>
      <c r="AQ133" s="2744" t="s">
        <v>1074</v>
      </c>
      <c r="AR133" s="2688"/>
      <c r="AS133" s="2688"/>
      <c r="AT133" s="2688"/>
      <c r="AU133" s="2688"/>
      <c r="AV133" s="2765"/>
      <c r="AW133" s="2745" t="s">
        <v>1343</v>
      </c>
      <c r="AX133" s="2745"/>
      <c r="AY133" s="2769"/>
      <c r="AZ133" s="2691" t="s">
        <v>2070</v>
      </c>
      <c r="BA133" s="2774"/>
      <c r="BB133" s="2775"/>
      <c r="BC133" s="2774"/>
      <c r="BD133" s="2776"/>
      <c r="BE133" s="2745"/>
      <c r="BF133" s="2788"/>
      <c r="BG133" s="2798">
        <v>38691</v>
      </c>
      <c r="BH133" s="2688" t="s">
        <v>1174</v>
      </c>
      <c r="BI133" s="2688" t="s">
        <v>1609</v>
      </c>
      <c r="BJ133" s="2789">
        <v>38700</v>
      </c>
      <c r="BK133" s="2790"/>
      <c r="BL133" s="2685" t="s">
        <v>1174</v>
      </c>
      <c r="BM133" s="2688" t="s">
        <v>888</v>
      </c>
      <c r="BN133" s="2688" t="s">
        <v>1077</v>
      </c>
      <c r="BO133" s="2688" t="s">
        <v>1128</v>
      </c>
      <c r="BP133" s="2745"/>
      <c r="BQ133" s="2745" t="e">
        <v>#DIV/0!</v>
      </c>
      <c r="BR133" s="2745" t="e">
        <v>#DIV/0!</v>
      </c>
    </row>
    <row r="134" s="2508" customFormat="1" ht="12" hidden="1" spans="1:73">
      <c r="A134" s="2684" t="s">
        <v>2071</v>
      </c>
      <c r="B134" s="2684" t="s">
        <v>2072</v>
      </c>
      <c r="C134" s="2686" t="s">
        <v>2073</v>
      </c>
      <c r="D134" s="2684" t="s">
        <v>2074</v>
      </c>
      <c r="E134" s="2684" t="s">
        <v>1060</v>
      </c>
      <c r="F134" s="2684" t="s">
        <v>1560</v>
      </c>
      <c r="G134" s="2684"/>
      <c r="H134" s="2684" t="s">
        <v>1180</v>
      </c>
      <c r="I134" s="2684" t="s">
        <v>2075</v>
      </c>
      <c r="J134" s="2684" t="s">
        <v>2076</v>
      </c>
      <c r="K134" s="2684" t="s">
        <v>2077</v>
      </c>
      <c r="L134" s="2713">
        <v>80.4</v>
      </c>
      <c r="M134" s="2713">
        <v>5</v>
      </c>
      <c r="N134" s="2684" t="s">
        <v>1064</v>
      </c>
      <c r="O134" s="2713"/>
      <c r="P134" s="2684" t="s">
        <v>1065</v>
      </c>
      <c r="Q134" s="2716">
        <v>643200</v>
      </c>
      <c r="R134" s="2688">
        <v>8000</v>
      </c>
      <c r="S134" s="2722">
        <v>51.45</v>
      </c>
      <c r="T134" s="2723">
        <v>514500</v>
      </c>
      <c r="U134" s="2685">
        <v>6400</v>
      </c>
      <c r="V134" s="2719">
        <v>0.2</v>
      </c>
      <c r="W134" s="2722">
        <v>41.16</v>
      </c>
      <c r="X134" s="2725">
        <v>411600</v>
      </c>
      <c r="Y134" s="2744">
        <v>2005</v>
      </c>
      <c r="Z134" s="2744">
        <v>12</v>
      </c>
      <c r="AA134" s="2744">
        <v>20</v>
      </c>
      <c r="AB134" s="2685">
        <v>1500</v>
      </c>
      <c r="AC134" s="2685" t="s">
        <v>1707</v>
      </c>
      <c r="AD134" s="2684"/>
      <c r="AE134" s="2744" t="s">
        <v>1067</v>
      </c>
      <c r="AF134" s="2684" t="s">
        <v>1068</v>
      </c>
      <c r="AG134" s="2684" t="s">
        <v>1069</v>
      </c>
      <c r="AH134" s="2684"/>
      <c r="AI134" s="2685" t="s">
        <v>1342</v>
      </c>
      <c r="AJ134" s="2761"/>
      <c r="AK134" s="2756" t="s">
        <v>1563</v>
      </c>
      <c r="AL134" s="2744">
        <v>82253558</v>
      </c>
      <c r="AM134" s="2744"/>
      <c r="AN134" s="2744" t="s">
        <v>1072</v>
      </c>
      <c r="AO134" s="2744"/>
      <c r="AP134" s="2685" t="s">
        <v>1208</v>
      </c>
      <c r="AQ134" s="2744" t="s">
        <v>1074</v>
      </c>
      <c r="AR134" s="2685"/>
      <c r="AS134" s="2685"/>
      <c r="AT134" s="2685"/>
      <c r="AU134" s="2685"/>
      <c r="AV134" s="2766"/>
      <c r="AW134" s="2744" t="s">
        <v>1343</v>
      </c>
      <c r="AX134" s="2744"/>
      <c r="AY134" s="2767"/>
      <c r="AZ134" s="2684" t="s">
        <v>2077</v>
      </c>
      <c r="BA134" s="2777"/>
      <c r="BB134" s="2778"/>
      <c r="BC134" s="2777"/>
      <c r="BD134" s="2779"/>
      <c r="BE134" s="2744"/>
      <c r="BF134" s="2784"/>
      <c r="BG134" s="2801">
        <v>38686</v>
      </c>
      <c r="BH134" s="2685" t="s">
        <v>1174</v>
      </c>
      <c r="BI134" s="2685" t="s">
        <v>1342</v>
      </c>
      <c r="BJ134" s="2787"/>
      <c r="BK134" s="2785"/>
      <c r="BL134" s="2685" t="s">
        <v>1174</v>
      </c>
      <c r="BM134" s="2685" t="s">
        <v>888</v>
      </c>
      <c r="BN134" s="2685" t="s">
        <v>1077</v>
      </c>
      <c r="BO134" s="2685" t="s">
        <v>1128</v>
      </c>
      <c r="BP134" s="2744"/>
      <c r="BQ134" s="2744" t="e">
        <v>#DIV/0!</v>
      </c>
      <c r="BR134" s="2745" t="e">
        <v>#DIV/0!</v>
      </c>
      <c r="BS134" s="2504"/>
      <c r="BT134" s="2504"/>
      <c r="BU134" s="2504"/>
    </row>
    <row r="135" s="2508" customFormat="1" ht="12" hidden="1" spans="1:73">
      <c r="A135" s="2685" t="s">
        <v>2078</v>
      </c>
      <c r="B135" s="2685" t="s">
        <v>2079</v>
      </c>
      <c r="C135" s="2686" t="s">
        <v>2080</v>
      </c>
      <c r="D135" s="2685">
        <v>13611040709</v>
      </c>
      <c r="E135" s="2685" t="s">
        <v>1060</v>
      </c>
      <c r="F135" s="2685" t="s">
        <v>2081</v>
      </c>
      <c r="G135" s="2685"/>
      <c r="H135" s="2685" t="s">
        <v>1155</v>
      </c>
      <c r="I135" s="2685" t="s">
        <v>1196</v>
      </c>
      <c r="J135" s="2685" t="s">
        <v>2082</v>
      </c>
      <c r="K135" s="2684" t="s">
        <v>2083</v>
      </c>
      <c r="L135" s="2685">
        <v>80.1</v>
      </c>
      <c r="M135" s="2685">
        <v>5</v>
      </c>
      <c r="N135" s="2685" t="s">
        <v>1123</v>
      </c>
      <c r="O135" s="2685"/>
      <c r="P135" s="2685" t="s">
        <v>1065</v>
      </c>
      <c r="Q135" s="2685">
        <v>645000</v>
      </c>
      <c r="R135" s="2688">
        <v>8052</v>
      </c>
      <c r="S135" s="2722">
        <v>48.46</v>
      </c>
      <c r="T135" s="2723">
        <v>484600</v>
      </c>
      <c r="U135" s="2685">
        <v>6050</v>
      </c>
      <c r="V135" s="2741">
        <v>0.05</v>
      </c>
      <c r="W135" s="2722">
        <v>46.03</v>
      </c>
      <c r="X135" s="2725">
        <v>460300</v>
      </c>
      <c r="Y135" s="2685">
        <v>2005</v>
      </c>
      <c r="Z135" s="2685">
        <v>12</v>
      </c>
      <c r="AA135" s="2744">
        <v>21</v>
      </c>
      <c r="AB135" s="2685">
        <v>1450</v>
      </c>
      <c r="AC135" s="2685" t="s">
        <v>1605</v>
      </c>
      <c r="AD135" s="2685"/>
      <c r="AE135" s="2685" t="s">
        <v>1070</v>
      </c>
      <c r="AF135" s="2685" t="s">
        <v>1068</v>
      </c>
      <c r="AG135" s="2685" t="s">
        <v>1069</v>
      </c>
      <c r="AH135" s="2685"/>
      <c r="AI135" s="2685" t="s">
        <v>1342</v>
      </c>
      <c r="AJ135" s="2751"/>
      <c r="AK135" s="2685" t="s">
        <v>1563</v>
      </c>
      <c r="AL135" s="2685">
        <v>82253558</v>
      </c>
      <c r="AM135" s="2685"/>
      <c r="AN135" s="2685" t="s">
        <v>1182</v>
      </c>
      <c r="AO135" s="2685" t="s">
        <v>1114</v>
      </c>
      <c r="AP135" s="2685" t="s">
        <v>1208</v>
      </c>
      <c r="AQ135" s="2685" t="s">
        <v>1675</v>
      </c>
      <c r="AR135" s="2685">
        <v>2005</v>
      </c>
      <c r="AS135" s="2685">
        <v>12</v>
      </c>
      <c r="AT135" s="2685">
        <v>21</v>
      </c>
      <c r="AU135" s="2685"/>
      <c r="AV135" s="2685"/>
      <c r="AW135" s="2685" t="s">
        <v>1075</v>
      </c>
      <c r="AX135" s="2685"/>
      <c r="AY135" s="2686"/>
      <c r="AZ135" s="2684" t="s">
        <v>2083</v>
      </c>
      <c r="BA135" s="2685"/>
      <c r="BB135" s="2685"/>
      <c r="BC135" s="2685"/>
      <c r="BD135" s="2685"/>
      <c r="BE135" s="2685">
        <v>13717686152</v>
      </c>
      <c r="BF135" s="2685"/>
      <c r="BG135" s="2802">
        <v>38698</v>
      </c>
      <c r="BH135" s="2685"/>
      <c r="BI135" s="2744" t="s">
        <v>1918</v>
      </c>
      <c r="BJ135" s="2787">
        <v>38702</v>
      </c>
      <c r="BK135" s="2787"/>
      <c r="BL135" s="2685" t="s">
        <v>1174</v>
      </c>
      <c r="BM135" s="2685" t="s">
        <v>888</v>
      </c>
      <c r="BN135" s="2685" t="s">
        <v>1148</v>
      </c>
      <c r="BO135" s="2685" t="s">
        <v>1331</v>
      </c>
      <c r="BP135" s="2685"/>
      <c r="BQ135" s="2744" t="e">
        <v>#DIV/0!</v>
      </c>
      <c r="BR135" s="2745" t="e">
        <v>#DIV/0!</v>
      </c>
      <c r="BS135" s="2504"/>
      <c r="BT135" s="2504"/>
      <c r="BU135" s="2504"/>
    </row>
    <row r="136" s="2506" customFormat="1" ht="12" hidden="1" spans="1:73">
      <c r="A136" s="2685" t="s">
        <v>2084</v>
      </c>
      <c r="B136" s="2685" t="s">
        <v>2085</v>
      </c>
      <c r="C136" s="2686" t="s">
        <v>2086</v>
      </c>
      <c r="D136" s="2686" t="s">
        <v>2087</v>
      </c>
      <c r="E136" s="2685" t="s">
        <v>1060</v>
      </c>
      <c r="F136" s="2692" t="s">
        <v>2088</v>
      </c>
      <c r="G136" s="2685"/>
      <c r="H136" s="2685" t="s">
        <v>1062</v>
      </c>
      <c r="I136" s="2685"/>
      <c r="J136" s="2686" t="s">
        <v>2089</v>
      </c>
      <c r="K136" s="2685" t="s">
        <v>2090</v>
      </c>
      <c r="L136" s="2685">
        <v>69.5</v>
      </c>
      <c r="M136" s="2685">
        <v>3</v>
      </c>
      <c r="N136" s="2685" t="s">
        <v>1064</v>
      </c>
      <c r="O136" s="2685"/>
      <c r="P136" s="2685" t="s">
        <v>1065</v>
      </c>
      <c r="Q136" s="2716">
        <v>470000</v>
      </c>
      <c r="R136" s="2688">
        <v>6763</v>
      </c>
      <c r="S136" s="2722">
        <v>41</v>
      </c>
      <c r="T136" s="2723">
        <v>410000</v>
      </c>
      <c r="U136" s="2685">
        <v>5900</v>
      </c>
      <c r="V136" s="2719">
        <v>0.05</v>
      </c>
      <c r="W136" s="2722">
        <v>38.95</v>
      </c>
      <c r="X136" s="2725">
        <v>389500</v>
      </c>
      <c r="Y136" s="2744">
        <v>2005</v>
      </c>
      <c r="Z136" s="2744">
        <v>12</v>
      </c>
      <c r="AA136" s="2744">
        <v>19</v>
      </c>
      <c r="AB136" s="2685">
        <v>1230</v>
      </c>
      <c r="AC136" s="2685" t="s">
        <v>1605</v>
      </c>
      <c r="AD136" s="2685"/>
      <c r="AE136" s="2749" t="s">
        <v>1342</v>
      </c>
      <c r="AF136" s="2685" t="s">
        <v>1068</v>
      </c>
      <c r="AG136" s="2749" t="s">
        <v>1069</v>
      </c>
      <c r="AH136" s="2685"/>
      <c r="AI136" s="2685" t="s">
        <v>1067</v>
      </c>
      <c r="AJ136" s="2751"/>
      <c r="AK136" s="2818" t="s">
        <v>1182</v>
      </c>
      <c r="AL136" s="2685">
        <v>82253558</v>
      </c>
      <c r="AM136" s="2744"/>
      <c r="AN136" s="2744" t="s">
        <v>1182</v>
      </c>
      <c r="AO136" s="2744"/>
      <c r="AP136" s="2685" t="s">
        <v>1208</v>
      </c>
      <c r="AQ136" s="2744" t="s">
        <v>1074</v>
      </c>
      <c r="AR136" s="2744"/>
      <c r="AS136" s="2744"/>
      <c r="AT136" s="2744"/>
      <c r="AU136" s="2744"/>
      <c r="AV136" s="2744"/>
      <c r="AW136" s="2685" t="s">
        <v>1075</v>
      </c>
      <c r="AX136" s="2744"/>
      <c r="AY136" s="2767"/>
      <c r="AZ136" s="2744" t="s">
        <v>2090</v>
      </c>
      <c r="BA136" s="2744"/>
      <c r="BB136" s="2767"/>
      <c r="BC136" s="2744"/>
      <c r="BD136" s="2768"/>
      <c r="BE136" s="2744"/>
      <c r="BF136" s="2784"/>
      <c r="BG136" s="2785">
        <v>38702</v>
      </c>
      <c r="BH136" s="2744"/>
      <c r="BI136" s="2684" t="s">
        <v>1918</v>
      </c>
      <c r="BJ136" s="2785">
        <v>38702</v>
      </c>
      <c r="BK136" s="2787"/>
      <c r="BL136" s="2685" t="s">
        <v>1174</v>
      </c>
      <c r="BM136" s="2685" t="s">
        <v>888</v>
      </c>
      <c r="BN136" s="2685" t="s">
        <v>1148</v>
      </c>
      <c r="BO136" s="2744" t="s">
        <v>1709</v>
      </c>
      <c r="BP136" s="2744"/>
      <c r="BQ136" s="2744" t="e">
        <v>#DIV/0!</v>
      </c>
      <c r="BR136" s="2745" t="e">
        <v>#DIV/0!</v>
      </c>
      <c r="BS136" s="2504"/>
      <c r="BT136" s="2504"/>
      <c r="BU136" s="2504"/>
    </row>
    <row r="137" s="2508" customFormat="1" ht="12" hidden="1" spans="1:73">
      <c r="A137" s="2684" t="s">
        <v>2084</v>
      </c>
      <c r="B137" s="2684" t="s">
        <v>2066</v>
      </c>
      <c r="C137" s="2686" t="s">
        <v>2067</v>
      </c>
      <c r="D137" s="2684">
        <v>13601368001</v>
      </c>
      <c r="E137" s="2684" t="s">
        <v>1060</v>
      </c>
      <c r="F137" s="2684" t="s">
        <v>2068</v>
      </c>
      <c r="G137" s="2684"/>
      <c r="H137" s="2684" t="s">
        <v>2069</v>
      </c>
      <c r="I137" s="2684" t="s">
        <v>1099</v>
      </c>
      <c r="J137" s="2684" t="s">
        <v>1135</v>
      </c>
      <c r="K137" s="2684" t="s">
        <v>2070</v>
      </c>
      <c r="L137" s="2713">
        <v>99</v>
      </c>
      <c r="M137" s="2713" t="s">
        <v>1087</v>
      </c>
      <c r="N137" s="2684" t="s">
        <v>1290</v>
      </c>
      <c r="O137" s="2713"/>
      <c r="P137" s="2684" t="s">
        <v>1065</v>
      </c>
      <c r="Q137" s="2716">
        <v>720000</v>
      </c>
      <c r="R137" s="2688">
        <v>7273</v>
      </c>
      <c r="S137" s="2722">
        <v>59.4</v>
      </c>
      <c r="T137" s="2723">
        <v>594000</v>
      </c>
      <c r="U137" s="2685">
        <v>6000</v>
      </c>
      <c r="V137" s="2719">
        <v>0.05</v>
      </c>
      <c r="W137" s="2722">
        <v>56.43</v>
      </c>
      <c r="X137" s="2725">
        <v>564300</v>
      </c>
      <c r="Y137" s="2744">
        <v>2005</v>
      </c>
      <c r="Z137" s="2744">
        <v>12</v>
      </c>
      <c r="AA137" s="2744">
        <v>19</v>
      </c>
      <c r="AB137" s="2685">
        <v>1500</v>
      </c>
      <c r="AC137" s="2685" t="s">
        <v>1605</v>
      </c>
      <c r="AD137" s="2684"/>
      <c r="AE137" s="2744" t="s">
        <v>1067</v>
      </c>
      <c r="AF137" s="2684" t="s">
        <v>1068</v>
      </c>
      <c r="AG137" s="2684" t="s">
        <v>1069</v>
      </c>
      <c r="AH137" s="2684"/>
      <c r="AI137" s="2685" t="s">
        <v>1342</v>
      </c>
      <c r="AJ137" s="2761"/>
      <c r="AK137" s="2756" t="s">
        <v>1563</v>
      </c>
      <c r="AL137" s="2744">
        <v>82253558</v>
      </c>
      <c r="AM137" s="2744"/>
      <c r="AN137" s="2744" t="s">
        <v>1072</v>
      </c>
      <c r="AO137" s="2744"/>
      <c r="AP137" s="2685" t="s">
        <v>1208</v>
      </c>
      <c r="AQ137" s="2744" t="s">
        <v>2045</v>
      </c>
      <c r="AR137" s="2685"/>
      <c r="AS137" s="2685"/>
      <c r="AT137" s="2685"/>
      <c r="AU137" s="2685"/>
      <c r="AV137" s="2766"/>
      <c r="AW137" s="2744" t="s">
        <v>1343</v>
      </c>
      <c r="AX137" s="2744"/>
      <c r="AY137" s="2767"/>
      <c r="AZ137" s="2684" t="s">
        <v>2070</v>
      </c>
      <c r="BA137" s="2777"/>
      <c r="BB137" s="2778"/>
      <c r="BC137" s="2777"/>
      <c r="BD137" s="2779"/>
      <c r="BE137" s="2744"/>
      <c r="BF137" s="2784"/>
      <c r="BG137" s="2801">
        <v>38691</v>
      </c>
      <c r="BH137" s="2685" t="s">
        <v>1174</v>
      </c>
      <c r="BI137" s="2685" t="s">
        <v>1342</v>
      </c>
      <c r="BJ137" s="2787">
        <v>38700</v>
      </c>
      <c r="BK137" s="2785"/>
      <c r="BL137" s="2685" t="s">
        <v>1174</v>
      </c>
      <c r="BM137" s="2685" t="s">
        <v>888</v>
      </c>
      <c r="BN137" s="2685" t="s">
        <v>1077</v>
      </c>
      <c r="BO137" s="2685" t="s">
        <v>1128</v>
      </c>
      <c r="BP137" s="2744"/>
      <c r="BQ137" s="2744" t="e">
        <v>#DIV/0!</v>
      </c>
      <c r="BR137" s="2745" t="e">
        <v>#DIV/0!</v>
      </c>
      <c r="BS137" s="2504"/>
      <c r="BT137" s="2504"/>
      <c r="BU137" s="2504"/>
    </row>
    <row r="138" s="2504" customFormat="1" ht="12" hidden="1" spans="1:70">
      <c r="A138" s="2688" t="s">
        <v>2091</v>
      </c>
      <c r="B138" s="2688" t="s">
        <v>2092</v>
      </c>
      <c r="C138" s="2689" t="s">
        <v>2093</v>
      </c>
      <c r="D138" s="2691">
        <v>13621241408</v>
      </c>
      <c r="E138" s="2688" t="s">
        <v>1060</v>
      </c>
      <c r="F138" s="2688" t="s">
        <v>2094</v>
      </c>
      <c r="G138" s="2688"/>
      <c r="H138" s="2697" t="s">
        <v>1180</v>
      </c>
      <c r="I138" s="2691" t="s">
        <v>1585</v>
      </c>
      <c r="J138" s="2697" t="s">
        <v>2095</v>
      </c>
      <c r="K138" s="2688" t="s">
        <v>2096</v>
      </c>
      <c r="L138" s="2812">
        <v>98.501</v>
      </c>
      <c r="M138" s="2688">
        <v>7</v>
      </c>
      <c r="N138" s="2688" t="s">
        <v>1232</v>
      </c>
      <c r="O138" s="2688"/>
      <c r="P138" s="2688" t="s">
        <v>1065</v>
      </c>
      <c r="Q138" s="2726">
        <v>750000</v>
      </c>
      <c r="R138" s="2688">
        <v>7614</v>
      </c>
      <c r="S138" s="2722">
        <v>60.08</v>
      </c>
      <c r="T138" s="2723">
        <v>600800</v>
      </c>
      <c r="U138" s="2726">
        <v>6100</v>
      </c>
      <c r="V138" s="2724">
        <v>0.05</v>
      </c>
      <c r="W138" s="2722">
        <v>57.07</v>
      </c>
      <c r="X138" s="2725">
        <v>570700</v>
      </c>
      <c r="Y138" s="2745">
        <v>2005</v>
      </c>
      <c r="Z138" s="2688">
        <v>12</v>
      </c>
      <c r="AA138" s="2688">
        <v>28</v>
      </c>
      <c r="AB138" s="2688">
        <v>1500</v>
      </c>
      <c r="AC138" s="2688" t="s">
        <v>1605</v>
      </c>
      <c r="AD138" s="2688"/>
      <c r="AE138" s="2688" t="s">
        <v>1342</v>
      </c>
      <c r="AF138" s="2688" t="s">
        <v>1068</v>
      </c>
      <c r="AG138" s="2688" t="s">
        <v>1069</v>
      </c>
      <c r="AH138" s="2688"/>
      <c r="AI138" s="2688" t="s">
        <v>1342</v>
      </c>
      <c r="AJ138" s="2760"/>
      <c r="AK138" s="2688" t="s">
        <v>1563</v>
      </c>
      <c r="AL138" s="2745">
        <v>82253558</v>
      </c>
      <c r="AM138" s="2688"/>
      <c r="AN138" s="2747" t="s">
        <v>1071</v>
      </c>
      <c r="AO138" s="2688" t="s">
        <v>2097</v>
      </c>
      <c r="AP138" s="2745" t="s">
        <v>1208</v>
      </c>
      <c r="AQ138" s="2745" t="s">
        <v>2045</v>
      </c>
      <c r="AR138" s="2688"/>
      <c r="AS138" s="2688"/>
      <c r="AT138" s="2688"/>
      <c r="AU138" s="2688"/>
      <c r="AV138" s="2688"/>
      <c r="AW138" s="2688" t="s">
        <v>1075</v>
      </c>
      <c r="AX138" s="2688"/>
      <c r="AY138" s="2747"/>
      <c r="AZ138" s="2688" t="s">
        <v>2096</v>
      </c>
      <c r="BA138" s="2688"/>
      <c r="BB138" s="2688"/>
      <c r="BC138" s="2688"/>
      <c r="BD138" s="2688"/>
      <c r="BE138" s="2688">
        <v>13910390955</v>
      </c>
      <c r="BF138" s="2688"/>
      <c r="BG138" s="2760">
        <v>38699</v>
      </c>
      <c r="BH138" s="2688"/>
      <c r="BI138" s="2691" t="s">
        <v>1918</v>
      </c>
      <c r="BJ138" s="2760">
        <v>38699</v>
      </c>
      <c r="BK138" s="2753"/>
      <c r="BL138" s="2688" t="s">
        <v>1174</v>
      </c>
      <c r="BM138" s="2688" t="s">
        <v>888</v>
      </c>
      <c r="BN138" s="2745" t="s">
        <v>1148</v>
      </c>
      <c r="BO138" s="2745" t="s">
        <v>1709</v>
      </c>
      <c r="BP138" s="2688"/>
      <c r="BQ138" s="2745" t="e">
        <v>#DIV/0!</v>
      </c>
      <c r="BR138" s="2745" t="e">
        <v>#DIV/0!</v>
      </c>
    </row>
    <row r="139" s="2508" customFormat="1" ht="12" hidden="1" spans="1:73">
      <c r="A139" s="2685" t="s">
        <v>2098</v>
      </c>
      <c r="B139" s="2685" t="s">
        <v>2099</v>
      </c>
      <c r="C139" s="2686" t="s">
        <v>2100</v>
      </c>
      <c r="D139" s="2686" t="s">
        <v>2101</v>
      </c>
      <c r="E139" s="2685" t="s">
        <v>1060</v>
      </c>
      <c r="F139" s="2692" t="s">
        <v>2102</v>
      </c>
      <c r="G139" s="2685"/>
      <c r="H139" s="2685" t="s">
        <v>1180</v>
      </c>
      <c r="I139" s="2685"/>
      <c r="J139" s="2686" t="s">
        <v>1275</v>
      </c>
      <c r="K139" s="2685" t="s">
        <v>2099</v>
      </c>
      <c r="L139" s="2685">
        <v>116.42</v>
      </c>
      <c r="M139" s="2685">
        <v>1</v>
      </c>
      <c r="N139" s="2685" t="s">
        <v>1123</v>
      </c>
      <c r="O139" s="2685"/>
      <c r="P139" s="2685" t="s">
        <v>1065</v>
      </c>
      <c r="Q139" s="2716">
        <v>500000</v>
      </c>
      <c r="R139" s="2688">
        <v>4295</v>
      </c>
      <c r="S139" s="2722">
        <v>52.38</v>
      </c>
      <c r="T139" s="2723">
        <v>523800</v>
      </c>
      <c r="U139" s="2685">
        <v>4500</v>
      </c>
      <c r="V139" s="2719">
        <v>0.05</v>
      </c>
      <c r="W139" s="2722">
        <v>49.76</v>
      </c>
      <c r="X139" s="2725">
        <v>497600</v>
      </c>
      <c r="Y139" s="2744">
        <v>2005</v>
      </c>
      <c r="Z139" s="2744">
        <v>12</v>
      </c>
      <c r="AA139" s="2744">
        <v>22</v>
      </c>
      <c r="AB139" s="2685">
        <v>1500</v>
      </c>
      <c r="AC139" s="2685" t="s">
        <v>1605</v>
      </c>
      <c r="AD139" s="2685"/>
      <c r="AE139" s="2744" t="s">
        <v>1067</v>
      </c>
      <c r="AF139" s="2685" t="s">
        <v>1068</v>
      </c>
      <c r="AG139" s="2685" t="s">
        <v>1069</v>
      </c>
      <c r="AH139" s="2685"/>
      <c r="AI139" s="2685" t="s">
        <v>1342</v>
      </c>
      <c r="AJ139" s="2751"/>
      <c r="AK139" s="2752" t="s">
        <v>1563</v>
      </c>
      <c r="AL139" s="2744">
        <v>82253558</v>
      </c>
      <c r="AM139" s="2744"/>
      <c r="AN139" s="2685" t="s">
        <v>1182</v>
      </c>
      <c r="AO139" s="2744"/>
      <c r="AP139" s="2685" t="s">
        <v>1208</v>
      </c>
      <c r="AQ139" s="2744" t="s">
        <v>1074</v>
      </c>
      <c r="AR139" s="2744"/>
      <c r="AS139" s="2744"/>
      <c r="AT139" s="2744"/>
      <c r="AU139" s="2744"/>
      <c r="AV139" s="2744"/>
      <c r="AW139" s="2744" t="s">
        <v>1343</v>
      </c>
      <c r="AX139" s="2744"/>
      <c r="AY139" s="2744"/>
      <c r="AZ139" s="2767" t="s">
        <v>2103</v>
      </c>
      <c r="BA139" s="2744"/>
      <c r="BB139" s="2767"/>
      <c r="BC139" s="2744"/>
      <c r="BD139" s="2768"/>
      <c r="BE139" s="2744"/>
      <c r="BF139" s="2784"/>
      <c r="BG139" s="2785">
        <v>38657</v>
      </c>
      <c r="BH139" s="2744"/>
      <c r="BI139" s="2744" t="s">
        <v>1918</v>
      </c>
      <c r="BJ139" s="2787">
        <v>38661</v>
      </c>
      <c r="BK139" s="2787"/>
      <c r="BL139" s="2685" t="s">
        <v>1174</v>
      </c>
      <c r="BM139" s="2744" t="s">
        <v>888</v>
      </c>
      <c r="BN139" s="2744" t="s">
        <v>1077</v>
      </c>
      <c r="BO139" s="2744" t="s">
        <v>1709</v>
      </c>
      <c r="BP139" s="2744"/>
      <c r="BQ139" s="2744" t="e">
        <v>#DIV/0!</v>
      </c>
      <c r="BR139" s="2745" t="e">
        <v>#DIV/0!</v>
      </c>
      <c r="BS139" s="2504"/>
      <c r="BT139" s="2504"/>
      <c r="BU139" s="2504"/>
    </row>
    <row r="140" s="2510" customFormat="1" ht="12" hidden="1" spans="1:70">
      <c r="A140" s="2693" t="s">
        <v>2104</v>
      </c>
      <c r="B140" s="2693" t="s">
        <v>2105</v>
      </c>
      <c r="C140" s="2694" t="s">
        <v>2106</v>
      </c>
      <c r="D140" s="2710">
        <v>13910181929</v>
      </c>
      <c r="E140" s="2693" t="s">
        <v>1060</v>
      </c>
      <c r="F140" s="2693" t="s">
        <v>1371</v>
      </c>
      <c r="G140" s="2693"/>
      <c r="H140" s="2808" t="s">
        <v>1421</v>
      </c>
      <c r="I140" s="2710"/>
      <c r="J140" s="2808" t="s">
        <v>2107</v>
      </c>
      <c r="K140" s="2693" t="s">
        <v>2108</v>
      </c>
      <c r="L140" s="2707">
        <v>90.3</v>
      </c>
      <c r="M140" s="2693">
        <v>9</v>
      </c>
      <c r="N140" s="2693" t="s">
        <v>1064</v>
      </c>
      <c r="O140" s="2693"/>
      <c r="P140" s="2693" t="s">
        <v>1065</v>
      </c>
      <c r="Q140" s="2815">
        <v>630000</v>
      </c>
      <c r="R140" s="2693">
        <v>6977</v>
      </c>
      <c r="S140" s="2730">
        <v>52.37</v>
      </c>
      <c r="T140" s="2731">
        <v>523700</v>
      </c>
      <c r="U140" s="2815">
        <v>5800</v>
      </c>
      <c r="V140" s="2732">
        <v>0.05</v>
      </c>
      <c r="W140" s="2730">
        <v>49.75</v>
      </c>
      <c r="X140" s="2733">
        <v>497500</v>
      </c>
      <c r="Y140" s="2706">
        <v>2005</v>
      </c>
      <c r="Z140" s="2693">
        <v>12</v>
      </c>
      <c r="AA140" s="2693">
        <v>28</v>
      </c>
      <c r="AB140" s="2693">
        <v>1500</v>
      </c>
      <c r="AC140" s="2693" t="s">
        <v>1605</v>
      </c>
      <c r="AD140" s="2693"/>
      <c r="AE140" s="2693" t="s">
        <v>1342</v>
      </c>
      <c r="AF140" s="2693" t="s">
        <v>1068</v>
      </c>
      <c r="AG140" s="2693" t="s">
        <v>1069</v>
      </c>
      <c r="AH140" s="2693"/>
      <c r="AI140" s="2693" t="s">
        <v>1342</v>
      </c>
      <c r="AJ140" s="2819"/>
      <c r="AK140" s="2693" t="s">
        <v>1563</v>
      </c>
      <c r="AL140" s="2706">
        <v>82253558</v>
      </c>
      <c r="AM140" s="2693"/>
      <c r="AN140" s="2757" t="s">
        <v>1071</v>
      </c>
      <c r="AO140" s="2693"/>
      <c r="AP140" s="2706" t="s">
        <v>1208</v>
      </c>
      <c r="AQ140" s="2706" t="s">
        <v>2045</v>
      </c>
      <c r="AR140" s="2693"/>
      <c r="AS140" s="2693"/>
      <c r="AT140" s="2693"/>
      <c r="AU140" s="2693"/>
      <c r="AV140" s="2693"/>
      <c r="AW140" s="2693" t="s">
        <v>1075</v>
      </c>
      <c r="AX140" s="2693"/>
      <c r="AY140" s="2757"/>
      <c r="AZ140" s="2693" t="s">
        <v>2109</v>
      </c>
      <c r="BA140" s="2693"/>
      <c r="BB140" s="2693"/>
      <c r="BC140" s="2693"/>
      <c r="BD140" s="2693"/>
      <c r="BE140" s="2693"/>
      <c r="BF140" s="2693"/>
      <c r="BG140" s="2819">
        <v>38705</v>
      </c>
      <c r="BH140" s="2693"/>
      <c r="BI140" s="2710" t="s">
        <v>1918</v>
      </c>
      <c r="BJ140" s="2819">
        <v>38709</v>
      </c>
      <c r="BK140" s="2758"/>
      <c r="BL140" s="2693" t="s">
        <v>1174</v>
      </c>
      <c r="BM140" s="2693" t="s">
        <v>888</v>
      </c>
      <c r="BN140" s="2706" t="s">
        <v>1148</v>
      </c>
      <c r="BO140" s="2706" t="s">
        <v>1709</v>
      </c>
      <c r="BP140" s="2693"/>
      <c r="BQ140" s="2706" t="e">
        <v>#DIV/0!</v>
      </c>
      <c r="BR140" s="2706" t="e">
        <v>#DIV/0!</v>
      </c>
    </row>
    <row r="141" s="2504" customFormat="1" ht="12" hidden="1" spans="1:70">
      <c r="A141" s="2688" t="s">
        <v>2110</v>
      </c>
      <c r="B141" s="2688" t="s">
        <v>2111</v>
      </c>
      <c r="C141" s="2689" t="s">
        <v>2112</v>
      </c>
      <c r="D141" s="2691">
        <v>13641365257</v>
      </c>
      <c r="E141" s="2688" t="s">
        <v>1060</v>
      </c>
      <c r="F141" s="2688" t="s">
        <v>2113</v>
      </c>
      <c r="G141" s="2688"/>
      <c r="H141" s="2697" t="s">
        <v>2114</v>
      </c>
      <c r="I141" s="2691"/>
      <c r="J141" s="2697" t="s">
        <v>2115</v>
      </c>
      <c r="K141" s="2688" t="s">
        <v>2116</v>
      </c>
      <c r="L141" s="2702">
        <v>51.7</v>
      </c>
      <c r="M141" s="2688">
        <v>19</v>
      </c>
      <c r="N141" s="2688" t="s">
        <v>1259</v>
      </c>
      <c r="O141" s="2688"/>
      <c r="P141" s="2688" t="s">
        <v>1065</v>
      </c>
      <c r="Q141" s="2726">
        <v>400000</v>
      </c>
      <c r="R141" s="2688">
        <v>7737</v>
      </c>
      <c r="S141" s="2722">
        <v>31.53</v>
      </c>
      <c r="T141" s="2723">
        <v>315300</v>
      </c>
      <c r="U141" s="2726">
        <v>6100</v>
      </c>
      <c r="V141" s="2724">
        <v>0.05</v>
      </c>
      <c r="W141" s="2722">
        <v>29.95</v>
      </c>
      <c r="X141" s="2725">
        <v>299500</v>
      </c>
      <c r="Y141" s="2745">
        <v>2005</v>
      </c>
      <c r="Z141" s="2688">
        <v>12</v>
      </c>
      <c r="AA141" s="2688">
        <v>28</v>
      </c>
      <c r="AB141" s="2688">
        <v>945</v>
      </c>
      <c r="AC141" s="2688" t="s">
        <v>1605</v>
      </c>
      <c r="AD141" s="2688"/>
      <c r="AE141" s="2688" t="s">
        <v>1342</v>
      </c>
      <c r="AF141" s="2688" t="s">
        <v>1068</v>
      </c>
      <c r="AG141" s="2688" t="s">
        <v>1069</v>
      </c>
      <c r="AH141" s="2688"/>
      <c r="AI141" s="2688" t="s">
        <v>1342</v>
      </c>
      <c r="AJ141" s="2760"/>
      <c r="AK141" s="2688" t="s">
        <v>1563</v>
      </c>
      <c r="AL141" s="2745">
        <v>82253558</v>
      </c>
      <c r="AM141" s="2688"/>
      <c r="AN141" s="2747" t="s">
        <v>1071</v>
      </c>
      <c r="AO141" s="2688"/>
      <c r="AP141" s="2745" t="s">
        <v>1208</v>
      </c>
      <c r="AQ141" s="2745" t="s">
        <v>2045</v>
      </c>
      <c r="AR141" s="2688"/>
      <c r="AS141" s="2688"/>
      <c r="AT141" s="2688"/>
      <c r="AU141" s="2688"/>
      <c r="AV141" s="2688"/>
      <c r="AW141" s="2688" t="s">
        <v>1075</v>
      </c>
      <c r="AX141" s="2688"/>
      <c r="AY141" s="2747"/>
      <c r="AZ141" s="2688" t="s">
        <v>2116</v>
      </c>
      <c r="BA141" s="2688"/>
      <c r="BB141" s="2688"/>
      <c r="BC141" s="2688"/>
      <c r="BD141" s="2688"/>
      <c r="BE141" s="2688"/>
      <c r="BF141" s="2688"/>
      <c r="BG141" s="2760">
        <v>38699</v>
      </c>
      <c r="BH141" s="2688"/>
      <c r="BI141" s="2691" t="s">
        <v>1918</v>
      </c>
      <c r="BJ141" s="2760">
        <v>38708</v>
      </c>
      <c r="BK141" s="2753"/>
      <c r="BL141" s="2688" t="s">
        <v>1174</v>
      </c>
      <c r="BM141" s="2688" t="s">
        <v>888</v>
      </c>
      <c r="BN141" s="2745" t="s">
        <v>1148</v>
      </c>
      <c r="BO141" s="2685" t="s">
        <v>1331</v>
      </c>
      <c r="BP141" s="2688"/>
      <c r="BQ141" s="2745" t="e">
        <v>#DIV/0!</v>
      </c>
      <c r="BR141" s="2745" t="e">
        <v>#DIV/0!</v>
      </c>
    </row>
    <row r="142" s="2508" customFormat="1" ht="12" hidden="1" spans="1:73">
      <c r="A142" s="2685" t="s">
        <v>2117</v>
      </c>
      <c r="B142" s="2685" t="s">
        <v>2118</v>
      </c>
      <c r="C142" s="2686" t="s">
        <v>2119</v>
      </c>
      <c r="D142" s="2686" t="s">
        <v>2120</v>
      </c>
      <c r="E142" s="2685" t="s">
        <v>1060</v>
      </c>
      <c r="F142" s="2692" t="s">
        <v>2121</v>
      </c>
      <c r="G142" s="2685"/>
      <c r="H142" s="2685" t="s">
        <v>2122</v>
      </c>
      <c r="I142" s="2684" t="s">
        <v>1143</v>
      </c>
      <c r="J142" s="2686" t="s">
        <v>2123</v>
      </c>
      <c r="K142" s="2685" t="s">
        <v>2124</v>
      </c>
      <c r="L142" s="2685">
        <v>57</v>
      </c>
      <c r="M142" s="2685">
        <v>4</v>
      </c>
      <c r="N142" s="2685" t="s">
        <v>1064</v>
      </c>
      <c r="O142" s="2685"/>
      <c r="P142" s="2685" t="s">
        <v>1065</v>
      </c>
      <c r="Q142" s="2716">
        <v>420000</v>
      </c>
      <c r="R142" s="2688">
        <v>7368</v>
      </c>
      <c r="S142" s="2722">
        <v>34.2</v>
      </c>
      <c r="T142" s="2723">
        <v>342000</v>
      </c>
      <c r="U142" s="2685">
        <v>6000</v>
      </c>
      <c r="V142" s="2719">
        <v>0.05</v>
      </c>
      <c r="W142" s="2722">
        <v>32.49</v>
      </c>
      <c r="X142" s="2725">
        <v>324900</v>
      </c>
      <c r="Y142" s="2744">
        <v>2005</v>
      </c>
      <c r="Z142" s="2744">
        <v>12</v>
      </c>
      <c r="AA142" s="2744">
        <v>28</v>
      </c>
      <c r="AB142" s="2688">
        <v>1025</v>
      </c>
      <c r="AC142" s="2685" t="s">
        <v>1605</v>
      </c>
      <c r="AD142" s="2685"/>
      <c r="AE142" s="2744" t="s">
        <v>1067</v>
      </c>
      <c r="AF142" s="2684" t="s">
        <v>1068</v>
      </c>
      <c r="AG142" s="2749" t="s">
        <v>1069</v>
      </c>
      <c r="AH142" s="2685"/>
      <c r="AI142" s="2685" t="s">
        <v>1342</v>
      </c>
      <c r="AJ142" s="2751"/>
      <c r="AK142" s="2685" t="s">
        <v>1563</v>
      </c>
      <c r="AL142" s="2685">
        <v>82253558</v>
      </c>
      <c r="AM142" s="2744"/>
      <c r="AN142" s="2688" t="s">
        <v>1071</v>
      </c>
      <c r="AO142" s="2744" t="s">
        <v>1114</v>
      </c>
      <c r="AP142" s="2685" t="s">
        <v>1208</v>
      </c>
      <c r="AQ142" s="2685" t="s">
        <v>2045</v>
      </c>
      <c r="AR142" s="2744"/>
      <c r="AS142" s="2744"/>
      <c r="AT142" s="2744"/>
      <c r="AU142" s="2744"/>
      <c r="AV142" s="2744"/>
      <c r="AW142" s="2685" t="s">
        <v>1075</v>
      </c>
      <c r="AX142" s="2685"/>
      <c r="AY142" s="2780"/>
      <c r="AZ142" s="2685" t="s">
        <v>2124</v>
      </c>
      <c r="BA142" s="2744"/>
      <c r="BB142" s="2767"/>
      <c r="BC142" s="2744"/>
      <c r="BD142" s="2768"/>
      <c r="BE142" s="2744"/>
      <c r="BF142" s="2784"/>
      <c r="BG142" s="2802">
        <v>38704</v>
      </c>
      <c r="BH142" s="2744"/>
      <c r="BI142" s="2688" t="s">
        <v>1070</v>
      </c>
      <c r="BJ142" s="2787">
        <v>38709</v>
      </c>
      <c r="BK142" s="2787"/>
      <c r="BL142" s="2685" t="s">
        <v>1174</v>
      </c>
      <c r="BM142" s="2744" t="s">
        <v>888</v>
      </c>
      <c r="BN142" s="2744" t="s">
        <v>1148</v>
      </c>
      <c r="BO142" s="2744" t="s">
        <v>1331</v>
      </c>
      <c r="BP142" s="2744"/>
      <c r="BQ142" s="2745" t="e">
        <v>#DIV/0!</v>
      </c>
      <c r="BR142" s="2745" t="e">
        <v>#DIV/0!</v>
      </c>
      <c r="BS142" s="2504"/>
      <c r="BT142" s="2504"/>
      <c r="BU142" s="2504"/>
    </row>
    <row r="143" s="2504" customFormat="1" ht="12" hidden="1" spans="1:70">
      <c r="A143" s="2688" t="s">
        <v>2125</v>
      </c>
      <c r="B143" s="2688" t="s">
        <v>2126</v>
      </c>
      <c r="C143" s="2689" t="s">
        <v>2127</v>
      </c>
      <c r="D143" s="2691">
        <v>13811735823</v>
      </c>
      <c r="E143" s="2688" t="s">
        <v>1060</v>
      </c>
      <c r="F143" s="2688" t="s">
        <v>1510</v>
      </c>
      <c r="G143" s="2688"/>
      <c r="H143" s="2697" t="s">
        <v>1296</v>
      </c>
      <c r="I143" s="2691"/>
      <c r="J143" s="2697" t="s">
        <v>2128</v>
      </c>
      <c r="K143" s="2688" t="s">
        <v>2129</v>
      </c>
      <c r="L143" s="2702">
        <v>76.44</v>
      </c>
      <c r="M143" s="2688">
        <v>6</v>
      </c>
      <c r="N143" s="2688" t="s">
        <v>1064</v>
      </c>
      <c r="O143" s="2688">
        <v>60.61</v>
      </c>
      <c r="P143" s="2688" t="s">
        <v>1065</v>
      </c>
      <c r="Q143" s="2726">
        <v>360000</v>
      </c>
      <c r="R143" s="2688">
        <v>4710</v>
      </c>
      <c r="S143" s="2722">
        <v>32.56</v>
      </c>
      <c r="T143" s="2723">
        <v>325600</v>
      </c>
      <c r="U143" s="2726">
        <v>4260</v>
      </c>
      <c r="V143" s="2724">
        <v>0.05</v>
      </c>
      <c r="W143" s="2722">
        <v>30.93</v>
      </c>
      <c r="X143" s="2725">
        <v>309300</v>
      </c>
      <c r="Y143" s="2745">
        <v>2005</v>
      </c>
      <c r="Z143" s="2688">
        <v>12</v>
      </c>
      <c r="AA143" s="2688">
        <v>29</v>
      </c>
      <c r="AB143" s="2688">
        <v>975</v>
      </c>
      <c r="AC143" s="2688" t="s">
        <v>1605</v>
      </c>
      <c r="AD143" s="2688"/>
      <c r="AE143" s="2688" t="s">
        <v>1342</v>
      </c>
      <c r="AF143" s="2688" t="s">
        <v>1068</v>
      </c>
      <c r="AG143" s="2688" t="s">
        <v>1069</v>
      </c>
      <c r="AH143" s="2688"/>
      <c r="AI143" s="2688" t="s">
        <v>1342</v>
      </c>
      <c r="AJ143" s="2760"/>
      <c r="AK143" s="2688" t="s">
        <v>1563</v>
      </c>
      <c r="AL143" s="2745">
        <v>82253558</v>
      </c>
      <c r="AM143" s="2688"/>
      <c r="AN143" s="2747" t="s">
        <v>1071</v>
      </c>
      <c r="AO143" s="2688" t="s">
        <v>2130</v>
      </c>
      <c r="AP143" s="2745" t="s">
        <v>1208</v>
      </c>
      <c r="AQ143" s="2745" t="s">
        <v>2045</v>
      </c>
      <c r="AR143" s="2688"/>
      <c r="AS143" s="2688"/>
      <c r="AT143" s="2688"/>
      <c r="AU143" s="2688"/>
      <c r="AV143" s="2688"/>
      <c r="AW143" s="2688" t="s">
        <v>1075</v>
      </c>
      <c r="AX143" s="2688"/>
      <c r="AY143" s="2747"/>
      <c r="AZ143" s="2688" t="s">
        <v>2129</v>
      </c>
      <c r="BA143" s="2688"/>
      <c r="BB143" s="2688"/>
      <c r="BC143" s="2688"/>
      <c r="BD143" s="2688"/>
      <c r="BE143" s="2688"/>
      <c r="BF143" s="2688"/>
      <c r="BG143" s="2760">
        <v>38690</v>
      </c>
      <c r="BH143" s="2688"/>
      <c r="BI143" s="2691" t="s">
        <v>1918</v>
      </c>
      <c r="BJ143" s="2760">
        <v>38713</v>
      </c>
      <c r="BK143" s="2753"/>
      <c r="BL143" s="2688" t="s">
        <v>1174</v>
      </c>
      <c r="BM143" s="2688" t="s">
        <v>888</v>
      </c>
      <c r="BN143" s="2745" t="s">
        <v>1148</v>
      </c>
      <c r="BO143" s="2745" t="s">
        <v>1709</v>
      </c>
      <c r="BP143" s="2688"/>
      <c r="BQ143" s="2745">
        <v>5372</v>
      </c>
      <c r="BR143" s="2745">
        <v>5940</v>
      </c>
    </row>
    <row r="144" s="2505" customFormat="1" ht="12" hidden="1" spans="1:73">
      <c r="A144" s="2688" t="s">
        <v>2131</v>
      </c>
      <c r="B144" s="2688" t="s">
        <v>2132</v>
      </c>
      <c r="C144" s="2689" t="s">
        <v>2133</v>
      </c>
      <c r="D144" s="2689" t="s">
        <v>2134</v>
      </c>
      <c r="E144" s="2688" t="s">
        <v>1060</v>
      </c>
      <c r="F144" s="2688" t="s">
        <v>2135</v>
      </c>
      <c r="G144" s="2688"/>
      <c r="H144" s="2688"/>
      <c r="I144" s="2688" t="s">
        <v>2136</v>
      </c>
      <c r="J144" s="2689" t="s">
        <v>2137</v>
      </c>
      <c r="K144" s="2688"/>
      <c r="L144" s="2688">
        <v>91.1</v>
      </c>
      <c r="M144" s="2688">
        <v>18</v>
      </c>
      <c r="N144" s="2688" t="s">
        <v>1064</v>
      </c>
      <c r="O144" s="2688"/>
      <c r="P144" s="2688" t="s">
        <v>1065</v>
      </c>
      <c r="Q144" s="2712">
        <v>690000</v>
      </c>
      <c r="R144" s="2688">
        <v>7574</v>
      </c>
      <c r="S144" s="2722">
        <v>61.94</v>
      </c>
      <c r="T144" s="2723">
        <v>619400</v>
      </c>
      <c r="U144" s="2688">
        <v>6800</v>
      </c>
      <c r="V144" s="2724">
        <v>0.05</v>
      </c>
      <c r="W144" s="2722">
        <v>58.84</v>
      </c>
      <c r="X144" s="2725">
        <v>588400</v>
      </c>
      <c r="Y144" s="2745">
        <v>2005</v>
      </c>
      <c r="Z144" s="2745">
        <v>11</v>
      </c>
      <c r="AA144" s="2745">
        <v>21</v>
      </c>
      <c r="AB144" s="2688">
        <v>1500</v>
      </c>
      <c r="AC144" s="2688" t="s">
        <v>1605</v>
      </c>
      <c r="AD144" s="2688"/>
      <c r="AE144" s="2688" t="s">
        <v>1067</v>
      </c>
      <c r="AF144" s="2688" t="s">
        <v>1068</v>
      </c>
      <c r="AG144" s="2688" t="s">
        <v>1069</v>
      </c>
      <c r="AH144" s="2688"/>
      <c r="AI144" s="2688" t="s">
        <v>2138</v>
      </c>
      <c r="AJ144" s="2753"/>
      <c r="AK144" s="2755" t="s">
        <v>1136</v>
      </c>
      <c r="AL144" s="2745">
        <v>67641700</v>
      </c>
      <c r="AM144" s="2745"/>
      <c r="AN144" s="2745" t="s">
        <v>1182</v>
      </c>
      <c r="AO144" s="2745"/>
      <c r="AP144" s="2745" t="s">
        <v>1515</v>
      </c>
      <c r="AQ144" s="2745" t="s">
        <v>2045</v>
      </c>
      <c r="AR144" s="2745"/>
      <c r="AS144" s="2745"/>
      <c r="AT144" s="2745"/>
      <c r="AU144" s="2745"/>
      <c r="AV144" s="2745"/>
      <c r="AW144" s="2745" t="s">
        <v>1075</v>
      </c>
      <c r="AX144" s="2745"/>
      <c r="AY144" s="2769"/>
      <c r="AZ144" s="2745"/>
      <c r="BA144" s="2745"/>
      <c r="BB144" s="2769"/>
      <c r="BC144" s="2745" t="s">
        <v>2139</v>
      </c>
      <c r="BD144" s="2770"/>
      <c r="BE144" s="2745"/>
      <c r="BF144" s="2788"/>
      <c r="BG144" s="2790">
        <v>38672</v>
      </c>
      <c r="BH144" s="2745"/>
      <c r="BI144" s="2691" t="s">
        <v>2140</v>
      </c>
      <c r="BJ144" s="2789">
        <v>38673</v>
      </c>
      <c r="BK144" s="2789"/>
      <c r="BL144" s="2688" t="s">
        <v>1174</v>
      </c>
      <c r="BM144" s="2745" t="s">
        <v>888</v>
      </c>
      <c r="BN144" s="2745" t="s">
        <v>1077</v>
      </c>
      <c r="BO144" s="2745" t="s">
        <v>1721</v>
      </c>
      <c r="BP144" s="2745"/>
      <c r="BQ144" s="2745" t="e">
        <v>#DIV/0!</v>
      </c>
      <c r="BR144" s="2745" t="e">
        <v>#DIV/0!</v>
      </c>
      <c r="BS144" s="2504"/>
      <c r="BT144" s="2504"/>
      <c r="BU144" s="2504"/>
    </row>
    <row r="145" s="2504" customFormat="1" ht="12" hidden="1" spans="1:70">
      <c r="A145" s="2688" t="s">
        <v>2141</v>
      </c>
      <c r="B145" s="2688" t="s">
        <v>2142</v>
      </c>
      <c r="C145" s="2689" t="s">
        <v>2143</v>
      </c>
      <c r="D145" s="2689" t="s">
        <v>2144</v>
      </c>
      <c r="E145" s="2688" t="s">
        <v>1060</v>
      </c>
      <c r="F145" s="2809" t="s">
        <v>2145</v>
      </c>
      <c r="G145" s="2688"/>
      <c r="H145" s="2691" t="s">
        <v>1155</v>
      </c>
      <c r="I145" s="2689" t="s">
        <v>1099</v>
      </c>
      <c r="J145" s="2689" t="s">
        <v>2146</v>
      </c>
      <c r="K145" s="2688" t="s">
        <v>2147</v>
      </c>
      <c r="L145" s="2688">
        <v>56.9</v>
      </c>
      <c r="M145" s="2688">
        <v>3</v>
      </c>
      <c r="N145" s="2688" t="s">
        <v>1064</v>
      </c>
      <c r="O145" s="2688"/>
      <c r="P145" s="2688" t="s">
        <v>1065</v>
      </c>
      <c r="Q145" s="2712">
        <v>370000</v>
      </c>
      <c r="R145" s="2688">
        <v>6503</v>
      </c>
      <c r="S145" s="2722">
        <v>32.43</v>
      </c>
      <c r="T145" s="2723">
        <v>324300</v>
      </c>
      <c r="U145" s="2688">
        <v>5700</v>
      </c>
      <c r="V145" s="2724">
        <v>0.05</v>
      </c>
      <c r="W145" s="2722">
        <v>30.8</v>
      </c>
      <c r="X145" s="2725">
        <v>308000</v>
      </c>
      <c r="Y145" s="2745">
        <v>2005</v>
      </c>
      <c r="Z145" s="2745">
        <v>1</v>
      </c>
      <c r="AA145" s="2745">
        <v>14</v>
      </c>
      <c r="AB145" s="2688">
        <v>970</v>
      </c>
      <c r="AC145" s="2688" t="s">
        <v>1066</v>
      </c>
      <c r="AD145" s="2688"/>
      <c r="AE145" s="2745" t="s">
        <v>175</v>
      </c>
      <c r="AF145" s="2688" t="s">
        <v>1068</v>
      </c>
      <c r="AG145" s="2747" t="s">
        <v>1069</v>
      </c>
      <c r="AH145" s="2688"/>
      <c r="AI145" s="2688" t="s">
        <v>1067</v>
      </c>
      <c r="AJ145" s="2753"/>
      <c r="AK145" s="2755" t="s">
        <v>1087</v>
      </c>
      <c r="AL145" s="2745">
        <v>82253558</v>
      </c>
      <c r="AM145" s="2745"/>
      <c r="AN145" s="2747"/>
      <c r="AO145" s="2745"/>
      <c r="AP145" s="2745" t="s">
        <v>175</v>
      </c>
      <c r="AQ145" s="2745" t="s">
        <v>1074</v>
      </c>
      <c r="AR145" s="2745"/>
      <c r="AS145" s="2745"/>
      <c r="AT145" s="2745"/>
      <c r="AU145" s="2745"/>
      <c r="AV145" s="2745"/>
      <c r="AW145" s="2688" t="s">
        <v>1075</v>
      </c>
      <c r="AX145" s="2688"/>
      <c r="AY145" s="2824"/>
      <c r="AZ145" s="2688"/>
      <c r="BA145" s="2745"/>
      <c r="BB145" s="2769"/>
      <c r="BC145" s="2745"/>
      <c r="BD145" s="2770"/>
      <c r="BE145" s="2745"/>
      <c r="BF145" s="2788"/>
      <c r="BG145" s="2790">
        <v>38362</v>
      </c>
      <c r="BH145" s="2745"/>
      <c r="BI145" s="2688" t="s">
        <v>175</v>
      </c>
      <c r="BJ145" s="2753">
        <v>38362</v>
      </c>
      <c r="BK145" s="2790"/>
      <c r="BL145" s="2688"/>
      <c r="BM145" s="2745" t="s">
        <v>2148</v>
      </c>
      <c r="BN145" s="2745" t="s">
        <v>1077</v>
      </c>
      <c r="BO145" s="2745" t="s">
        <v>1128</v>
      </c>
      <c r="BP145" s="2745"/>
      <c r="BQ145" s="2745" t="e">
        <v>#DIV/0!</v>
      </c>
      <c r="BR145" s="2745" t="e">
        <v>#DIV/0!</v>
      </c>
    </row>
    <row r="146" s="2504" customFormat="1" ht="12" hidden="1" spans="1:70">
      <c r="A146" s="2688" t="s">
        <v>2149</v>
      </c>
      <c r="B146" s="2688" t="s">
        <v>2150</v>
      </c>
      <c r="C146" s="2810" t="s">
        <v>2151</v>
      </c>
      <c r="D146" s="2697">
        <v>13910725005</v>
      </c>
      <c r="E146" s="2697" t="s">
        <v>1060</v>
      </c>
      <c r="F146" s="2688" t="s">
        <v>2152</v>
      </c>
      <c r="G146" s="2697"/>
      <c r="H146" s="2691" t="s">
        <v>2153</v>
      </c>
      <c r="I146" s="2691" t="s">
        <v>1364</v>
      </c>
      <c r="J146" s="2697" t="s">
        <v>2154</v>
      </c>
      <c r="K146" s="2688" t="s">
        <v>2150</v>
      </c>
      <c r="L146" s="2697">
        <v>53.09</v>
      </c>
      <c r="M146" s="2697">
        <v>4</v>
      </c>
      <c r="N146" s="2691" t="s">
        <v>1259</v>
      </c>
      <c r="O146" s="2697"/>
      <c r="P146" s="2697" t="s">
        <v>1065</v>
      </c>
      <c r="Q146" s="2712">
        <v>247775.8</v>
      </c>
      <c r="R146" s="2712">
        <v>4667</v>
      </c>
      <c r="S146" s="2722">
        <v>20.26</v>
      </c>
      <c r="T146" s="2723">
        <v>202600</v>
      </c>
      <c r="U146" s="2688">
        <v>3817</v>
      </c>
      <c r="V146" s="2724">
        <v>0.05</v>
      </c>
      <c r="W146" s="2722">
        <v>19.24</v>
      </c>
      <c r="X146" s="2723">
        <v>192400</v>
      </c>
      <c r="Y146" s="2745">
        <v>2005</v>
      </c>
      <c r="Z146" s="2745">
        <v>1</v>
      </c>
      <c r="AA146" s="2688">
        <v>28</v>
      </c>
      <c r="AB146" s="2688">
        <v>605</v>
      </c>
      <c r="AC146" s="2688" t="s">
        <v>1605</v>
      </c>
      <c r="AD146" s="2697"/>
      <c r="AE146" s="2697" t="s">
        <v>175</v>
      </c>
      <c r="AF146" s="2697" t="s">
        <v>1068</v>
      </c>
      <c r="AG146" s="2697" t="s">
        <v>1069</v>
      </c>
      <c r="AH146" s="2697"/>
      <c r="AI146" s="2697" t="s">
        <v>1070</v>
      </c>
      <c r="AJ146" s="2760"/>
      <c r="AK146" s="2755" t="s">
        <v>1087</v>
      </c>
      <c r="AL146" s="2745">
        <v>82253558</v>
      </c>
      <c r="AM146" s="2745"/>
      <c r="AN146" s="2747" t="s">
        <v>1072</v>
      </c>
      <c r="AO146" s="2697"/>
      <c r="AP146" s="2697" t="s">
        <v>175</v>
      </c>
      <c r="AQ146" s="2688" t="s">
        <v>1074</v>
      </c>
      <c r="AR146" s="2697" t="s">
        <v>1114</v>
      </c>
      <c r="AS146" s="2697" t="s">
        <v>1114</v>
      </c>
      <c r="AT146" s="2697" t="s">
        <v>1114</v>
      </c>
      <c r="AU146" s="2697"/>
      <c r="AV146" s="2697"/>
      <c r="AW146" s="2688" t="s">
        <v>1250</v>
      </c>
      <c r="AX146" s="2697"/>
      <c r="AY146" s="2696"/>
      <c r="AZ146" s="2691" t="s">
        <v>2155</v>
      </c>
      <c r="BA146" s="2691"/>
      <c r="BB146" s="2691"/>
      <c r="BC146" s="2691"/>
      <c r="BD146" s="2697"/>
      <c r="BE146" s="2697" t="s">
        <v>1114</v>
      </c>
      <c r="BF146" s="2697"/>
      <c r="BG146" s="2760">
        <v>38360</v>
      </c>
      <c r="BH146" s="2697"/>
      <c r="BI146" s="2688" t="s">
        <v>175</v>
      </c>
      <c r="BJ146" s="2760">
        <v>38377</v>
      </c>
      <c r="BK146" s="2760"/>
      <c r="BL146" s="2745" t="s">
        <v>1092</v>
      </c>
      <c r="BM146" s="2697" t="s">
        <v>888</v>
      </c>
      <c r="BN146" s="2697" t="s">
        <v>1077</v>
      </c>
      <c r="BO146" s="2745" t="s">
        <v>1149</v>
      </c>
      <c r="BP146" s="2697"/>
      <c r="BQ146" s="2745" t="e">
        <v>#DIV/0!</v>
      </c>
      <c r="BR146" s="2745" t="e">
        <v>#DIV/0!</v>
      </c>
    </row>
    <row r="147" s="2504" customFormat="1" ht="12" hidden="1" spans="1:70">
      <c r="A147" s="2688" t="s">
        <v>2156</v>
      </c>
      <c r="B147" s="2688" t="s">
        <v>2157</v>
      </c>
      <c r="C147" s="2689" t="s">
        <v>2158</v>
      </c>
      <c r="D147" s="2691">
        <v>13911838101</v>
      </c>
      <c r="E147" s="2688" t="s">
        <v>1060</v>
      </c>
      <c r="F147" s="2688" t="s">
        <v>2159</v>
      </c>
      <c r="G147" s="2688"/>
      <c r="H147" s="2747" t="s">
        <v>1180</v>
      </c>
      <c r="I147" s="2691"/>
      <c r="J147" s="2697" t="s">
        <v>2160</v>
      </c>
      <c r="K147" s="2688" t="s">
        <v>2157</v>
      </c>
      <c r="L147" s="2702">
        <v>132.59</v>
      </c>
      <c r="M147" s="2697">
        <v>4</v>
      </c>
      <c r="N147" s="2688" t="s">
        <v>1513</v>
      </c>
      <c r="O147" s="2688"/>
      <c r="P147" s="2688" t="s">
        <v>1065</v>
      </c>
      <c r="Q147" s="2726">
        <v>1030000</v>
      </c>
      <c r="R147" s="2712">
        <v>7768</v>
      </c>
      <c r="S147" s="2702">
        <v>69.5</v>
      </c>
      <c r="T147" s="2723">
        <v>695000</v>
      </c>
      <c r="U147" s="2726">
        <v>6418</v>
      </c>
      <c r="V147" s="2724">
        <v>0.05</v>
      </c>
      <c r="W147" s="2722">
        <v>66.02</v>
      </c>
      <c r="X147" s="2723">
        <v>660200</v>
      </c>
      <c r="Y147" s="2745">
        <v>2005</v>
      </c>
      <c r="Z147" s="2745">
        <v>2</v>
      </c>
      <c r="AA147" s="2688">
        <v>25</v>
      </c>
      <c r="AB147" s="2688">
        <v>1500</v>
      </c>
      <c r="AC147" s="2688" t="s">
        <v>1605</v>
      </c>
      <c r="AD147" s="2688"/>
      <c r="AE147" s="2688" t="s">
        <v>175</v>
      </c>
      <c r="AF147" s="2688" t="s">
        <v>1068</v>
      </c>
      <c r="AG147" s="2688" t="s">
        <v>1069</v>
      </c>
      <c r="AH147" s="2688"/>
      <c r="AI147" s="2688" t="s">
        <v>1070</v>
      </c>
      <c r="AJ147" s="2697"/>
      <c r="AK147" s="2755" t="s">
        <v>1088</v>
      </c>
      <c r="AL147" s="2688">
        <v>82253558</v>
      </c>
      <c r="AM147" s="2688"/>
      <c r="AN147" s="2688" t="s">
        <v>1088</v>
      </c>
      <c r="AO147" s="2688"/>
      <c r="AP147" s="2745" t="s">
        <v>1073</v>
      </c>
      <c r="AQ147" s="2745" t="s">
        <v>1089</v>
      </c>
      <c r="AR147" s="2688"/>
      <c r="AS147" s="2688"/>
      <c r="AT147" s="2688"/>
      <c r="AU147" s="2688"/>
      <c r="AV147" s="2688"/>
      <c r="AW147" s="2688" t="s">
        <v>1174</v>
      </c>
      <c r="AX147" s="2688"/>
      <c r="AY147" s="2747"/>
      <c r="AZ147" s="2688" t="s">
        <v>2161</v>
      </c>
      <c r="BA147" s="2688"/>
      <c r="BB147" s="2688"/>
      <c r="BC147" s="2688"/>
      <c r="BD147" s="2688"/>
      <c r="BE147" s="2688"/>
      <c r="BF147" s="2688"/>
      <c r="BG147" s="2760">
        <v>38376</v>
      </c>
      <c r="BH147" s="2688"/>
      <c r="BI147" s="2747" t="s">
        <v>175</v>
      </c>
      <c r="BJ147" s="2753">
        <v>38378</v>
      </c>
      <c r="BK147" s="2753"/>
      <c r="BL147" s="2688" t="s">
        <v>1092</v>
      </c>
      <c r="BM147" s="2745" t="s">
        <v>888</v>
      </c>
      <c r="BN147" s="2745" t="s">
        <v>1077</v>
      </c>
      <c r="BO147" s="2745" t="s">
        <v>1128</v>
      </c>
      <c r="BP147" s="2688"/>
      <c r="BQ147" s="2688"/>
      <c r="BR147" s="2688"/>
    </row>
    <row r="148" s="2504" customFormat="1" ht="12" hidden="1" spans="1:70">
      <c r="A148" s="2688" t="s">
        <v>2162</v>
      </c>
      <c r="B148" s="2688" t="s">
        <v>2163</v>
      </c>
      <c r="C148" s="2696" t="s">
        <v>2164</v>
      </c>
      <c r="D148" s="2691">
        <v>13911093589</v>
      </c>
      <c r="E148" s="2688" t="s">
        <v>1060</v>
      </c>
      <c r="F148" s="2688" t="s">
        <v>2165</v>
      </c>
      <c r="G148" s="2688" t="s">
        <v>1114</v>
      </c>
      <c r="H148" s="2688" t="s">
        <v>1305</v>
      </c>
      <c r="I148" s="2688"/>
      <c r="J148" s="2691" t="s">
        <v>1781</v>
      </c>
      <c r="K148" s="2688"/>
      <c r="L148" s="2702">
        <v>102.6</v>
      </c>
      <c r="M148" s="2697">
        <v>13</v>
      </c>
      <c r="N148" s="2691" t="s">
        <v>1123</v>
      </c>
      <c r="O148" s="2697"/>
      <c r="P148" s="2688" t="s">
        <v>1065</v>
      </c>
      <c r="Q148" s="2726">
        <v>370000</v>
      </c>
      <c r="R148" s="2685">
        <v>3606</v>
      </c>
      <c r="S148" s="2722">
        <v>37.93</v>
      </c>
      <c r="T148" s="2723">
        <v>379300</v>
      </c>
      <c r="U148" s="2726">
        <v>3697</v>
      </c>
      <c r="V148" s="2724">
        <v>0.05</v>
      </c>
      <c r="W148" s="2722">
        <v>36.03</v>
      </c>
      <c r="X148" s="2725">
        <v>360300</v>
      </c>
      <c r="Y148" s="2745">
        <v>2005</v>
      </c>
      <c r="Z148" s="2688">
        <v>3</v>
      </c>
      <c r="AA148" s="2688">
        <v>23</v>
      </c>
      <c r="AB148" s="2688">
        <v>1135</v>
      </c>
      <c r="AC148" s="2688" t="s">
        <v>2166</v>
      </c>
      <c r="AD148" s="2688"/>
      <c r="AE148" s="2747" t="s">
        <v>179</v>
      </c>
      <c r="AF148" s="2688" t="s">
        <v>1068</v>
      </c>
      <c r="AG148" s="2688" t="s">
        <v>1069</v>
      </c>
      <c r="AH148" s="2688"/>
      <c r="AI148" s="2688" t="s">
        <v>1070</v>
      </c>
      <c r="AJ148" s="2760"/>
      <c r="AK148" s="2755" t="s">
        <v>1072</v>
      </c>
      <c r="AL148" s="2745">
        <v>67641700</v>
      </c>
      <c r="AM148" s="2745"/>
      <c r="AN148" s="2747" t="s">
        <v>1182</v>
      </c>
      <c r="AO148" s="2745"/>
      <c r="AP148" s="2747" t="s">
        <v>1515</v>
      </c>
      <c r="AQ148" s="2747" t="s">
        <v>2167</v>
      </c>
      <c r="AR148" s="2688">
        <v>2005</v>
      </c>
      <c r="AS148" s="2688">
        <v>3</v>
      </c>
      <c r="AT148" s="2688">
        <v>23</v>
      </c>
      <c r="AU148" s="2688" t="s">
        <v>1675</v>
      </c>
      <c r="AV148" s="2765"/>
      <c r="AW148" s="2688" t="s">
        <v>1075</v>
      </c>
      <c r="AX148" s="2688" t="s">
        <v>1114</v>
      </c>
      <c r="AY148" s="2697"/>
      <c r="AZ148" s="2688" t="s">
        <v>2168</v>
      </c>
      <c r="BA148" s="2688"/>
      <c r="BB148" s="2825"/>
      <c r="BC148" s="2688"/>
      <c r="BD148" s="2688"/>
      <c r="BE148" s="2688"/>
      <c r="BF148" s="2708"/>
      <c r="BG148" s="2760">
        <v>38381</v>
      </c>
      <c r="BH148" s="2688"/>
      <c r="BI148" s="2747" t="s">
        <v>1191</v>
      </c>
      <c r="BJ148" s="2789">
        <v>38384</v>
      </c>
      <c r="BK148" s="2753"/>
      <c r="BL148" s="2745"/>
      <c r="BM148" s="2745" t="s">
        <v>2169</v>
      </c>
      <c r="BN148" s="2745" t="s">
        <v>1077</v>
      </c>
      <c r="BO148" s="2745" t="s">
        <v>1128</v>
      </c>
      <c r="BP148" s="2745"/>
      <c r="BQ148" s="2745" t="e">
        <v>#DIV/0!</v>
      </c>
      <c r="BR148" s="2745" t="e">
        <v>#DIV/0!</v>
      </c>
    </row>
    <row r="149" s="2504" customFormat="1" ht="12" hidden="1" spans="1:70">
      <c r="A149" s="2688" t="s">
        <v>2170</v>
      </c>
      <c r="B149" s="2688" t="s">
        <v>2171</v>
      </c>
      <c r="C149" s="2689" t="s">
        <v>2172</v>
      </c>
      <c r="D149" s="2691">
        <v>13910152188</v>
      </c>
      <c r="E149" s="2688" t="s">
        <v>1060</v>
      </c>
      <c r="F149" s="2688" t="s">
        <v>1521</v>
      </c>
      <c r="G149" s="2688"/>
      <c r="H149" s="2688" t="s">
        <v>1155</v>
      </c>
      <c r="I149" s="2688"/>
      <c r="J149" s="2688" t="s">
        <v>2173</v>
      </c>
      <c r="K149" s="2688"/>
      <c r="L149" s="2702">
        <v>138.21</v>
      </c>
      <c r="M149" s="2688">
        <v>1</v>
      </c>
      <c r="N149" s="2691" t="s">
        <v>1232</v>
      </c>
      <c r="O149" s="2688"/>
      <c r="P149" s="2688" t="s">
        <v>1065</v>
      </c>
      <c r="Q149" s="2726">
        <v>695000</v>
      </c>
      <c r="R149" s="2688">
        <v>5029</v>
      </c>
      <c r="S149" s="2722">
        <v>75.46</v>
      </c>
      <c r="T149" s="2723">
        <v>754600</v>
      </c>
      <c r="U149" s="2726">
        <v>5460</v>
      </c>
      <c r="V149" s="2724">
        <v>0.05</v>
      </c>
      <c r="W149" s="2722">
        <v>71.68</v>
      </c>
      <c r="X149" s="2725">
        <v>716800</v>
      </c>
      <c r="Y149" s="2745">
        <v>2005</v>
      </c>
      <c r="Z149" s="2745">
        <v>3</v>
      </c>
      <c r="AA149" s="2688">
        <v>17</v>
      </c>
      <c r="AB149" s="2688">
        <v>1500</v>
      </c>
      <c r="AC149" s="2688" t="s">
        <v>1066</v>
      </c>
      <c r="AD149" s="2688"/>
      <c r="AE149" s="2688" t="s">
        <v>1067</v>
      </c>
      <c r="AF149" s="2688" t="s">
        <v>1068</v>
      </c>
      <c r="AG149" s="2747" t="s">
        <v>1069</v>
      </c>
      <c r="AH149" s="2688" t="s">
        <v>2174</v>
      </c>
      <c r="AI149" s="2688" t="s">
        <v>1070</v>
      </c>
      <c r="AJ149" s="2760"/>
      <c r="AK149" s="2755" t="s">
        <v>1072</v>
      </c>
      <c r="AL149" s="2688">
        <v>82253558</v>
      </c>
      <c r="AM149" s="2688"/>
      <c r="AN149" s="2747" t="s">
        <v>1072</v>
      </c>
      <c r="AO149" s="2688"/>
      <c r="AP149" s="2745" t="s">
        <v>1073</v>
      </c>
      <c r="AQ149" s="2745" t="s">
        <v>1089</v>
      </c>
      <c r="AR149" s="2688"/>
      <c r="AS149" s="2688"/>
      <c r="AT149" s="2688"/>
      <c r="AU149" s="2688"/>
      <c r="AV149" s="2688"/>
      <c r="AW149" s="2688"/>
      <c r="AX149" s="2688"/>
      <c r="AY149" s="2689"/>
      <c r="AZ149" s="2688" t="s">
        <v>2175</v>
      </c>
      <c r="BA149" s="2688"/>
      <c r="BB149" s="2689"/>
      <c r="BC149" s="2688"/>
      <c r="BD149" s="2771"/>
      <c r="BE149" s="2688"/>
      <c r="BF149" s="2793"/>
      <c r="BG149" s="2760">
        <v>38406</v>
      </c>
      <c r="BH149" s="2688"/>
      <c r="BI149" s="2747" t="s">
        <v>1067</v>
      </c>
      <c r="BJ149" s="2753">
        <v>38407</v>
      </c>
      <c r="BK149" s="2794"/>
      <c r="BL149" s="2688"/>
      <c r="BM149" s="2745" t="s">
        <v>2176</v>
      </c>
      <c r="BN149" s="2745" t="s">
        <v>1077</v>
      </c>
      <c r="BO149" s="2745" t="s">
        <v>1234</v>
      </c>
      <c r="BP149" s="2745"/>
      <c r="BQ149" s="2745"/>
      <c r="BR149" s="2745"/>
    </row>
    <row r="150" s="2504" customFormat="1" ht="12" hidden="1" spans="1:70">
      <c r="A150" s="2691" t="s">
        <v>2177</v>
      </c>
      <c r="B150" s="2688" t="s">
        <v>2178</v>
      </c>
      <c r="C150" s="2689" t="s">
        <v>2179</v>
      </c>
      <c r="D150" s="2689" t="s">
        <v>2180</v>
      </c>
      <c r="E150" s="2688" t="s">
        <v>1060</v>
      </c>
      <c r="F150" s="2809" t="s">
        <v>1475</v>
      </c>
      <c r="G150" s="2688"/>
      <c r="H150" s="2688" t="s">
        <v>1155</v>
      </c>
      <c r="I150" s="2688" t="s">
        <v>1099</v>
      </c>
      <c r="J150" s="2689" t="s">
        <v>1382</v>
      </c>
      <c r="K150" s="2688" t="s">
        <v>2181</v>
      </c>
      <c r="L150" s="2688">
        <v>99.86</v>
      </c>
      <c r="M150" s="2688">
        <v>2</v>
      </c>
      <c r="N150" s="2688" t="s">
        <v>1123</v>
      </c>
      <c r="O150" s="2688"/>
      <c r="P150" s="2688" t="s">
        <v>1065</v>
      </c>
      <c r="Q150" s="2712">
        <v>655000</v>
      </c>
      <c r="R150" s="2688">
        <v>6559</v>
      </c>
      <c r="S150" s="2722">
        <v>61.09</v>
      </c>
      <c r="T150" s="2723">
        <v>610900</v>
      </c>
      <c r="U150" s="2688">
        <v>6118</v>
      </c>
      <c r="V150" s="2724">
        <v>0.05</v>
      </c>
      <c r="W150" s="2722">
        <v>58.03</v>
      </c>
      <c r="X150" s="2725">
        <v>580300</v>
      </c>
      <c r="Y150" s="2745">
        <v>2005</v>
      </c>
      <c r="Z150" s="2745">
        <v>3</v>
      </c>
      <c r="AA150" s="2745">
        <v>16</v>
      </c>
      <c r="AB150" s="2688">
        <v>1500</v>
      </c>
      <c r="AC150" s="2688" t="s">
        <v>1605</v>
      </c>
      <c r="AD150" s="2688"/>
      <c r="AE150" s="2688" t="s">
        <v>175</v>
      </c>
      <c r="AF150" s="2688" t="s">
        <v>1068</v>
      </c>
      <c r="AG150" s="2688" t="s">
        <v>1069</v>
      </c>
      <c r="AH150" s="2688"/>
      <c r="AI150" s="2688" t="s">
        <v>1342</v>
      </c>
      <c r="AJ150" s="2753"/>
      <c r="AK150" s="2755" t="s">
        <v>1072</v>
      </c>
      <c r="AL150" s="2745">
        <v>82253558</v>
      </c>
      <c r="AM150" s="2745"/>
      <c r="AN150" s="2745" t="s">
        <v>1072</v>
      </c>
      <c r="AO150" s="2745"/>
      <c r="AP150" s="2745" t="s">
        <v>1073</v>
      </c>
      <c r="AQ150" s="2745" t="s">
        <v>1089</v>
      </c>
      <c r="AR150" s="2745"/>
      <c r="AS150" s="2745"/>
      <c r="AT150" s="2745"/>
      <c r="AU150" s="2745"/>
      <c r="AV150" s="2745"/>
      <c r="AW150" s="2745"/>
      <c r="AX150" s="2745"/>
      <c r="AY150" s="2769"/>
      <c r="AZ150" s="2745"/>
      <c r="BA150" s="2745"/>
      <c r="BB150" s="2769"/>
      <c r="BC150" s="2745"/>
      <c r="BD150" s="2770"/>
      <c r="BE150" s="2745"/>
      <c r="BF150" s="2788"/>
      <c r="BG150" s="2790">
        <v>38413</v>
      </c>
      <c r="BH150" s="2745"/>
      <c r="BI150" s="2748" t="s">
        <v>175</v>
      </c>
      <c r="BJ150" s="2789">
        <v>38413</v>
      </c>
      <c r="BK150" s="2789"/>
      <c r="BL150" s="2688"/>
      <c r="BM150" s="2745" t="s">
        <v>888</v>
      </c>
      <c r="BN150" s="2745" t="s">
        <v>1077</v>
      </c>
      <c r="BO150" s="2745" t="s">
        <v>1128</v>
      </c>
      <c r="BP150" s="2745"/>
      <c r="BQ150" s="2745"/>
      <c r="BR150" s="2745"/>
    </row>
    <row r="151" s="2506" customFormat="1" ht="12" hidden="1" spans="1:73">
      <c r="A151" s="2685" t="s">
        <v>2182</v>
      </c>
      <c r="B151" s="2685" t="s">
        <v>2183</v>
      </c>
      <c r="C151" s="2686" t="s">
        <v>2184</v>
      </c>
      <c r="D151" s="2686" t="s">
        <v>2185</v>
      </c>
      <c r="E151" s="2685" t="s">
        <v>1060</v>
      </c>
      <c r="F151" s="2687" t="s">
        <v>2186</v>
      </c>
      <c r="G151" s="2685"/>
      <c r="H151" s="2685" t="s">
        <v>1062</v>
      </c>
      <c r="I151" s="2685" t="s">
        <v>1099</v>
      </c>
      <c r="J151" s="2686" t="s">
        <v>1268</v>
      </c>
      <c r="K151" s="2685" t="s">
        <v>2183</v>
      </c>
      <c r="L151" s="2685">
        <v>77.7</v>
      </c>
      <c r="M151" s="2685">
        <v>5</v>
      </c>
      <c r="N151" s="2685" t="s">
        <v>1290</v>
      </c>
      <c r="O151" s="2685"/>
      <c r="P151" s="2685" t="s">
        <v>1065</v>
      </c>
      <c r="Q151" s="2716">
        <v>230000</v>
      </c>
      <c r="R151" s="2685">
        <v>2960</v>
      </c>
      <c r="S151" s="2717">
        <v>41.77</v>
      </c>
      <c r="T151" s="2718">
        <v>417700</v>
      </c>
      <c r="U151" s="2685">
        <v>5377</v>
      </c>
      <c r="V151" s="2719">
        <v>0.05</v>
      </c>
      <c r="W151" s="2717">
        <v>39.68</v>
      </c>
      <c r="X151" s="2720">
        <v>396800</v>
      </c>
      <c r="Y151" s="2744">
        <v>2005</v>
      </c>
      <c r="Z151" s="2744">
        <v>3</v>
      </c>
      <c r="AA151" s="2744">
        <v>7</v>
      </c>
      <c r="AB151" s="2685">
        <v>1250</v>
      </c>
      <c r="AC151" s="2685" t="s">
        <v>1605</v>
      </c>
      <c r="AD151" s="2685"/>
      <c r="AE151" s="2744" t="s">
        <v>1067</v>
      </c>
      <c r="AF151" s="2685" t="s">
        <v>1068</v>
      </c>
      <c r="AG151" s="2685" t="s">
        <v>1069</v>
      </c>
      <c r="AH151" s="2685"/>
      <c r="AI151" s="2685" t="s">
        <v>1070</v>
      </c>
      <c r="AJ151" s="2751"/>
      <c r="AK151" s="2756" t="s">
        <v>1072</v>
      </c>
      <c r="AL151" s="2744">
        <v>82253558</v>
      </c>
      <c r="AM151" s="2744"/>
      <c r="AN151" s="2744"/>
      <c r="AO151" s="2744"/>
      <c r="AP151" s="2685" t="s">
        <v>1073</v>
      </c>
      <c r="AQ151" s="2685" t="s">
        <v>1074</v>
      </c>
      <c r="AR151" s="2744"/>
      <c r="AS151" s="2744"/>
      <c r="AT151" s="2744"/>
      <c r="AU151" s="2744"/>
      <c r="AV151" s="2744"/>
      <c r="AW151" s="2744"/>
      <c r="AX151" s="2744"/>
      <c r="AY151" s="2767"/>
      <c r="AZ151" s="2744"/>
      <c r="BA151" s="2744"/>
      <c r="BB151" s="2767"/>
      <c r="BC151" s="2744"/>
      <c r="BD151" s="2768"/>
      <c r="BE151" s="2744"/>
      <c r="BF151" s="2784"/>
      <c r="BG151" s="2785">
        <v>38380</v>
      </c>
      <c r="BH151" s="2744"/>
      <c r="BI151" s="2744" t="s">
        <v>1067</v>
      </c>
      <c r="BJ151" s="2787">
        <v>38413</v>
      </c>
      <c r="BK151" s="2787"/>
      <c r="BL151" s="2685"/>
      <c r="BM151" s="2744" t="s">
        <v>2187</v>
      </c>
      <c r="BN151" s="2744" t="s">
        <v>1077</v>
      </c>
      <c r="BO151" s="2744" t="s">
        <v>1128</v>
      </c>
      <c r="BP151" s="2744"/>
      <c r="BQ151" s="2744" t="e">
        <v>#DIV/0!</v>
      </c>
      <c r="BR151" s="2744" t="e">
        <v>#DIV/0!</v>
      </c>
      <c r="BS151" s="2504"/>
      <c r="BT151" s="2504"/>
      <c r="BU151" s="2504"/>
    </row>
    <row r="152" s="2505" customFormat="1" ht="12" hidden="1" spans="1:73">
      <c r="A152" s="2688" t="s">
        <v>2188</v>
      </c>
      <c r="B152" s="2688" t="s">
        <v>2189</v>
      </c>
      <c r="C152" s="2689" t="s">
        <v>2190</v>
      </c>
      <c r="D152" s="2689" t="s">
        <v>2191</v>
      </c>
      <c r="E152" s="2688" t="s">
        <v>1060</v>
      </c>
      <c r="F152" s="2690" t="s">
        <v>2192</v>
      </c>
      <c r="G152" s="2688"/>
      <c r="H152" s="2688" t="s">
        <v>1391</v>
      </c>
      <c r="I152" s="2688" t="s">
        <v>1196</v>
      </c>
      <c r="J152" s="2689" t="s">
        <v>2193</v>
      </c>
      <c r="K152" s="2688" t="s">
        <v>2189</v>
      </c>
      <c r="L152" s="2688">
        <v>80.4</v>
      </c>
      <c r="M152" s="2688">
        <v>5</v>
      </c>
      <c r="N152" s="2688" t="s">
        <v>1123</v>
      </c>
      <c r="O152" s="2688">
        <v>55.38</v>
      </c>
      <c r="P152" s="2688" t="s">
        <v>1065</v>
      </c>
      <c r="Q152" s="2712">
        <v>500000</v>
      </c>
      <c r="R152" s="2688">
        <v>6219</v>
      </c>
      <c r="S152" s="2722">
        <v>47.95</v>
      </c>
      <c r="T152" s="2723">
        <v>479500</v>
      </c>
      <c r="U152" s="2688">
        <v>5965</v>
      </c>
      <c r="V152" s="2724">
        <v>0.05</v>
      </c>
      <c r="W152" s="2722">
        <v>45.55</v>
      </c>
      <c r="X152" s="2725">
        <v>455500</v>
      </c>
      <c r="Y152" s="2745">
        <v>2005</v>
      </c>
      <c r="Z152" s="2745">
        <v>3</v>
      </c>
      <c r="AA152" s="2745">
        <v>3</v>
      </c>
      <c r="AB152" s="2688">
        <v>1435</v>
      </c>
      <c r="AC152" s="2688" t="s">
        <v>1605</v>
      </c>
      <c r="AD152" s="2688"/>
      <c r="AE152" s="2745" t="s">
        <v>175</v>
      </c>
      <c r="AF152" s="2688" t="s">
        <v>1068</v>
      </c>
      <c r="AG152" s="2688" t="s">
        <v>1069</v>
      </c>
      <c r="AH152" s="2688" t="s">
        <v>2194</v>
      </c>
      <c r="AI152" s="2688"/>
      <c r="AJ152" s="2753"/>
      <c r="AK152" s="2754" t="s">
        <v>1072</v>
      </c>
      <c r="AL152" s="2745">
        <v>82253558</v>
      </c>
      <c r="AM152" s="2745"/>
      <c r="AN152" s="2745" t="s">
        <v>1088</v>
      </c>
      <c r="AO152" s="2745"/>
      <c r="AP152" s="2688" t="s">
        <v>1208</v>
      </c>
      <c r="AQ152" s="2688" t="s">
        <v>1074</v>
      </c>
      <c r="AR152" s="2745"/>
      <c r="AS152" s="2745"/>
      <c r="AT152" s="2745"/>
      <c r="AU152" s="2745"/>
      <c r="AV152" s="2745"/>
      <c r="AW152" s="2745" t="s">
        <v>1075</v>
      </c>
      <c r="AX152" s="2745"/>
      <c r="AY152" s="2769"/>
      <c r="AZ152" s="2745" t="s">
        <v>2195</v>
      </c>
      <c r="BA152" s="2745"/>
      <c r="BB152" s="2769"/>
      <c r="BC152" s="2745"/>
      <c r="BD152" s="2770"/>
      <c r="BE152" s="2745"/>
      <c r="BF152" s="2788"/>
      <c r="BG152" s="2790">
        <v>38405</v>
      </c>
      <c r="BH152" s="2745"/>
      <c r="BI152" s="2745" t="s">
        <v>1639</v>
      </c>
      <c r="BJ152" s="2789">
        <v>38414</v>
      </c>
      <c r="BK152" s="2789"/>
      <c r="BL152" s="2688" t="s">
        <v>1092</v>
      </c>
      <c r="BM152" s="2745" t="s">
        <v>888</v>
      </c>
      <c r="BN152" s="2745" t="s">
        <v>1077</v>
      </c>
      <c r="BO152" s="2745" t="s">
        <v>2196</v>
      </c>
      <c r="BP152" s="2745"/>
      <c r="BQ152" s="2745">
        <v>8660</v>
      </c>
      <c r="BR152" s="2745">
        <v>9029</v>
      </c>
      <c r="BS152" s="2504"/>
      <c r="BT152" s="2504"/>
      <c r="BU152" s="2504"/>
    </row>
    <row r="153" s="2504" customFormat="1" ht="12" hidden="1" spans="1:70">
      <c r="A153" s="2688" t="s">
        <v>2197</v>
      </c>
      <c r="B153" s="2691" t="s">
        <v>2198</v>
      </c>
      <c r="C153" s="2689" t="s">
        <v>2199</v>
      </c>
      <c r="D153" s="2691" t="s">
        <v>2200</v>
      </c>
      <c r="E153" s="2691" t="s">
        <v>1060</v>
      </c>
      <c r="F153" s="2691" t="s">
        <v>2201</v>
      </c>
      <c r="G153" s="2691"/>
      <c r="H153" s="2691" t="s">
        <v>1221</v>
      </c>
      <c r="I153" s="2691"/>
      <c r="J153" s="2691" t="s">
        <v>1586</v>
      </c>
      <c r="K153" s="2691" t="s">
        <v>2202</v>
      </c>
      <c r="L153" s="2697">
        <v>78.5</v>
      </c>
      <c r="M153" s="2697">
        <v>4</v>
      </c>
      <c r="N153" s="2688" t="s">
        <v>1064</v>
      </c>
      <c r="O153" s="2697"/>
      <c r="P153" s="2691" t="s">
        <v>1065</v>
      </c>
      <c r="Q153" s="2712">
        <v>435000</v>
      </c>
      <c r="R153" s="2688">
        <v>5541</v>
      </c>
      <c r="S153" s="2722">
        <v>42.8</v>
      </c>
      <c r="T153" s="2723">
        <v>428000</v>
      </c>
      <c r="U153" s="2688">
        <v>5453</v>
      </c>
      <c r="V153" s="2724">
        <v>0.05</v>
      </c>
      <c r="W153" s="2722">
        <v>40.66</v>
      </c>
      <c r="X153" s="2725">
        <v>406600</v>
      </c>
      <c r="Y153" s="2745">
        <v>2005</v>
      </c>
      <c r="Z153" s="2745">
        <v>3</v>
      </c>
      <c r="AA153" s="2745">
        <v>24</v>
      </c>
      <c r="AB153" s="2688">
        <v>1280</v>
      </c>
      <c r="AC153" s="2688" t="s">
        <v>1605</v>
      </c>
      <c r="AD153" s="2691"/>
      <c r="AE153" s="2691" t="s">
        <v>179</v>
      </c>
      <c r="AF153" s="2691" t="s">
        <v>1068</v>
      </c>
      <c r="AG153" s="2691" t="s">
        <v>1069</v>
      </c>
      <c r="AH153" s="2691"/>
      <c r="AI153" s="2691" t="s">
        <v>1070</v>
      </c>
      <c r="AJ153" s="2760"/>
      <c r="AK153" s="2755">
        <v>3</v>
      </c>
      <c r="AL153" s="2745">
        <v>67641700</v>
      </c>
      <c r="AM153" s="2745"/>
      <c r="AN153" s="2747" t="s">
        <v>1182</v>
      </c>
      <c r="AO153" s="2688" t="s">
        <v>2203</v>
      </c>
      <c r="AP153" s="2747" t="s">
        <v>1515</v>
      </c>
      <c r="AQ153" s="2745" t="s">
        <v>1074</v>
      </c>
      <c r="AR153" s="2688"/>
      <c r="AS153" s="2688"/>
      <c r="AT153" s="2688"/>
      <c r="AU153" s="2688"/>
      <c r="AV153" s="2765"/>
      <c r="AW153" s="2745" t="s">
        <v>1075</v>
      </c>
      <c r="AX153" s="2745"/>
      <c r="AY153" s="2769"/>
      <c r="AZ153" s="2688" t="s">
        <v>2202</v>
      </c>
      <c r="BA153" s="2774"/>
      <c r="BB153" s="2775"/>
      <c r="BC153" s="2774"/>
      <c r="BD153" s="2776"/>
      <c r="BE153" s="2745"/>
      <c r="BF153" s="2788"/>
      <c r="BG153" s="2798">
        <v>38422</v>
      </c>
      <c r="BH153" s="2688"/>
      <c r="BI153" s="2745" t="s">
        <v>1067</v>
      </c>
      <c r="BJ153" s="2789">
        <v>38432</v>
      </c>
      <c r="BK153" s="2753"/>
      <c r="BL153" s="2745"/>
      <c r="BM153" s="2688" t="s">
        <v>888</v>
      </c>
      <c r="BN153" s="2688" t="s">
        <v>1148</v>
      </c>
      <c r="BO153" s="2688" t="s">
        <v>1128</v>
      </c>
      <c r="BP153" s="2745"/>
      <c r="BQ153" s="2745" t="e">
        <v>#DIV/0!</v>
      </c>
      <c r="BR153" s="2745" t="e">
        <v>#DIV/0!</v>
      </c>
    </row>
    <row r="154" s="2504" customFormat="1" ht="12" hidden="1" spans="1:70">
      <c r="A154" s="2688" t="s">
        <v>2204</v>
      </c>
      <c r="B154" s="2688" t="s">
        <v>2205</v>
      </c>
      <c r="C154" s="2696" t="s">
        <v>2206</v>
      </c>
      <c r="D154" s="2688" t="s">
        <v>2207</v>
      </c>
      <c r="E154" s="2688" t="s">
        <v>1060</v>
      </c>
      <c r="F154" s="2688" t="s">
        <v>2208</v>
      </c>
      <c r="G154" s="2688"/>
      <c r="H154" s="2691"/>
      <c r="I154" s="2691"/>
      <c r="J154" s="2691" t="s">
        <v>2209</v>
      </c>
      <c r="K154" s="2691" t="s">
        <v>2205</v>
      </c>
      <c r="L154" s="2697">
        <v>46.54</v>
      </c>
      <c r="M154" s="2697">
        <v>4</v>
      </c>
      <c r="N154" s="2688" t="s">
        <v>1259</v>
      </c>
      <c r="O154" s="2697"/>
      <c r="P154" s="2688" t="s">
        <v>1065</v>
      </c>
      <c r="Q154" s="2712">
        <v>300000</v>
      </c>
      <c r="R154" s="2688">
        <v>6446</v>
      </c>
      <c r="S154" s="2722">
        <v>27.37</v>
      </c>
      <c r="T154" s="2738">
        <v>273700</v>
      </c>
      <c r="U154" s="2688">
        <v>5881</v>
      </c>
      <c r="V154" s="2724">
        <v>0.05</v>
      </c>
      <c r="W154" s="2722">
        <v>26</v>
      </c>
      <c r="X154" s="2725">
        <v>260000</v>
      </c>
      <c r="Y154" s="2745">
        <v>2005</v>
      </c>
      <c r="Z154" s="2745">
        <v>3</v>
      </c>
      <c r="AA154" s="2745">
        <v>21</v>
      </c>
      <c r="AB154" s="2688">
        <v>820</v>
      </c>
      <c r="AC154" s="2688" t="s">
        <v>1605</v>
      </c>
      <c r="AD154" s="2688"/>
      <c r="AE154" s="2747" t="s">
        <v>179</v>
      </c>
      <c r="AF154" s="2691" t="s">
        <v>1068</v>
      </c>
      <c r="AG154" s="2688" t="s">
        <v>1069</v>
      </c>
      <c r="AH154" s="2688"/>
      <c r="AI154" s="2747" t="s">
        <v>1070</v>
      </c>
      <c r="AJ154" s="2760"/>
      <c r="AK154" s="2755" t="s">
        <v>1072</v>
      </c>
      <c r="AL154" s="2745">
        <v>82253558</v>
      </c>
      <c r="AM154" s="2745"/>
      <c r="AN154" s="2747" t="s">
        <v>1182</v>
      </c>
      <c r="AO154" s="2688"/>
      <c r="AP154" s="2688" t="s">
        <v>1515</v>
      </c>
      <c r="AQ154" s="2747" t="s">
        <v>1074</v>
      </c>
      <c r="AR154" s="2688"/>
      <c r="AS154" s="2688"/>
      <c r="AT154" s="2688"/>
      <c r="AU154" s="2688"/>
      <c r="AV154" s="2765"/>
      <c r="AW154" s="2745"/>
      <c r="AX154" s="2745"/>
      <c r="AY154" s="2769"/>
      <c r="AZ154" s="2688" t="s">
        <v>2210</v>
      </c>
      <c r="BA154" s="2774"/>
      <c r="BB154" s="2775"/>
      <c r="BC154" s="2774"/>
      <c r="BD154" s="2776"/>
      <c r="BE154" s="2745"/>
      <c r="BF154" s="2788"/>
      <c r="BG154" s="2798">
        <v>38322</v>
      </c>
      <c r="BH154" s="2688"/>
      <c r="BI154" s="2745" t="s">
        <v>1067</v>
      </c>
      <c r="BJ154" s="2789">
        <v>38425</v>
      </c>
      <c r="BK154" s="2753"/>
      <c r="BL154" s="2745"/>
      <c r="BM154" s="2745" t="s">
        <v>888</v>
      </c>
      <c r="BN154" s="2745" t="s">
        <v>1077</v>
      </c>
      <c r="BO154" s="2745" t="s">
        <v>1128</v>
      </c>
      <c r="BP154" s="2744"/>
      <c r="BQ154" s="2745" t="e">
        <v>#DIV/0!</v>
      </c>
      <c r="BR154" s="2745" t="e">
        <v>#DIV/0!</v>
      </c>
    </row>
    <row r="155" s="2504" customFormat="1" ht="12" hidden="1" spans="1:70">
      <c r="A155" s="2688" t="s">
        <v>2211</v>
      </c>
      <c r="B155" s="2691" t="s">
        <v>2212</v>
      </c>
      <c r="C155" s="2689" t="s">
        <v>2213</v>
      </c>
      <c r="D155" s="2691" t="s">
        <v>2214</v>
      </c>
      <c r="E155" s="2691" t="s">
        <v>1060</v>
      </c>
      <c r="F155" s="2691" t="s">
        <v>2215</v>
      </c>
      <c r="G155" s="2691"/>
      <c r="H155" s="2691" t="s">
        <v>1239</v>
      </c>
      <c r="I155" s="2691" t="s">
        <v>1392</v>
      </c>
      <c r="J155" s="2691" t="s">
        <v>1197</v>
      </c>
      <c r="K155" s="2691" t="s">
        <v>2216</v>
      </c>
      <c r="L155" s="2697">
        <v>85.49</v>
      </c>
      <c r="M155" s="2697">
        <v>2</v>
      </c>
      <c r="N155" s="2688" t="s">
        <v>1123</v>
      </c>
      <c r="O155" s="2697"/>
      <c r="P155" s="2691" t="s">
        <v>1065</v>
      </c>
      <c r="Q155" s="2712">
        <v>440000</v>
      </c>
      <c r="R155" s="2688">
        <v>5147</v>
      </c>
      <c r="S155" s="2722">
        <v>42.89</v>
      </c>
      <c r="T155" s="2723">
        <v>428900</v>
      </c>
      <c r="U155" s="2688">
        <v>5017</v>
      </c>
      <c r="V155" s="2724">
        <v>0.05</v>
      </c>
      <c r="W155" s="2722">
        <v>40.74</v>
      </c>
      <c r="X155" s="2725">
        <v>407400</v>
      </c>
      <c r="Y155" s="2745">
        <v>2005</v>
      </c>
      <c r="Z155" s="2745">
        <v>3</v>
      </c>
      <c r="AA155" s="2745">
        <v>24</v>
      </c>
      <c r="AB155" s="2688">
        <v>1285</v>
      </c>
      <c r="AC155" s="2688" t="s">
        <v>1605</v>
      </c>
      <c r="AD155" s="2691"/>
      <c r="AE155" s="2691" t="s">
        <v>179</v>
      </c>
      <c r="AF155" s="2691" t="s">
        <v>1068</v>
      </c>
      <c r="AG155" s="2691" t="s">
        <v>1069</v>
      </c>
      <c r="AH155" s="2691"/>
      <c r="AI155" s="2691" t="s">
        <v>1070</v>
      </c>
      <c r="AJ155" s="2760"/>
      <c r="AK155" s="2755">
        <v>3</v>
      </c>
      <c r="AL155" s="2745">
        <v>67641700</v>
      </c>
      <c r="AM155" s="2745"/>
      <c r="AN155" s="2747" t="s">
        <v>1182</v>
      </c>
      <c r="AO155" s="2688" t="s">
        <v>2217</v>
      </c>
      <c r="AP155" s="2747" t="s">
        <v>1515</v>
      </c>
      <c r="AQ155" s="2745" t="s">
        <v>1074</v>
      </c>
      <c r="AR155" s="2688"/>
      <c r="AS155" s="2688"/>
      <c r="AT155" s="2688"/>
      <c r="AU155" s="2688"/>
      <c r="AV155" s="2765"/>
      <c r="AW155" s="2745" t="s">
        <v>1075</v>
      </c>
      <c r="AX155" s="2745"/>
      <c r="AY155" s="2769"/>
      <c r="AZ155" s="2688" t="s">
        <v>2216</v>
      </c>
      <c r="BA155" s="2774"/>
      <c r="BB155" s="2775"/>
      <c r="BC155" s="2774"/>
      <c r="BD155" s="2776"/>
      <c r="BE155" s="2745"/>
      <c r="BF155" s="2788"/>
      <c r="BG155" s="2798">
        <v>38428</v>
      </c>
      <c r="BH155" s="2688"/>
      <c r="BI155" s="2745" t="s">
        <v>1067</v>
      </c>
      <c r="BJ155" s="2789">
        <v>38433</v>
      </c>
      <c r="BK155" s="2753"/>
      <c r="BL155" s="2745"/>
      <c r="BM155" s="2688" t="s">
        <v>888</v>
      </c>
      <c r="BN155" s="2688" t="s">
        <v>1077</v>
      </c>
      <c r="BO155" s="2688" t="s">
        <v>1128</v>
      </c>
      <c r="BP155" s="2745"/>
      <c r="BQ155" s="2745" t="e">
        <v>#DIV/0!</v>
      </c>
      <c r="BR155" s="2745" t="e">
        <v>#DIV/0!</v>
      </c>
    </row>
    <row r="156" s="2506" customFormat="1" ht="12" hidden="1" spans="1:73">
      <c r="A156" s="2685" t="s">
        <v>2218</v>
      </c>
      <c r="B156" s="2685" t="s">
        <v>2219</v>
      </c>
      <c r="C156" s="2686" t="s">
        <v>2220</v>
      </c>
      <c r="D156" s="2686" t="s">
        <v>2221</v>
      </c>
      <c r="E156" s="2685" t="s">
        <v>1060</v>
      </c>
      <c r="F156" s="2687" t="s">
        <v>2222</v>
      </c>
      <c r="G156" s="2685"/>
      <c r="H156" s="2685"/>
      <c r="I156" s="2685"/>
      <c r="J156" s="2686" t="s">
        <v>2223</v>
      </c>
      <c r="K156" s="2685" t="s">
        <v>2219</v>
      </c>
      <c r="L156" s="2685">
        <v>73.68</v>
      </c>
      <c r="M156" s="2685">
        <v>6</v>
      </c>
      <c r="N156" s="2684" t="s">
        <v>1111</v>
      </c>
      <c r="O156" s="2685"/>
      <c r="P156" s="2685" t="s">
        <v>1065</v>
      </c>
      <c r="Q156" s="2716">
        <v>450000</v>
      </c>
      <c r="R156" s="2685">
        <v>6107</v>
      </c>
      <c r="S156" s="2717">
        <v>42.25</v>
      </c>
      <c r="T156" s="2718">
        <v>422500</v>
      </c>
      <c r="U156" s="2685">
        <v>5735</v>
      </c>
      <c r="V156" s="2719">
        <v>0.05</v>
      </c>
      <c r="W156" s="2717">
        <v>40.13</v>
      </c>
      <c r="X156" s="2720">
        <v>401300</v>
      </c>
      <c r="Y156" s="2744">
        <v>2005</v>
      </c>
      <c r="Z156" s="2744">
        <v>3</v>
      </c>
      <c r="AA156" s="2744">
        <v>30</v>
      </c>
      <c r="AB156" s="2685">
        <v>1265</v>
      </c>
      <c r="AC156" s="2685" t="s">
        <v>1605</v>
      </c>
      <c r="AD156" s="2685"/>
      <c r="AE156" s="2744" t="s">
        <v>1067</v>
      </c>
      <c r="AF156" s="2685" t="s">
        <v>1068</v>
      </c>
      <c r="AG156" s="2749" t="s">
        <v>1069</v>
      </c>
      <c r="AH156" s="2685"/>
      <c r="AI156" s="2685" t="s">
        <v>175</v>
      </c>
      <c r="AJ156" s="2751"/>
      <c r="AK156" s="2756" t="s">
        <v>1072</v>
      </c>
      <c r="AL156" s="2744">
        <v>82253558</v>
      </c>
      <c r="AM156" s="2744"/>
      <c r="AN156" s="2744" t="s">
        <v>1071</v>
      </c>
      <c r="AO156" s="2744"/>
      <c r="AP156" s="2749" t="s">
        <v>1067</v>
      </c>
      <c r="AQ156" s="2744" t="s">
        <v>1074</v>
      </c>
      <c r="AR156" s="2744"/>
      <c r="AS156" s="2744"/>
      <c r="AT156" s="2744"/>
      <c r="AU156" s="2744"/>
      <c r="AV156" s="2744"/>
      <c r="AW156" s="2744" t="s">
        <v>1343</v>
      </c>
      <c r="AX156" s="2744"/>
      <c r="AY156" s="2767"/>
      <c r="AZ156" s="2744" t="s">
        <v>2224</v>
      </c>
      <c r="BA156" s="2744"/>
      <c r="BB156" s="2767"/>
      <c r="BC156" s="2744"/>
      <c r="BD156" s="2768"/>
      <c r="BE156" s="2744"/>
      <c r="BF156" s="2784"/>
      <c r="BG156" s="2785">
        <v>38427</v>
      </c>
      <c r="BH156" s="2744"/>
      <c r="BI156" s="2749" t="s">
        <v>1067</v>
      </c>
      <c r="BJ156" s="2787">
        <v>38435</v>
      </c>
      <c r="BK156" s="2787"/>
      <c r="BL156" s="2685"/>
      <c r="BM156" s="2744" t="s">
        <v>888</v>
      </c>
      <c r="BN156" s="2744" t="s">
        <v>1148</v>
      </c>
      <c r="BO156" s="2744" t="s">
        <v>1128</v>
      </c>
      <c r="BP156" s="2744"/>
      <c r="BQ156" s="2744" t="e">
        <v>#DIV/0!</v>
      </c>
      <c r="BR156" s="2744" t="e">
        <v>#DIV/0!</v>
      </c>
      <c r="BS156" s="2504"/>
      <c r="BT156" s="2504"/>
      <c r="BU156" s="2504"/>
    </row>
    <row r="157" s="2504" customFormat="1" ht="12" hidden="1" spans="1:70">
      <c r="A157" s="2688" t="s">
        <v>2225</v>
      </c>
      <c r="B157" s="2688" t="s">
        <v>2226</v>
      </c>
      <c r="C157" s="2689" t="s">
        <v>2227</v>
      </c>
      <c r="D157" s="2691">
        <v>62479498</v>
      </c>
      <c r="E157" s="2688" t="s">
        <v>1060</v>
      </c>
      <c r="F157" s="2691" t="s">
        <v>2228</v>
      </c>
      <c r="G157" s="2688"/>
      <c r="H157" s="2697" t="s">
        <v>1239</v>
      </c>
      <c r="I157" s="2691" t="s">
        <v>1196</v>
      </c>
      <c r="J157" s="2697" t="s">
        <v>1268</v>
      </c>
      <c r="K157" s="2688" t="s">
        <v>2226</v>
      </c>
      <c r="L157" s="2702">
        <v>68.3</v>
      </c>
      <c r="M157" s="2697">
        <v>5</v>
      </c>
      <c r="N157" s="2688" t="s">
        <v>1064</v>
      </c>
      <c r="O157" s="2688"/>
      <c r="P157" s="2688" t="s">
        <v>1065</v>
      </c>
      <c r="Q157" s="2726">
        <v>190000</v>
      </c>
      <c r="R157" s="2688">
        <v>2782</v>
      </c>
      <c r="S157" s="2722">
        <v>16.8</v>
      </c>
      <c r="T157" s="2723">
        <v>168000</v>
      </c>
      <c r="U157" s="2726">
        <v>2460</v>
      </c>
      <c r="V157" s="2724">
        <v>0.05</v>
      </c>
      <c r="W157" s="2722">
        <v>15.96</v>
      </c>
      <c r="X157" s="2725">
        <v>159600</v>
      </c>
      <c r="Y157" s="2688">
        <v>2005</v>
      </c>
      <c r="Z157" s="2688">
        <v>4</v>
      </c>
      <c r="AA157" s="2691">
        <v>11</v>
      </c>
      <c r="AB157" s="2688">
        <v>500</v>
      </c>
      <c r="AC157" s="2688" t="s">
        <v>1605</v>
      </c>
      <c r="AD157" s="2691"/>
      <c r="AE157" s="2747" t="s">
        <v>179</v>
      </c>
      <c r="AF157" s="2691" t="s">
        <v>1068</v>
      </c>
      <c r="AG157" s="2691" t="s">
        <v>1069</v>
      </c>
      <c r="AH157" s="2688"/>
      <c r="AI157" s="2688" t="s">
        <v>1070</v>
      </c>
      <c r="AJ157" s="2697"/>
      <c r="AK157" s="2755">
        <v>4</v>
      </c>
      <c r="AL157" s="2745">
        <v>67641700</v>
      </c>
      <c r="AM157" s="2688"/>
      <c r="AN157" s="2688" t="s">
        <v>1072</v>
      </c>
      <c r="AO157" s="2688"/>
      <c r="AP157" s="2747" t="s">
        <v>1515</v>
      </c>
      <c r="AQ157" s="2688" t="s">
        <v>1089</v>
      </c>
      <c r="AR157" s="2688"/>
      <c r="AS157" s="2688"/>
      <c r="AT157" s="2688"/>
      <c r="AU157" s="2688"/>
      <c r="AV157" s="2688"/>
      <c r="AW157" s="2688" t="s">
        <v>1250</v>
      </c>
      <c r="AX157" s="2688"/>
      <c r="AY157" s="2747"/>
      <c r="AZ157" s="2688" t="s">
        <v>2229</v>
      </c>
      <c r="BA157" s="2688"/>
      <c r="BB157" s="2688"/>
      <c r="BC157" s="2688"/>
      <c r="BD157" s="2688"/>
      <c r="BE157" s="2688"/>
      <c r="BF157" s="2688"/>
      <c r="BG157" s="2760">
        <v>38441</v>
      </c>
      <c r="BH157" s="2688" t="s">
        <v>1174</v>
      </c>
      <c r="BI157" s="2688" t="s">
        <v>2140</v>
      </c>
      <c r="BJ157" s="2753">
        <v>38441</v>
      </c>
      <c r="BK157" s="2688"/>
      <c r="BL157" s="2688" t="s">
        <v>1092</v>
      </c>
      <c r="BM157" s="2688" t="s">
        <v>888</v>
      </c>
      <c r="BN157" s="2688" t="s">
        <v>1077</v>
      </c>
      <c r="BO157" s="2745" t="s">
        <v>1128</v>
      </c>
      <c r="BP157" s="2688"/>
      <c r="BQ157" s="2745" t="e">
        <v>#DIV/0!</v>
      </c>
      <c r="BR157" s="2745" t="e">
        <v>#DIV/0!</v>
      </c>
    </row>
    <row r="158" s="2504" customFormat="1" ht="12" hidden="1" spans="1:70">
      <c r="A158" s="2688" t="s">
        <v>2230</v>
      </c>
      <c r="B158" s="2688" t="s">
        <v>2231</v>
      </c>
      <c r="C158" s="2689" t="s">
        <v>2232</v>
      </c>
      <c r="D158" s="2689" t="s">
        <v>2233</v>
      </c>
      <c r="E158" s="2688" t="s">
        <v>1060</v>
      </c>
      <c r="F158" s="2809" t="s">
        <v>2234</v>
      </c>
      <c r="G158" s="2688"/>
      <c r="H158" s="2688" t="s">
        <v>1084</v>
      </c>
      <c r="I158" s="2688"/>
      <c r="J158" s="2689" t="s">
        <v>2235</v>
      </c>
      <c r="K158" s="2688" t="s">
        <v>2231</v>
      </c>
      <c r="L158" s="2702">
        <v>135.24</v>
      </c>
      <c r="M158" s="2688">
        <v>3</v>
      </c>
      <c r="N158" s="2688" t="s">
        <v>1101</v>
      </c>
      <c r="O158" s="2688"/>
      <c r="P158" s="2688" t="s">
        <v>1065</v>
      </c>
      <c r="Q158" s="2726">
        <v>676200</v>
      </c>
      <c r="R158" s="2688">
        <v>5000</v>
      </c>
      <c r="S158" s="2722">
        <v>83.55</v>
      </c>
      <c r="T158" s="2723">
        <v>835500</v>
      </c>
      <c r="U158" s="2726">
        <v>6178</v>
      </c>
      <c r="V158" s="2724">
        <v>0.05</v>
      </c>
      <c r="W158" s="2722">
        <v>79.37</v>
      </c>
      <c r="X158" s="2725">
        <v>793700</v>
      </c>
      <c r="Y158" s="2745">
        <v>2005</v>
      </c>
      <c r="Z158" s="2745">
        <v>4</v>
      </c>
      <c r="AA158" s="2745">
        <v>6</v>
      </c>
      <c r="AB158" s="2688">
        <v>1500</v>
      </c>
      <c r="AC158" s="2688" t="s">
        <v>1605</v>
      </c>
      <c r="AD158" s="2688"/>
      <c r="AE158" s="2747" t="s">
        <v>179</v>
      </c>
      <c r="AF158" s="2688" t="s">
        <v>1068</v>
      </c>
      <c r="AG158" s="2688" t="s">
        <v>1069</v>
      </c>
      <c r="AH158" s="2688"/>
      <c r="AI158" s="2688" t="s">
        <v>1070</v>
      </c>
      <c r="AJ158" s="2760"/>
      <c r="AK158" s="2688" t="s">
        <v>1182</v>
      </c>
      <c r="AL158" s="2745">
        <v>67641700</v>
      </c>
      <c r="AM158" s="2745"/>
      <c r="AN158" s="2688" t="s">
        <v>1088</v>
      </c>
      <c r="AO158" s="2745"/>
      <c r="AP158" s="2747" t="s">
        <v>1515</v>
      </c>
      <c r="AQ158" s="2688" t="s">
        <v>1074</v>
      </c>
      <c r="AR158" s="2745"/>
      <c r="AS158" s="2745"/>
      <c r="AT158" s="2745"/>
      <c r="AU158" s="2745"/>
      <c r="AV158" s="2745"/>
      <c r="AW158" s="2688"/>
      <c r="AX158" s="2745"/>
      <c r="AY158" s="2769"/>
      <c r="AZ158" s="2745" t="s">
        <v>2236</v>
      </c>
      <c r="BA158" s="2745"/>
      <c r="BB158" s="2769"/>
      <c r="BC158" s="2745"/>
      <c r="BD158" s="2770"/>
      <c r="BE158" s="2745"/>
      <c r="BF158" s="2788"/>
      <c r="BG158" s="2798">
        <v>38442</v>
      </c>
      <c r="BH158" s="2688" t="s">
        <v>1174</v>
      </c>
      <c r="BI158" s="2748" t="s">
        <v>1067</v>
      </c>
      <c r="BJ158" s="2789">
        <v>38442</v>
      </c>
      <c r="BK158" s="2688"/>
      <c r="BL158" s="2688" t="s">
        <v>1092</v>
      </c>
      <c r="BM158" s="2688" t="s">
        <v>2237</v>
      </c>
      <c r="BN158" s="2745" t="s">
        <v>1077</v>
      </c>
      <c r="BO158" s="2745" t="s">
        <v>1128</v>
      </c>
      <c r="BP158" s="2745"/>
      <c r="BQ158" s="2745" t="e">
        <v>#DIV/0!</v>
      </c>
      <c r="BR158" s="2745" t="e">
        <v>#DIV/0!</v>
      </c>
    </row>
    <row r="159" s="2504" customFormat="1" ht="12" hidden="1" spans="1:70">
      <c r="A159" s="2688" t="s">
        <v>2238</v>
      </c>
      <c r="B159" s="2688" t="s">
        <v>2239</v>
      </c>
      <c r="C159" s="2689" t="s">
        <v>2240</v>
      </c>
      <c r="D159" s="2689" t="s">
        <v>2241</v>
      </c>
      <c r="E159" s="2691" t="s">
        <v>1060</v>
      </c>
      <c r="F159" s="2691" t="s">
        <v>2242</v>
      </c>
      <c r="G159" s="2688"/>
      <c r="H159" s="2688"/>
      <c r="I159" s="2691" t="s">
        <v>1381</v>
      </c>
      <c r="J159" s="2688" t="s">
        <v>2243</v>
      </c>
      <c r="K159" s="2688" t="s">
        <v>2239</v>
      </c>
      <c r="L159" s="2688">
        <v>63.9</v>
      </c>
      <c r="M159" s="2688">
        <v>4</v>
      </c>
      <c r="N159" s="2688" t="s">
        <v>1064</v>
      </c>
      <c r="O159" s="2688"/>
      <c r="P159" s="2688" t="s">
        <v>1065</v>
      </c>
      <c r="Q159" s="2712">
        <v>420000</v>
      </c>
      <c r="R159" s="2688">
        <v>6573</v>
      </c>
      <c r="S159" s="2722">
        <v>39.04</v>
      </c>
      <c r="T159" s="2723">
        <v>390400</v>
      </c>
      <c r="U159" s="2688">
        <v>6111</v>
      </c>
      <c r="V159" s="2724">
        <v>0.05</v>
      </c>
      <c r="W159" s="2722">
        <v>37.08</v>
      </c>
      <c r="X159" s="2725">
        <v>370800</v>
      </c>
      <c r="Y159" s="2745">
        <v>2005</v>
      </c>
      <c r="Z159" s="2745">
        <v>4</v>
      </c>
      <c r="AA159" s="2745">
        <v>7</v>
      </c>
      <c r="AB159" s="2688">
        <v>1170</v>
      </c>
      <c r="AC159" s="2688" t="s">
        <v>1605</v>
      </c>
      <c r="AD159" s="2688"/>
      <c r="AE159" s="2747" t="s">
        <v>179</v>
      </c>
      <c r="AF159" s="2691" t="s">
        <v>1068</v>
      </c>
      <c r="AG159" s="2747" t="s">
        <v>1069</v>
      </c>
      <c r="AH159" s="2688"/>
      <c r="AI159" s="2747" t="s">
        <v>1070</v>
      </c>
      <c r="AJ159" s="2753"/>
      <c r="AK159" s="2755">
        <v>4</v>
      </c>
      <c r="AL159" s="2745">
        <v>67641700</v>
      </c>
      <c r="AM159" s="2745"/>
      <c r="AN159" s="2747" t="s">
        <v>1088</v>
      </c>
      <c r="AO159" s="2688"/>
      <c r="AP159" s="2747" t="s">
        <v>1515</v>
      </c>
      <c r="AQ159" s="2745" t="s">
        <v>1074</v>
      </c>
      <c r="AR159" s="2745"/>
      <c r="AS159" s="2745"/>
      <c r="AT159" s="2745"/>
      <c r="AU159" s="2745"/>
      <c r="AV159" s="2745"/>
      <c r="AW159" s="2745"/>
      <c r="AX159" s="2745"/>
      <c r="AY159" s="2769"/>
      <c r="AZ159" s="2688" t="s">
        <v>2244</v>
      </c>
      <c r="BA159" s="2774"/>
      <c r="BB159" s="2775"/>
      <c r="BC159" s="2774"/>
      <c r="BD159" s="2776"/>
      <c r="BE159" s="2745"/>
      <c r="BF159" s="2788"/>
      <c r="BG159" s="2798">
        <v>38427</v>
      </c>
      <c r="BH159" s="2688"/>
      <c r="BI159" s="2745" t="s">
        <v>1067</v>
      </c>
      <c r="BJ159" s="2789">
        <v>38447</v>
      </c>
      <c r="BK159" s="2789"/>
      <c r="BL159" s="2688" t="s">
        <v>1092</v>
      </c>
      <c r="BM159" s="2745" t="s">
        <v>888</v>
      </c>
      <c r="BN159" s="2745" t="s">
        <v>1077</v>
      </c>
      <c r="BO159" s="2745" t="s">
        <v>1128</v>
      </c>
      <c r="BP159" s="2745"/>
      <c r="BQ159" s="2745" t="e">
        <v>#DIV/0!</v>
      </c>
      <c r="BR159" s="2745" t="e">
        <v>#DIV/0!</v>
      </c>
    </row>
    <row r="160" s="2504" customFormat="1" ht="12" hidden="1" spans="1:70">
      <c r="A160" s="2688" t="s">
        <v>2245</v>
      </c>
      <c r="B160" s="2688" t="s">
        <v>2246</v>
      </c>
      <c r="C160" s="2689" t="s">
        <v>2247</v>
      </c>
      <c r="D160" s="2689" t="s">
        <v>2248</v>
      </c>
      <c r="E160" s="2691" t="s">
        <v>1060</v>
      </c>
      <c r="F160" s="2691" t="s">
        <v>1560</v>
      </c>
      <c r="G160" s="2688"/>
      <c r="H160" s="2688" t="s">
        <v>1062</v>
      </c>
      <c r="I160" s="2691" t="s">
        <v>2249</v>
      </c>
      <c r="J160" s="2688" t="s">
        <v>1275</v>
      </c>
      <c r="K160" s="2688" t="s">
        <v>2246</v>
      </c>
      <c r="L160" s="2688">
        <v>114.4</v>
      </c>
      <c r="M160" s="2688">
        <v>1</v>
      </c>
      <c r="N160" s="2688" t="s">
        <v>1290</v>
      </c>
      <c r="O160" s="2688"/>
      <c r="P160" s="2688" t="s">
        <v>1065</v>
      </c>
      <c r="Q160" s="2712">
        <v>652080</v>
      </c>
      <c r="R160" s="2688">
        <v>5700</v>
      </c>
      <c r="S160" s="2722">
        <v>69.49</v>
      </c>
      <c r="T160" s="2723">
        <v>694900</v>
      </c>
      <c r="U160" s="2688">
        <v>6075</v>
      </c>
      <c r="V160" s="2724">
        <v>0.05</v>
      </c>
      <c r="W160" s="2722">
        <v>66.01</v>
      </c>
      <c r="X160" s="2725">
        <v>660100</v>
      </c>
      <c r="Y160" s="2745">
        <v>2005</v>
      </c>
      <c r="Z160" s="2745">
        <v>4</v>
      </c>
      <c r="AA160" s="2745">
        <v>21</v>
      </c>
      <c r="AB160" s="2688">
        <v>1500</v>
      </c>
      <c r="AC160" s="2688" t="s">
        <v>1605</v>
      </c>
      <c r="AD160" s="2688"/>
      <c r="AE160" s="2747" t="s">
        <v>179</v>
      </c>
      <c r="AF160" s="2691" t="s">
        <v>1068</v>
      </c>
      <c r="AG160" s="2747" t="s">
        <v>1069</v>
      </c>
      <c r="AH160" s="2688"/>
      <c r="AI160" s="2747" t="s">
        <v>1070</v>
      </c>
      <c r="AJ160" s="2753"/>
      <c r="AK160" s="2755" t="s">
        <v>1182</v>
      </c>
      <c r="AL160" s="2745">
        <v>67641700</v>
      </c>
      <c r="AM160" s="2745"/>
      <c r="AN160" s="2747" t="s">
        <v>1182</v>
      </c>
      <c r="AO160" s="2688"/>
      <c r="AP160" s="2747" t="s">
        <v>1515</v>
      </c>
      <c r="AQ160" s="2745" t="s">
        <v>1089</v>
      </c>
      <c r="AR160" s="2745"/>
      <c r="AS160" s="2745"/>
      <c r="AT160" s="2745"/>
      <c r="AU160" s="2745"/>
      <c r="AV160" s="2745"/>
      <c r="AW160" s="2685" t="s">
        <v>1075</v>
      </c>
      <c r="AX160" s="2745"/>
      <c r="AY160" s="2769"/>
      <c r="AZ160" s="2688"/>
      <c r="BA160" s="2774"/>
      <c r="BB160" s="2775"/>
      <c r="BC160" s="2774"/>
      <c r="BD160" s="2776"/>
      <c r="BE160" s="2745"/>
      <c r="BF160" s="2788"/>
      <c r="BG160" s="2798">
        <v>38441</v>
      </c>
      <c r="BH160" s="2688"/>
      <c r="BI160" s="2745" t="s">
        <v>2140</v>
      </c>
      <c r="BJ160" s="2789">
        <v>38448</v>
      </c>
      <c r="BK160" s="2789"/>
      <c r="BL160" s="2688" t="s">
        <v>1092</v>
      </c>
      <c r="BM160" s="2745" t="s">
        <v>2250</v>
      </c>
      <c r="BN160" s="2745" t="s">
        <v>1077</v>
      </c>
      <c r="BO160" s="2745" t="s">
        <v>1234</v>
      </c>
      <c r="BP160" s="2745"/>
      <c r="BQ160" s="2745" t="e">
        <v>#DIV/0!</v>
      </c>
      <c r="BR160" s="2745" t="e">
        <v>#DIV/0!</v>
      </c>
    </row>
    <row r="161" s="2504" customFormat="1" ht="12" hidden="1" spans="1:70">
      <c r="A161" s="2688" t="s">
        <v>2251</v>
      </c>
      <c r="B161" s="2688" t="s">
        <v>2252</v>
      </c>
      <c r="C161" s="2689" t="s">
        <v>2253</v>
      </c>
      <c r="D161" s="2689" t="s">
        <v>2254</v>
      </c>
      <c r="E161" s="2688" t="s">
        <v>1060</v>
      </c>
      <c r="F161" s="2688" t="s">
        <v>1258</v>
      </c>
      <c r="G161" s="2688"/>
      <c r="H161" s="2688" t="s">
        <v>1155</v>
      </c>
      <c r="I161" s="2688"/>
      <c r="J161" s="2689" t="s">
        <v>2255</v>
      </c>
      <c r="K161" s="2688" t="s">
        <v>2256</v>
      </c>
      <c r="L161" s="2702">
        <v>94.7</v>
      </c>
      <c r="M161" s="2688">
        <v>17</v>
      </c>
      <c r="N161" s="2688" t="s">
        <v>1064</v>
      </c>
      <c r="O161" s="2688"/>
      <c r="P161" s="2688" t="s">
        <v>1065</v>
      </c>
      <c r="Q161" s="2726">
        <v>557600</v>
      </c>
      <c r="R161" s="2688">
        <v>5888</v>
      </c>
      <c r="S161" s="2722">
        <v>55.59</v>
      </c>
      <c r="T161" s="2723">
        <v>555900</v>
      </c>
      <c r="U161" s="2688">
        <v>5871</v>
      </c>
      <c r="V161" s="2724">
        <v>0.05</v>
      </c>
      <c r="W161" s="2722">
        <v>52.81</v>
      </c>
      <c r="X161" s="2725">
        <v>528100</v>
      </c>
      <c r="Y161" s="2745">
        <v>2005</v>
      </c>
      <c r="Z161" s="2745">
        <v>4</v>
      </c>
      <c r="AA161" s="2745">
        <v>13</v>
      </c>
      <c r="AB161" s="2688">
        <v>1500</v>
      </c>
      <c r="AC161" s="2688" t="s">
        <v>1605</v>
      </c>
      <c r="AD161" s="2688"/>
      <c r="AE161" s="2745" t="s">
        <v>1067</v>
      </c>
      <c r="AF161" s="2688" t="s">
        <v>1068</v>
      </c>
      <c r="AG161" s="2688" t="s">
        <v>1069</v>
      </c>
      <c r="AH161" s="2688"/>
      <c r="AI161" s="2688" t="s">
        <v>1070</v>
      </c>
      <c r="AJ161" s="2753"/>
      <c r="AK161" s="2755" t="s">
        <v>1182</v>
      </c>
      <c r="AL161" s="2745">
        <v>82253558</v>
      </c>
      <c r="AM161" s="2745"/>
      <c r="AN161" s="2745" t="s">
        <v>1072</v>
      </c>
      <c r="AO161" s="2745"/>
      <c r="AP161" s="2745" t="s">
        <v>1300</v>
      </c>
      <c r="AQ161" s="2688" t="s">
        <v>1074</v>
      </c>
      <c r="AR161" s="2745"/>
      <c r="AS161" s="2745"/>
      <c r="AT161" s="2745"/>
      <c r="AU161" s="2745"/>
      <c r="AV161" s="2745"/>
      <c r="AW161" s="2745"/>
      <c r="AX161" s="2745"/>
      <c r="AY161" s="2769"/>
      <c r="AZ161" s="2745"/>
      <c r="BA161" s="2745"/>
      <c r="BB161" s="2769"/>
      <c r="BC161" s="2745"/>
      <c r="BD161" s="2770"/>
      <c r="BE161" s="2745"/>
      <c r="BF161" s="2788"/>
      <c r="BG161" s="2790"/>
      <c r="BH161" s="2745" t="s">
        <v>1343</v>
      </c>
      <c r="BI161" s="2748" t="s">
        <v>1067</v>
      </c>
      <c r="BJ161" s="2789">
        <v>38450</v>
      </c>
      <c r="BK161" s="2789"/>
      <c r="BL161" s="2688"/>
      <c r="BM161" s="2745" t="s">
        <v>2257</v>
      </c>
      <c r="BN161" s="2745" t="s">
        <v>1077</v>
      </c>
      <c r="BO161" s="2745" t="s">
        <v>1344</v>
      </c>
      <c r="BP161" s="2745"/>
      <c r="BQ161" s="2745"/>
      <c r="BR161" s="2745"/>
    </row>
    <row r="162" s="2506" customFormat="1" ht="12" hidden="1" spans="1:73">
      <c r="A162" s="2685" t="s">
        <v>2258</v>
      </c>
      <c r="B162" s="2685" t="s">
        <v>2259</v>
      </c>
      <c r="C162" s="2686" t="s">
        <v>2260</v>
      </c>
      <c r="D162" s="2686" t="s">
        <v>2261</v>
      </c>
      <c r="E162" s="2685" t="s">
        <v>1060</v>
      </c>
      <c r="F162" s="2687" t="s">
        <v>2262</v>
      </c>
      <c r="G162" s="2685"/>
      <c r="H162" s="2685" t="s">
        <v>1305</v>
      </c>
      <c r="I162" s="2685"/>
      <c r="J162" s="2686" t="s">
        <v>2263</v>
      </c>
      <c r="K162" s="2685" t="s">
        <v>2259</v>
      </c>
      <c r="L162" s="2703">
        <v>102.84</v>
      </c>
      <c r="M162" s="2685">
        <v>15</v>
      </c>
      <c r="N162" s="2685" t="s">
        <v>1064</v>
      </c>
      <c r="O162" s="2685">
        <v>86.7</v>
      </c>
      <c r="P162" s="2685" t="s">
        <v>1065</v>
      </c>
      <c r="Q162" s="2716">
        <v>640000</v>
      </c>
      <c r="R162" s="2685">
        <v>6223</v>
      </c>
      <c r="S162" s="2717">
        <v>64.36</v>
      </c>
      <c r="T162" s="2718">
        <v>643600</v>
      </c>
      <c r="U162" s="2685">
        <v>6259</v>
      </c>
      <c r="V162" s="2719">
        <v>0.05</v>
      </c>
      <c r="W162" s="2717">
        <v>61.14</v>
      </c>
      <c r="X162" s="2720">
        <v>611400</v>
      </c>
      <c r="Y162" s="2744">
        <v>2005</v>
      </c>
      <c r="Z162" s="2744">
        <v>6</v>
      </c>
      <c r="AA162" s="2744">
        <v>27</v>
      </c>
      <c r="AB162" s="2688">
        <v>1500</v>
      </c>
      <c r="AC162" s="2685" t="s">
        <v>1605</v>
      </c>
      <c r="AD162" s="2685"/>
      <c r="AE162" s="2691" t="s">
        <v>179</v>
      </c>
      <c r="AF162" s="2685" t="s">
        <v>1068</v>
      </c>
      <c r="AG162" s="2749" t="s">
        <v>1069</v>
      </c>
      <c r="AH162" s="2685"/>
      <c r="AI162" s="2685" t="s">
        <v>1070</v>
      </c>
      <c r="AJ162" s="2751"/>
      <c r="AK162" s="2756" t="s">
        <v>1261</v>
      </c>
      <c r="AL162" s="2745">
        <v>67641700</v>
      </c>
      <c r="AM162" s="2744"/>
      <c r="AN162" s="2747" t="s">
        <v>1071</v>
      </c>
      <c r="AO162" s="2744"/>
      <c r="AP162" s="2685" t="s">
        <v>1515</v>
      </c>
      <c r="AQ162" s="2685" t="s">
        <v>1089</v>
      </c>
      <c r="AR162" s="2744"/>
      <c r="AS162" s="2744"/>
      <c r="AT162" s="2744"/>
      <c r="AU162" s="2744"/>
      <c r="AV162" s="2744"/>
      <c r="AW162" s="2745" t="s">
        <v>1075</v>
      </c>
      <c r="AX162" s="2744"/>
      <c r="AY162" s="2767"/>
      <c r="AZ162" s="2744" t="s">
        <v>2264</v>
      </c>
      <c r="BA162" s="2744"/>
      <c r="BB162" s="2767"/>
      <c r="BC162" s="2744"/>
      <c r="BD162" s="2768"/>
      <c r="BE162" s="2744">
        <v>13911559909</v>
      </c>
      <c r="BF162" s="2784"/>
      <c r="BG162" s="2785">
        <v>38449</v>
      </c>
      <c r="BH162" s="2744"/>
      <c r="BI162" s="2688" t="s">
        <v>2140</v>
      </c>
      <c r="BJ162" s="2787">
        <v>38450</v>
      </c>
      <c r="BK162" s="2787"/>
      <c r="BL162" s="2685"/>
      <c r="BM162" s="2744" t="s">
        <v>2265</v>
      </c>
      <c r="BN162" s="2744" t="s">
        <v>1077</v>
      </c>
      <c r="BO162" s="2744" t="s">
        <v>2266</v>
      </c>
      <c r="BP162" s="2744" t="s">
        <v>1953</v>
      </c>
      <c r="BQ162" s="2744">
        <v>7424</v>
      </c>
      <c r="BR162" s="2744">
        <v>7382</v>
      </c>
      <c r="BS162" s="2504"/>
      <c r="BT162" s="2504"/>
      <c r="BU162" s="2504"/>
    </row>
    <row r="163" s="2505" customFormat="1" ht="12" hidden="1" spans="1:73">
      <c r="A163" s="2688" t="s">
        <v>2267</v>
      </c>
      <c r="B163" s="2688" t="s">
        <v>2268</v>
      </c>
      <c r="C163" s="2689" t="s">
        <v>2269</v>
      </c>
      <c r="D163" s="2689" t="s">
        <v>2270</v>
      </c>
      <c r="E163" s="2688" t="s">
        <v>1060</v>
      </c>
      <c r="F163" s="2690" t="s">
        <v>1646</v>
      </c>
      <c r="G163" s="2688"/>
      <c r="H163" s="2688" t="s">
        <v>1446</v>
      </c>
      <c r="I163" s="2745"/>
      <c r="J163" s="2688" t="s">
        <v>1240</v>
      </c>
      <c r="K163" s="2688" t="s">
        <v>2268</v>
      </c>
      <c r="L163" s="2688">
        <v>84.43</v>
      </c>
      <c r="M163" s="2688">
        <v>12</v>
      </c>
      <c r="N163" s="2688" t="s">
        <v>1123</v>
      </c>
      <c r="O163" s="2688">
        <v>58.68</v>
      </c>
      <c r="P163" s="2688" t="s">
        <v>1065</v>
      </c>
      <c r="Q163" s="2712">
        <v>615000</v>
      </c>
      <c r="R163" s="2688">
        <v>7284</v>
      </c>
      <c r="S163" s="2722">
        <v>52.59</v>
      </c>
      <c r="T163" s="2723">
        <v>525900</v>
      </c>
      <c r="U163" s="2688">
        <v>6230</v>
      </c>
      <c r="V163" s="2724">
        <v>0.05</v>
      </c>
      <c r="W163" s="2722">
        <v>49.96</v>
      </c>
      <c r="X163" s="2725">
        <v>499600</v>
      </c>
      <c r="Y163" s="2745">
        <v>2005</v>
      </c>
      <c r="Z163" s="2745">
        <v>4</v>
      </c>
      <c r="AA163" s="2745">
        <v>15</v>
      </c>
      <c r="AB163" s="2688">
        <v>1500</v>
      </c>
      <c r="AC163" s="2688" t="s">
        <v>1605</v>
      </c>
      <c r="AD163" s="2688"/>
      <c r="AE163" s="2691" t="s">
        <v>179</v>
      </c>
      <c r="AF163" s="2691" t="s">
        <v>1068</v>
      </c>
      <c r="AG163" s="2691" t="s">
        <v>1069</v>
      </c>
      <c r="AH163" s="2688"/>
      <c r="AI163" s="2691" t="s">
        <v>1070</v>
      </c>
      <c r="AJ163" s="2753"/>
      <c r="AK163" s="2754" t="s">
        <v>1182</v>
      </c>
      <c r="AL163" s="2745">
        <v>67641700</v>
      </c>
      <c r="AM163" s="2745"/>
      <c r="AN163" s="2745" t="s">
        <v>1072</v>
      </c>
      <c r="AO163" s="2745"/>
      <c r="AP163" s="2747" t="s">
        <v>1515</v>
      </c>
      <c r="AQ163" s="2745" t="s">
        <v>1074</v>
      </c>
      <c r="AR163" s="2745"/>
      <c r="AS163" s="2745"/>
      <c r="AT163" s="2745"/>
      <c r="AU163" s="2745"/>
      <c r="AV163" s="2745"/>
      <c r="AW163" s="2745" t="s">
        <v>1343</v>
      </c>
      <c r="AX163" s="2745"/>
      <c r="AY163" s="2769"/>
      <c r="AZ163" s="2745"/>
      <c r="BA163" s="2745"/>
      <c r="BB163" s="2769"/>
      <c r="BC163" s="2745"/>
      <c r="BD163" s="2770"/>
      <c r="BE163" s="2745"/>
      <c r="BF163" s="2788"/>
      <c r="BG163" s="2790">
        <v>38453</v>
      </c>
      <c r="BH163" s="2745"/>
      <c r="BI163" s="2745" t="s">
        <v>1342</v>
      </c>
      <c r="BJ163" s="2789">
        <v>38453</v>
      </c>
      <c r="BK163" s="2789"/>
      <c r="BL163" s="2745"/>
      <c r="BM163" s="2745" t="s">
        <v>888</v>
      </c>
      <c r="BN163" s="2745" t="s">
        <v>1148</v>
      </c>
      <c r="BO163" s="2745" t="s">
        <v>1128</v>
      </c>
      <c r="BP163" s="2745"/>
      <c r="BQ163" s="2745">
        <v>8964</v>
      </c>
      <c r="BR163" s="2745">
        <v>10481</v>
      </c>
      <c r="BS163" s="2504"/>
      <c r="BT163" s="2504"/>
      <c r="BU163" s="2504"/>
    </row>
    <row r="164" s="2505" customFormat="1" ht="12" hidden="1" spans="1:73">
      <c r="A164" s="2688" t="s">
        <v>2271</v>
      </c>
      <c r="B164" s="2688" t="s">
        <v>2272</v>
      </c>
      <c r="C164" s="2689" t="s">
        <v>2273</v>
      </c>
      <c r="D164" s="2689" t="s">
        <v>2274</v>
      </c>
      <c r="E164" s="2688" t="s">
        <v>1060</v>
      </c>
      <c r="F164" s="2688" t="s">
        <v>2234</v>
      </c>
      <c r="G164" s="2688"/>
      <c r="H164" s="2688" t="s">
        <v>1084</v>
      </c>
      <c r="I164" s="2688"/>
      <c r="J164" s="2689" t="s">
        <v>2275</v>
      </c>
      <c r="K164" s="2688" t="s">
        <v>2272</v>
      </c>
      <c r="L164" s="2688">
        <v>135.24</v>
      </c>
      <c r="M164" s="2688">
        <v>2</v>
      </c>
      <c r="N164" s="2691" t="s">
        <v>1101</v>
      </c>
      <c r="O164" s="2688"/>
      <c r="P164" s="2688" t="s">
        <v>1065</v>
      </c>
      <c r="Q164" s="2712">
        <v>676200</v>
      </c>
      <c r="R164" s="2688">
        <v>5000</v>
      </c>
      <c r="S164" s="2722">
        <v>83.13</v>
      </c>
      <c r="T164" s="2723">
        <v>831300</v>
      </c>
      <c r="U164" s="2688">
        <v>6147</v>
      </c>
      <c r="V164" s="2724">
        <v>0.05</v>
      </c>
      <c r="W164" s="2722">
        <v>78.97</v>
      </c>
      <c r="X164" s="2725">
        <v>789700</v>
      </c>
      <c r="Y164" s="2745">
        <v>2005</v>
      </c>
      <c r="Z164" s="2688">
        <v>4</v>
      </c>
      <c r="AA164" s="2745">
        <v>21</v>
      </c>
      <c r="AB164" s="2688">
        <v>1500</v>
      </c>
      <c r="AC164" s="2688" t="s">
        <v>1605</v>
      </c>
      <c r="AD164" s="2688"/>
      <c r="AE164" s="2745" t="s">
        <v>179</v>
      </c>
      <c r="AF164" s="2688" t="s">
        <v>1068</v>
      </c>
      <c r="AG164" s="2747" t="s">
        <v>1069</v>
      </c>
      <c r="AH164" s="2688" t="s">
        <v>2276</v>
      </c>
      <c r="AI164" s="2688" t="s">
        <v>1070</v>
      </c>
      <c r="AJ164" s="2753"/>
      <c r="AK164" s="2755">
        <v>4</v>
      </c>
      <c r="AL164" s="2745">
        <v>67641700</v>
      </c>
      <c r="AM164" s="2745" t="s">
        <v>1114</v>
      </c>
      <c r="AN164" s="2747" t="s">
        <v>1182</v>
      </c>
      <c r="AO164" s="2745"/>
      <c r="AP164" s="2688" t="s">
        <v>1515</v>
      </c>
      <c r="AQ164" s="2745" t="s">
        <v>1074</v>
      </c>
      <c r="AR164" s="2745"/>
      <c r="AS164" s="2745"/>
      <c r="AT164" s="2745"/>
      <c r="AU164" s="2745"/>
      <c r="AV164" s="2745"/>
      <c r="AW164" s="2745"/>
      <c r="AX164" s="2745"/>
      <c r="AY164" s="2769"/>
      <c r="AZ164" s="2745" t="s">
        <v>2277</v>
      </c>
      <c r="BA164" s="2745"/>
      <c r="BB164" s="2769"/>
      <c r="BC164" s="2745"/>
      <c r="BD164" s="2770"/>
      <c r="BE164" s="2745">
        <v>62520088</v>
      </c>
      <c r="BF164" s="2788"/>
      <c r="BG164" s="2790"/>
      <c r="BH164" s="2745" t="s">
        <v>1174</v>
      </c>
      <c r="BI164" s="2745" t="s">
        <v>1067</v>
      </c>
      <c r="BJ164" s="2789">
        <v>38457</v>
      </c>
      <c r="BK164" s="2789"/>
      <c r="BL164" s="2688" t="s">
        <v>1092</v>
      </c>
      <c r="BM164" s="2745" t="s">
        <v>2278</v>
      </c>
      <c r="BN164" s="2745" t="s">
        <v>1077</v>
      </c>
      <c r="BO164" s="2745" t="s">
        <v>1234</v>
      </c>
      <c r="BP164" s="2745"/>
      <c r="BQ164" s="2745" t="e">
        <v>#DIV/0!</v>
      </c>
      <c r="BR164" s="2745" t="e">
        <v>#DIV/0!</v>
      </c>
      <c r="BS164" s="2504"/>
      <c r="BT164" s="2504"/>
      <c r="BU164" s="2504"/>
    </row>
    <row r="165" s="2504" customFormat="1" ht="12" hidden="1" spans="1:70">
      <c r="A165" s="2688" t="s">
        <v>2279</v>
      </c>
      <c r="B165" s="2691" t="s">
        <v>2280</v>
      </c>
      <c r="C165" s="2689" t="s">
        <v>2281</v>
      </c>
      <c r="D165" s="2691" t="s">
        <v>2282</v>
      </c>
      <c r="E165" s="2691" t="s">
        <v>1060</v>
      </c>
      <c r="F165" s="2691" t="s">
        <v>2283</v>
      </c>
      <c r="G165" s="2691"/>
      <c r="H165" s="2691" t="s">
        <v>1305</v>
      </c>
      <c r="I165" s="2691" t="s">
        <v>1114</v>
      </c>
      <c r="J165" s="2691" t="s">
        <v>2284</v>
      </c>
      <c r="K165" s="2691" t="s">
        <v>2285</v>
      </c>
      <c r="L165" s="2697">
        <v>65.65</v>
      </c>
      <c r="M165" s="2697">
        <v>6</v>
      </c>
      <c r="N165" s="2691" t="s">
        <v>1064</v>
      </c>
      <c r="O165" s="2697"/>
      <c r="P165" s="2691" t="s">
        <v>1065</v>
      </c>
      <c r="Q165" s="2712">
        <v>550000</v>
      </c>
      <c r="R165" s="2688">
        <v>8378</v>
      </c>
      <c r="S165" s="2722">
        <v>42.19</v>
      </c>
      <c r="T165" s="2723">
        <v>421900</v>
      </c>
      <c r="U165" s="2688">
        <v>6428</v>
      </c>
      <c r="V165" s="2727">
        <v>0.05</v>
      </c>
      <c r="W165" s="2722">
        <v>40.08</v>
      </c>
      <c r="X165" s="2725">
        <v>400800</v>
      </c>
      <c r="Y165" s="2745">
        <v>2005</v>
      </c>
      <c r="Z165" s="2688">
        <v>4</v>
      </c>
      <c r="AA165" s="2745">
        <v>25</v>
      </c>
      <c r="AB165" s="2688">
        <v>1265</v>
      </c>
      <c r="AC165" s="2688" t="s">
        <v>1605</v>
      </c>
      <c r="AD165" s="2691"/>
      <c r="AE165" s="2691" t="s">
        <v>179</v>
      </c>
      <c r="AF165" s="2691" t="s">
        <v>1068</v>
      </c>
      <c r="AG165" s="2691" t="s">
        <v>1069</v>
      </c>
      <c r="AH165" s="2691" t="s">
        <v>2286</v>
      </c>
      <c r="AI165" s="2691" t="s">
        <v>2287</v>
      </c>
      <c r="AJ165" s="2760" t="s">
        <v>1114</v>
      </c>
      <c r="AK165" s="2755" t="s">
        <v>1182</v>
      </c>
      <c r="AL165" s="2745">
        <v>67641700</v>
      </c>
      <c r="AM165" s="2745"/>
      <c r="AN165" s="2747" t="s">
        <v>1071</v>
      </c>
      <c r="AO165" s="2745" t="s">
        <v>2288</v>
      </c>
      <c r="AP165" s="2745" t="s">
        <v>1515</v>
      </c>
      <c r="AQ165" s="2745" t="s">
        <v>1074</v>
      </c>
      <c r="AR165" s="2688"/>
      <c r="AS165" s="2688"/>
      <c r="AT165" s="2688"/>
      <c r="AU165" s="2688"/>
      <c r="AV165" s="2765"/>
      <c r="AW165" s="2691" t="s">
        <v>1343</v>
      </c>
      <c r="AX165" s="2691"/>
      <c r="AY165" s="2691"/>
      <c r="AZ165" s="2691" t="s">
        <v>2285</v>
      </c>
      <c r="BA165" s="2691"/>
      <c r="BB165" s="2696"/>
      <c r="BC165" s="2691"/>
      <c r="BD165" s="2691"/>
      <c r="BE165" s="2691"/>
      <c r="BF165" s="2788"/>
      <c r="BG165" s="2792">
        <v>38460</v>
      </c>
      <c r="BH165" s="2691"/>
      <c r="BI165" s="2745" t="s">
        <v>1067</v>
      </c>
      <c r="BJ165" s="2789">
        <v>38462</v>
      </c>
      <c r="BK165" s="2753"/>
      <c r="BL165" s="2745" t="s">
        <v>1092</v>
      </c>
      <c r="BM165" s="2688" t="s">
        <v>888</v>
      </c>
      <c r="BN165" s="2688" t="s">
        <v>1077</v>
      </c>
      <c r="BO165" s="2688" t="s">
        <v>2289</v>
      </c>
      <c r="BP165" s="2745"/>
      <c r="BQ165" s="2745" t="e">
        <v>#DIV/0!</v>
      </c>
      <c r="BR165" s="2745" t="e">
        <v>#DIV/0!</v>
      </c>
    </row>
    <row r="166" s="2504" customFormat="1" ht="12" hidden="1" spans="1:70">
      <c r="A166" s="2688" t="s">
        <v>2290</v>
      </c>
      <c r="B166" s="2691" t="s">
        <v>1923</v>
      </c>
      <c r="C166" s="2689" t="s">
        <v>2291</v>
      </c>
      <c r="D166" s="2691">
        <v>13701151512</v>
      </c>
      <c r="E166" s="2691" t="s">
        <v>1060</v>
      </c>
      <c r="F166" s="2691" t="s">
        <v>2292</v>
      </c>
      <c r="G166" s="2691"/>
      <c r="H166" s="2691" t="s">
        <v>1421</v>
      </c>
      <c r="I166" s="2691" t="s">
        <v>1585</v>
      </c>
      <c r="J166" s="2691" t="s">
        <v>1166</v>
      </c>
      <c r="K166" s="2691" t="s">
        <v>2293</v>
      </c>
      <c r="L166" s="2697">
        <v>103.18</v>
      </c>
      <c r="M166" s="2697">
        <v>3</v>
      </c>
      <c r="N166" s="2691" t="s">
        <v>1374</v>
      </c>
      <c r="O166" s="2697"/>
      <c r="P166" s="2691" t="s">
        <v>1065</v>
      </c>
      <c r="Q166" s="2712">
        <v>700000</v>
      </c>
      <c r="R166" s="2688">
        <v>6784</v>
      </c>
      <c r="S166" s="2722">
        <v>59.81</v>
      </c>
      <c r="T166" s="2723">
        <v>598100</v>
      </c>
      <c r="U166" s="2688">
        <v>5797</v>
      </c>
      <c r="V166" s="2727">
        <v>0.05</v>
      </c>
      <c r="W166" s="2722">
        <v>56.81</v>
      </c>
      <c r="X166" s="2725">
        <v>568100</v>
      </c>
      <c r="Y166" s="2745">
        <v>2005</v>
      </c>
      <c r="Z166" s="2688">
        <v>4</v>
      </c>
      <c r="AA166" s="2745">
        <v>26</v>
      </c>
      <c r="AB166" s="2688">
        <v>1500</v>
      </c>
      <c r="AC166" s="2688" t="s">
        <v>1605</v>
      </c>
      <c r="AD166" s="2691"/>
      <c r="AE166" s="2691" t="s">
        <v>179</v>
      </c>
      <c r="AF166" s="2691" t="s">
        <v>1068</v>
      </c>
      <c r="AG166" s="2691" t="s">
        <v>1069</v>
      </c>
      <c r="AH166" s="2691"/>
      <c r="AI166" s="2691" t="s">
        <v>2287</v>
      </c>
      <c r="AJ166" s="2760" t="s">
        <v>1114</v>
      </c>
      <c r="AK166" s="2755" t="s">
        <v>1182</v>
      </c>
      <c r="AL166" s="2745">
        <v>67641700</v>
      </c>
      <c r="AM166" s="2745"/>
      <c r="AN166" s="2747" t="s">
        <v>1071</v>
      </c>
      <c r="AO166" s="2745" t="s">
        <v>2294</v>
      </c>
      <c r="AP166" s="2745" t="s">
        <v>1515</v>
      </c>
      <c r="AQ166" s="2745" t="s">
        <v>1074</v>
      </c>
      <c r="AR166" s="2688"/>
      <c r="AS166" s="2688"/>
      <c r="AT166" s="2688"/>
      <c r="AU166" s="2688"/>
      <c r="AV166" s="2765"/>
      <c r="AW166" s="2691" t="s">
        <v>1343</v>
      </c>
      <c r="AX166" s="2691"/>
      <c r="AY166" s="2691"/>
      <c r="AZ166" s="2691" t="s">
        <v>2293</v>
      </c>
      <c r="BA166" s="2691"/>
      <c r="BB166" s="2696"/>
      <c r="BC166" s="2691"/>
      <c r="BD166" s="2691"/>
      <c r="BE166" s="2691"/>
      <c r="BF166" s="2788"/>
      <c r="BG166" s="2792">
        <v>38443</v>
      </c>
      <c r="BH166" s="2691"/>
      <c r="BI166" s="2745" t="s">
        <v>175</v>
      </c>
      <c r="BJ166" s="2789">
        <v>38461</v>
      </c>
      <c r="BK166" s="2753"/>
      <c r="BL166" s="2745" t="s">
        <v>1092</v>
      </c>
      <c r="BM166" s="2688" t="s">
        <v>888</v>
      </c>
      <c r="BN166" s="2688" t="s">
        <v>1077</v>
      </c>
      <c r="BO166" s="2688" t="s">
        <v>2295</v>
      </c>
      <c r="BP166" s="2745"/>
      <c r="BQ166" s="2745" t="e">
        <v>#DIV/0!</v>
      </c>
      <c r="BR166" s="2745" t="e">
        <v>#DIV/0!</v>
      </c>
    </row>
    <row r="167" s="2504" customFormat="1" ht="12" hidden="1" spans="1:70">
      <c r="A167" s="2685" t="s">
        <v>2296</v>
      </c>
      <c r="B167" s="2685" t="s">
        <v>2297</v>
      </c>
      <c r="C167" s="2686" t="s">
        <v>2298</v>
      </c>
      <c r="D167" s="2686" t="s">
        <v>2185</v>
      </c>
      <c r="E167" s="2685" t="s">
        <v>1060</v>
      </c>
      <c r="F167" s="2687" t="s">
        <v>2186</v>
      </c>
      <c r="G167" s="2685"/>
      <c r="H167" s="2685" t="s">
        <v>1180</v>
      </c>
      <c r="I167" s="2685" t="s">
        <v>1196</v>
      </c>
      <c r="J167" s="2686" t="s">
        <v>1365</v>
      </c>
      <c r="K167" s="2685" t="s">
        <v>2297</v>
      </c>
      <c r="L167" s="2685">
        <v>83.9</v>
      </c>
      <c r="M167" s="2685">
        <v>6</v>
      </c>
      <c r="N167" s="2685" t="s">
        <v>1374</v>
      </c>
      <c r="O167" s="2685"/>
      <c r="P167" s="2685" t="s">
        <v>1690</v>
      </c>
      <c r="Q167" s="2716">
        <v>520000</v>
      </c>
      <c r="R167" s="2685">
        <v>6198</v>
      </c>
      <c r="S167" s="2717">
        <v>47.36</v>
      </c>
      <c r="T167" s="2718">
        <v>473600</v>
      </c>
      <c r="U167" s="2685">
        <v>5645</v>
      </c>
      <c r="V167" s="2719">
        <v>0.05</v>
      </c>
      <c r="W167" s="2717">
        <v>44.99</v>
      </c>
      <c r="X167" s="2720">
        <v>449900</v>
      </c>
      <c r="Y167" s="2744">
        <v>2005</v>
      </c>
      <c r="Z167" s="2744">
        <v>5</v>
      </c>
      <c r="AA167" s="2744">
        <v>16</v>
      </c>
      <c r="AB167" s="2688">
        <v>1420</v>
      </c>
      <c r="AC167" s="2685" t="s">
        <v>1605</v>
      </c>
      <c r="AD167" s="2685"/>
      <c r="AE167" s="2688" t="s">
        <v>179</v>
      </c>
      <c r="AF167" s="2685" t="s">
        <v>1068</v>
      </c>
      <c r="AG167" s="2685" t="s">
        <v>1069</v>
      </c>
      <c r="AH167" s="2685"/>
      <c r="AI167" s="2685" t="s">
        <v>1070</v>
      </c>
      <c r="AJ167" s="2751"/>
      <c r="AK167" s="2756" t="s">
        <v>1071</v>
      </c>
      <c r="AL167" s="2688">
        <v>67641700</v>
      </c>
      <c r="AM167" s="2744"/>
      <c r="AN167" s="2744" t="s">
        <v>1088</v>
      </c>
      <c r="AO167" s="2744" t="s">
        <v>2299</v>
      </c>
      <c r="AP167" s="2685" t="s">
        <v>1515</v>
      </c>
      <c r="AQ167" s="2688" t="s">
        <v>1089</v>
      </c>
      <c r="AR167" s="2744"/>
      <c r="AS167" s="2744"/>
      <c r="AT167" s="2744"/>
      <c r="AU167" s="2744"/>
      <c r="AV167" s="2744"/>
      <c r="AW167" s="2745" t="s">
        <v>1075</v>
      </c>
      <c r="AX167" s="2744"/>
      <c r="AY167" s="2767"/>
      <c r="AZ167" s="2744" t="s">
        <v>2300</v>
      </c>
      <c r="BA167" s="2744"/>
      <c r="BB167" s="2767"/>
      <c r="BC167" s="2744"/>
      <c r="BD167" s="2768"/>
      <c r="BE167" s="2744"/>
      <c r="BF167" s="2784"/>
      <c r="BG167" s="2785">
        <v>38457</v>
      </c>
      <c r="BH167" s="2744"/>
      <c r="BI167" s="2744" t="s">
        <v>2140</v>
      </c>
      <c r="BJ167" s="2787">
        <v>38461</v>
      </c>
      <c r="BK167" s="2787"/>
      <c r="BL167" s="2685"/>
      <c r="BM167" s="2744" t="s">
        <v>888</v>
      </c>
      <c r="BN167" s="2744" t="s">
        <v>1148</v>
      </c>
      <c r="BO167" s="2744" t="s">
        <v>1128</v>
      </c>
      <c r="BP167" s="2744"/>
      <c r="BQ167" s="2744" t="e">
        <v>#DIV/0!</v>
      </c>
      <c r="BR167" s="2744" t="e">
        <v>#DIV/0!</v>
      </c>
    </row>
    <row r="168" s="2504" customFormat="1" ht="12" hidden="1" spans="1:70">
      <c r="A168" s="2688" t="s">
        <v>2301</v>
      </c>
      <c r="B168" s="2691" t="s">
        <v>2302</v>
      </c>
      <c r="C168" s="2689" t="s">
        <v>2303</v>
      </c>
      <c r="D168" s="2691" t="s">
        <v>2304</v>
      </c>
      <c r="E168" s="2691" t="s">
        <v>1060</v>
      </c>
      <c r="F168" s="2691" t="s">
        <v>2305</v>
      </c>
      <c r="G168" s="2691"/>
      <c r="H168" s="2691" t="s">
        <v>1688</v>
      </c>
      <c r="I168" s="2691" t="s">
        <v>2306</v>
      </c>
      <c r="J168" s="2691" t="s">
        <v>2307</v>
      </c>
      <c r="K168" s="2691" t="s">
        <v>2302</v>
      </c>
      <c r="L168" s="2697">
        <v>155.59</v>
      </c>
      <c r="M168" s="2697">
        <v>2</v>
      </c>
      <c r="N168" s="2688" t="s">
        <v>1101</v>
      </c>
      <c r="O168" s="2697"/>
      <c r="P168" s="2691" t="s">
        <v>1065</v>
      </c>
      <c r="Q168" s="2712">
        <v>910000</v>
      </c>
      <c r="R168" s="2688">
        <v>5849</v>
      </c>
      <c r="S168" s="2722">
        <v>107.23</v>
      </c>
      <c r="T168" s="2723">
        <v>1072300</v>
      </c>
      <c r="U168" s="2688">
        <v>6892</v>
      </c>
      <c r="V168" s="2724">
        <v>0.05</v>
      </c>
      <c r="W168" s="2722">
        <v>101.86</v>
      </c>
      <c r="X168" s="2725">
        <v>1018600</v>
      </c>
      <c r="Y168" s="2745">
        <v>2005</v>
      </c>
      <c r="Z168" s="2745">
        <v>4</v>
      </c>
      <c r="AA168" s="2745">
        <v>28</v>
      </c>
      <c r="AB168" s="2688">
        <v>1500</v>
      </c>
      <c r="AC168" s="2688" t="s">
        <v>1605</v>
      </c>
      <c r="AD168" s="2691"/>
      <c r="AE168" s="2747" t="s">
        <v>179</v>
      </c>
      <c r="AF168" s="2691" t="s">
        <v>1068</v>
      </c>
      <c r="AG168" s="2747" t="s">
        <v>1069</v>
      </c>
      <c r="AH168" s="2688"/>
      <c r="AI168" s="2747" t="s">
        <v>1070</v>
      </c>
      <c r="AJ168" s="2753"/>
      <c r="AK168" s="2755">
        <v>4</v>
      </c>
      <c r="AL168" s="2745">
        <v>67641700</v>
      </c>
      <c r="AM168" s="2745"/>
      <c r="AN168" s="2747" t="s">
        <v>1071</v>
      </c>
      <c r="AO168" s="2688"/>
      <c r="AP168" s="2747" t="s">
        <v>1515</v>
      </c>
      <c r="AQ168" s="2745" t="s">
        <v>1074</v>
      </c>
      <c r="AR168" s="2688"/>
      <c r="AS168" s="2688"/>
      <c r="AT168" s="2688"/>
      <c r="AU168" s="2688"/>
      <c r="AV168" s="2765"/>
      <c r="AW168" s="2745" t="s">
        <v>1343</v>
      </c>
      <c r="AX168" s="2745"/>
      <c r="AY168" s="2769"/>
      <c r="AZ168" s="2688" t="s">
        <v>2308</v>
      </c>
      <c r="BA168" s="2774"/>
      <c r="BB168" s="2775"/>
      <c r="BC168" s="2774"/>
      <c r="BD168" s="2776"/>
      <c r="BE168" s="2745"/>
      <c r="BF168" s="2788"/>
      <c r="BG168" s="2798">
        <v>38460</v>
      </c>
      <c r="BH168" s="2688"/>
      <c r="BI168" s="2745" t="s">
        <v>1067</v>
      </c>
      <c r="BJ168" s="2789">
        <v>38462</v>
      </c>
      <c r="BK168" s="2790"/>
      <c r="BL168" s="2688" t="s">
        <v>1092</v>
      </c>
      <c r="BM168" s="2688" t="s">
        <v>888</v>
      </c>
      <c r="BN168" s="2688" t="s">
        <v>1077</v>
      </c>
      <c r="BO168" s="2688"/>
      <c r="BP168" s="2745"/>
      <c r="BQ168" s="2745" t="e">
        <v>#DIV/0!</v>
      </c>
      <c r="BR168" s="2745" t="e">
        <v>#DIV/0!</v>
      </c>
    </row>
    <row r="169" s="2504" customFormat="1" ht="12" hidden="1" spans="1:70">
      <c r="A169" s="2688" t="s">
        <v>2309</v>
      </c>
      <c r="B169" s="2691" t="s">
        <v>2310</v>
      </c>
      <c r="C169" s="2689" t="s">
        <v>2311</v>
      </c>
      <c r="D169" s="2691" t="s">
        <v>2312</v>
      </c>
      <c r="E169" s="2691" t="s">
        <v>1060</v>
      </c>
      <c r="F169" s="2691" t="s">
        <v>2313</v>
      </c>
      <c r="G169" s="2691"/>
      <c r="H169" s="2691" t="s">
        <v>2314</v>
      </c>
      <c r="I169" s="2691" t="s">
        <v>2315</v>
      </c>
      <c r="J169" s="2691" t="s">
        <v>2316</v>
      </c>
      <c r="K169" s="2691"/>
      <c r="L169" s="2697">
        <v>50.9</v>
      </c>
      <c r="M169" s="2697">
        <v>2</v>
      </c>
      <c r="N169" s="2691" t="s">
        <v>1064</v>
      </c>
      <c r="O169" s="2697"/>
      <c r="P169" s="2691" t="s">
        <v>1065</v>
      </c>
      <c r="Q169" s="2712">
        <v>390000</v>
      </c>
      <c r="R169" s="2688">
        <v>7662</v>
      </c>
      <c r="S169" s="2722">
        <v>30.8</v>
      </c>
      <c r="T169" s="2723">
        <v>308000</v>
      </c>
      <c r="U169" s="2688">
        <v>6053</v>
      </c>
      <c r="V169" s="2727">
        <v>0.05</v>
      </c>
      <c r="W169" s="2722">
        <v>29.26</v>
      </c>
      <c r="X169" s="2725">
        <v>292600</v>
      </c>
      <c r="Y169" s="2745">
        <v>2005</v>
      </c>
      <c r="Z169" s="2688">
        <v>5</v>
      </c>
      <c r="AA169" s="2745">
        <v>17</v>
      </c>
      <c r="AB169" s="2688">
        <v>920</v>
      </c>
      <c r="AC169" s="2688" t="s">
        <v>1605</v>
      </c>
      <c r="AD169" s="2691"/>
      <c r="AE169" s="2691" t="s">
        <v>179</v>
      </c>
      <c r="AF169" s="2691" t="s">
        <v>1068</v>
      </c>
      <c r="AG169" s="2691" t="s">
        <v>1069</v>
      </c>
      <c r="AH169" s="2691"/>
      <c r="AI169" s="2691" t="s">
        <v>1070</v>
      </c>
      <c r="AJ169" s="2760" t="s">
        <v>1114</v>
      </c>
      <c r="AK169" s="2755" t="s">
        <v>1071</v>
      </c>
      <c r="AL169" s="2745">
        <v>67641700</v>
      </c>
      <c r="AM169" s="2745"/>
      <c r="AN169" s="2747" t="s">
        <v>1088</v>
      </c>
      <c r="AO169" s="2745"/>
      <c r="AP169" s="2745" t="s">
        <v>1515</v>
      </c>
      <c r="AQ169" s="2688" t="s">
        <v>1089</v>
      </c>
      <c r="AR169" s="2688"/>
      <c r="AS169" s="2688"/>
      <c r="AT169" s="2688"/>
      <c r="AU169" s="2688"/>
      <c r="AV169" s="2765"/>
      <c r="AW169" s="2691"/>
      <c r="AX169" s="2691"/>
      <c r="AY169" s="2691"/>
      <c r="AZ169" s="2691" t="s">
        <v>2317</v>
      </c>
      <c r="BA169" s="2691"/>
      <c r="BB169" s="2696"/>
      <c r="BC169" s="2691"/>
      <c r="BD169" s="2691"/>
      <c r="BE169" s="2691"/>
      <c r="BF169" s="2788"/>
      <c r="BG169" s="2792">
        <v>38464</v>
      </c>
      <c r="BH169" s="2691"/>
      <c r="BI169" s="2745" t="s">
        <v>2140</v>
      </c>
      <c r="BJ169" s="2789">
        <v>38464</v>
      </c>
      <c r="BK169" s="2753"/>
      <c r="BL169" s="2745"/>
      <c r="BM169" s="2688" t="s">
        <v>888</v>
      </c>
      <c r="BN169" s="2688" t="s">
        <v>1148</v>
      </c>
      <c r="BO169" s="2688" t="s">
        <v>1128</v>
      </c>
      <c r="BP169" s="2745"/>
      <c r="BQ169" s="2745" t="e">
        <v>#DIV/0!</v>
      </c>
      <c r="BR169" s="2745" t="e">
        <v>#DIV/0!</v>
      </c>
    </row>
    <row r="170" s="2504" customFormat="1" ht="12" hidden="1" spans="1:70">
      <c r="A170" s="2688" t="s">
        <v>2318</v>
      </c>
      <c r="B170" s="2688" t="s">
        <v>2319</v>
      </c>
      <c r="C170" s="2689" t="s">
        <v>2320</v>
      </c>
      <c r="D170" s="2691">
        <v>82391856</v>
      </c>
      <c r="E170" s="2688" t="s">
        <v>1060</v>
      </c>
      <c r="F170" s="2688" t="s">
        <v>2321</v>
      </c>
      <c r="G170" s="2688"/>
      <c r="H170" s="2747" t="s">
        <v>1155</v>
      </c>
      <c r="I170" s="2688" t="s">
        <v>1591</v>
      </c>
      <c r="J170" s="2688" t="s">
        <v>2322</v>
      </c>
      <c r="K170" s="2691" t="s">
        <v>2319</v>
      </c>
      <c r="L170" s="2702">
        <v>149.85</v>
      </c>
      <c r="M170" s="2688">
        <v>6</v>
      </c>
      <c r="N170" s="2691" t="s">
        <v>1513</v>
      </c>
      <c r="O170" s="2688"/>
      <c r="P170" s="2688" t="s">
        <v>1065</v>
      </c>
      <c r="Q170" s="2726">
        <v>749250</v>
      </c>
      <c r="R170" s="2688">
        <v>5000</v>
      </c>
      <c r="S170" s="2717">
        <v>76.63</v>
      </c>
      <c r="T170" s="2718">
        <v>766300</v>
      </c>
      <c r="U170" s="2726">
        <v>5114</v>
      </c>
      <c r="V170" s="2724">
        <v>0.05</v>
      </c>
      <c r="W170" s="2717">
        <v>72.79</v>
      </c>
      <c r="X170" s="2720">
        <v>727900</v>
      </c>
      <c r="Y170" s="2745">
        <v>2005</v>
      </c>
      <c r="Z170" s="2745">
        <v>5</v>
      </c>
      <c r="AA170" s="2745">
        <v>17</v>
      </c>
      <c r="AB170" s="2685">
        <v>1500</v>
      </c>
      <c r="AC170" s="2688" t="s">
        <v>1605</v>
      </c>
      <c r="AD170" s="2688"/>
      <c r="AE170" s="2688" t="s">
        <v>175</v>
      </c>
      <c r="AF170" s="2688" t="s">
        <v>1068</v>
      </c>
      <c r="AG170" s="2747" t="s">
        <v>1069</v>
      </c>
      <c r="AH170" s="2688"/>
      <c r="AI170" s="2688"/>
      <c r="AJ170" s="2760"/>
      <c r="AK170" s="2755" t="s">
        <v>1071</v>
      </c>
      <c r="AL170" s="2688">
        <v>82253558</v>
      </c>
      <c r="AM170" s="2688"/>
      <c r="AN170" s="2688" t="s">
        <v>1087</v>
      </c>
      <c r="AO170" s="2688"/>
      <c r="AP170" s="2688" t="s">
        <v>175</v>
      </c>
      <c r="AQ170" s="2688" t="s">
        <v>1074</v>
      </c>
      <c r="AR170" s="2688"/>
      <c r="AS170" s="2688"/>
      <c r="AT170" s="2688"/>
      <c r="AU170" s="2688"/>
      <c r="AV170" s="2688"/>
      <c r="AW170" s="2688" t="s">
        <v>1090</v>
      </c>
      <c r="AX170" s="2688"/>
      <c r="AY170" s="2689"/>
      <c r="AZ170" s="2688" t="s">
        <v>2323</v>
      </c>
      <c r="BA170" s="2688"/>
      <c r="BB170" s="2689"/>
      <c r="BC170" s="2688"/>
      <c r="BD170" s="2771"/>
      <c r="BE170" s="2688"/>
      <c r="BF170" s="2793"/>
      <c r="BG170" s="2760">
        <v>38468</v>
      </c>
      <c r="BH170" s="2688"/>
      <c r="BI170" s="2747" t="s">
        <v>175</v>
      </c>
      <c r="BJ170" s="2753">
        <v>38469</v>
      </c>
      <c r="BK170" s="2794"/>
      <c r="BL170" s="2688" t="s">
        <v>1092</v>
      </c>
      <c r="BM170" s="2688" t="s">
        <v>888</v>
      </c>
      <c r="BN170" s="2745" t="s">
        <v>1077</v>
      </c>
      <c r="BO170" s="2745" t="s">
        <v>1128</v>
      </c>
      <c r="BP170" s="2745"/>
      <c r="BQ170" s="2745"/>
      <c r="BR170" s="2745"/>
    </row>
    <row r="171" s="2504" customFormat="1" ht="12" hidden="1" spans="1:70">
      <c r="A171" s="2688" t="s">
        <v>2324</v>
      </c>
      <c r="B171" s="2688" t="s">
        <v>2325</v>
      </c>
      <c r="C171" s="2689" t="s">
        <v>2326</v>
      </c>
      <c r="D171" s="2691">
        <v>86690646</v>
      </c>
      <c r="E171" s="2688" t="s">
        <v>1060</v>
      </c>
      <c r="F171" s="2688" t="s">
        <v>2327</v>
      </c>
      <c r="G171" s="2688"/>
      <c r="H171" s="2697" t="s">
        <v>1062</v>
      </c>
      <c r="I171" s="2691" t="s">
        <v>2328</v>
      </c>
      <c r="J171" s="2697">
        <v>604</v>
      </c>
      <c r="K171" s="2688" t="s">
        <v>2325</v>
      </c>
      <c r="L171" s="2702">
        <v>125.67</v>
      </c>
      <c r="M171" s="2697">
        <v>6</v>
      </c>
      <c r="N171" s="2688" t="s">
        <v>1123</v>
      </c>
      <c r="O171" s="2688"/>
      <c r="P171" s="2688" t="s">
        <v>1065</v>
      </c>
      <c r="Q171" s="2726">
        <v>556000</v>
      </c>
      <c r="R171" s="2712">
        <v>4424</v>
      </c>
      <c r="S171" s="2722">
        <v>53.1</v>
      </c>
      <c r="T171" s="2723">
        <v>531000</v>
      </c>
      <c r="U171" s="2726">
        <v>4226</v>
      </c>
      <c r="V171" s="2724">
        <v>0.05</v>
      </c>
      <c r="W171" s="2722">
        <v>50.44</v>
      </c>
      <c r="X171" s="2723">
        <v>504400</v>
      </c>
      <c r="Y171" s="2688">
        <v>2005</v>
      </c>
      <c r="Z171" s="2688">
        <v>5</v>
      </c>
      <c r="AA171" s="2688">
        <v>11</v>
      </c>
      <c r="AB171" s="2688">
        <v>1500</v>
      </c>
      <c r="AC171" s="2688" t="s">
        <v>1605</v>
      </c>
      <c r="AD171" s="2688"/>
      <c r="AE171" s="2745" t="s">
        <v>175</v>
      </c>
      <c r="AF171" s="2691" t="s">
        <v>1068</v>
      </c>
      <c r="AG171" s="2688" t="s">
        <v>1069</v>
      </c>
      <c r="AH171" s="2688" t="s">
        <v>1114</v>
      </c>
      <c r="AI171" s="2688" t="s">
        <v>1070</v>
      </c>
      <c r="AJ171" s="2760"/>
      <c r="AK171" s="2755" t="s">
        <v>1071</v>
      </c>
      <c r="AL171" s="2745">
        <v>82253558</v>
      </c>
      <c r="AM171" s="2688"/>
      <c r="AN171" s="2688" t="s">
        <v>1072</v>
      </c>
      <c r="AO171" s="2688" t="s">
        <v>1114</v>
      </c>
      <c r="AP171" s="2745" t="s">
        <v>175</v>
      </c>
      <c r="AQ171" s="2688" t="s">
        <v>1074</v>
      </c>
      <c r="AR171" s="2688" t="s">
        <v>1114</v>
      </c>
      <c r="AS171" s="2688" t="s">
        <v>1114</v>
      </c>
      <c r="AT171" s="2688" t="s">
        <v>1114</v>
      </c>
      <c r="AU171" s="2688"/>
      <c r="AV171" s="2688"/>
      <c r="AW171" s="2688" t="s">
        <v>1075</v>
      </c>
      <c r="AX171" s="2688" t="s">
        <v>1114</v>
      </c>
      <c r="AY171" s="2747"/>
      <c r="AZ171" s="2688" t="s">
        <v>2329</v>
      </c>
      <c r="BA171" s="2688"/>
      <c r="BB171" s="2688"/>
      <c r="BC171" s="2688"/>
      <c r="BD171" s="2688"/>
      <c r="BE171" s="2688"/>
      <c r="BF171" s="2688"/>
      <c r="BG171" s="2760"/>
      <c r="BH171" s="2688" t="s">
        <v>1114</v>
      </c>
      <c r="BI171" s="2688" t="s">
        <v>175</v>
      </c>
      <c r="BJ171" s="2753">
        <v>38480</v>
      </c>
      <c r="BK171" s="2753" t="s">
        <v>1114</v>
      </c>
      <c r="BL171" s="2688" t="s">
        <v>2330</v>
      </c>
      <c r="BM171" s="2688" t="s">
        <v>888</v>
      </c>
      <c r="BN171" s="2688" t="s">
        <v>1174</v>
      </c>
      <c r="BO171" s="2688" t="s">
        <v>1128</v>
      </c>
      <c r="BP171" s="2688"/>
      <c r="BQ171" s="2688">
        <v>7290</v>
      </c>
      <c r="BR171" s="2688">
        <v>7355</v>
      </c>
    </row>
    <row r="172" s="2504" customFormat="1" ht="12" hidden="1" spans="1:70">
      <c r="A172" s="2688" t="s">
        <v>2331</v>
      </c>
      <c r="B172" s="2688" t="s">
        <v>2332</v>
      </c>
      <c r="C172" s="2689" t="s">
        <v>2333</v>
      </c>
      <c r="D172" s="2691">
        <v>88449626</v>
      </c>
      <c r="E172" s="2688" t="s">
        <v>1060</v>
      </c>
      <c r="F172" s="2688" t="s">
        <v>2334</v>
      </c>
      <c r="G172" s="2688" t="s">
        <v>1114</v>
      </c>
      <c r="H172" s="2747" t="s">
        <v>1062</v>
      </c>
      <c r="I172" s="2691" t="s">
        <v>2335</v>
      </c>
      <c r="J172" s="2697" t="s">
        <v>1907</v>
      </c>
      <c r="K172" s="2688" t="s">
        <v>2336</v>
      </c>
      <c r="L172" s="2813">
        <v>103.37</v>
      </c>
      <c r="M172" s="2697">
        <v>7</v>
      </c>
      <c r="N172" s="2691" t="s">
        <v>1064</v>
      </c>
      <c r="O172" s="2688"/>
      <c r="P172" s="2688" t="s">
        <v>1065</v>
      </c>
      <c r="Q172" s="2726">
        <v>754124</v>
      </c>
      <c r="R172" s="2688">
        <v>7295</v>
      </c>
      <c r="S172" s="2722">
        <v>66.72</v>
      </c>
      <c r="T172" s="2723">
        <v>667200</v>
      </c>
      <c r="U172" s="2726">
        <v>6455</v>
      </c>
      <c r="V172" s="2724">
        <v>0.05</v>
      </c>
      <c r="W172" s="2722">
        <v>63.38</v>
      </c>
      <c r="X172" s="2725">
        <v>633800</v>
      </c>
      <c r="Y172" s="2745">
        <v>2005</v>
      </c>
      <c r="Z172" s="2688">
        <v>6</v>
      </c>
      <c r="AA172" s="2688">
        <v>9</v>
      </c>
      <c r="AB172" s="2688">
        <v>1500</v>
      </c>
      <c r="AC172" s="2688" t="s">
        <v>1605</v>
      </c>
      <c r="AD172" s="2688"/>
      <c r="AE172" s="2691" t="s">
        <v>179</v>
      </c>
      <c r="AF172" s="2691" t="s">
        <v>1068</v>
      </c>
      <c r="AG172" s="2688" t="s">
        <v>1069</v>
      </c>
      <c r="AH172" s="2688"/>
      <c r="AI172" s="2688" t="s">
        <v>2337</v>
      </c>
      <c r="AJ172" s="2760"/>
      <c r="AK172" s="2755">
        <v>6</v>
      </c>
      <c r="AL172" s="2745">
        <v>82253558</v>
      </c>
      <c r="AM172" s="2745"/>
      <c r="AN172" s="2747" t="s">
        <v>1088</v>
      </c>
      <c r="AO172" s="2688"/>
      <c r="AP172" s="2747" t="s">
        <v>1515</v>
      </c>
      <c r="AQ172" s="2688" t="s">
        <v>1675</v>
      </c>
      <c r="AR172" s="2688"/>
      <c r="AS172" s="2688"/>
      <c r="AT172" s="2688"/>
      <c r="AU172" s="2688"/>
      <c r="AV172" s="2688"/>
      <c r="AW172" s="2688" t="s">
        <v>1075</v>
      </c>
      <c r="AX172" s="2688"/>
      <c r="AY172" s="2769"/>
      <c r="AZ172" s="2688"/>
      <c r="BA172" s="2688"/>
      <c r="BB172" s="2688"/>
      <c r="BC172" s="2688"/>
      <c r="BD172" s="2688"/>
      <c r="BE172" s="2688"/>
      <c r="BF172" s="2688"/>
      <c r="BG172" s="2760">
        <v>38139</v>
      </c>
      <c r="BH172" s="2688"/>
      <c r="BI172" s="2688" t="s">
        <v>2338</v>
      </c>
      <c r="BJ172" s="2753">
        <v>38483</v>
      </c>
      <c r="BK172" s="2753"/>
      <c r="BL172" s="2688" t="s">
        <v>1092</v>
      </c>
      <c r="BM172" s="2688" t="s">
        <v>888</v>
      </c>
      <c r="BN172" s="2688" t="s">
        <v>1077</v>
      </c>
      <c r="BO172" s="2688" t="s">
        <v>1128</v>
      </c>
      <c r="BP172" s="2688"/>
      <c r="BQ172" s="2745">
        <v>9141</v>
      </c>
      <c r="BR172" s="2745">
        <v>9205</v>
      </c>
    </row>
    <row r="173" s="2506" customFormat="1" ht="12" hidden="1" spans="1:73">
      <c r="A173" s="2685" t="s">
        <v>2339</v>
      </c>
      <c r="B173" s="2685" t="s">
        <v>2340</v>
      </c>
      <c r="C173" s="2686" t="s">
        <v>2341</v>
      </c>
      <c r="D173" s="2686" t="s">
        <v>2342</v>
      </c>
      <c r="E173" s="2685" t="s">
        <v>1060</v>
      </c>
      <c r="F173" s="2687" t="s">
        <v>2343</v>
      </c>
      <c r="G173" s="2685"/>
      <c r="H173" s="2685" t="s">
        <v>1421</v>
      </c>
      <c r="I173" s="2685"/>
      <c r="J173" s="2686" t="s">
        <v>2344</v>
      </c>
      <c r="K173" s="2685"/>
      <c r="L173" s="2685">
        <v>103.15</v>
      </c>
      <c r="M173" s="2685">
        <v>8</v>
      </c>
      <c r="N173" s="2685" t="s">
        <v>1064</v>
      </c>
      <c r="O173" s="2685"/>
      <c r="P173" s="2685" t="s">
        <v>1065</v>
      </c>
      <c r="Q173" s="2716">
        <v>688000</v>
      </c>
      <c r="R173" s="2685">
        <v>6670</v>
      </c>
      <c r="S173" s="2717">
        <v>66.25</v>
      </c>
      <c r="T173" s="2718">
        <v>662500</v>
      </c>
      <c r="U173" s="2685">
        <v>6423</v>
      </c>
      <c r="V173" s="2719">
        <v>0.05</v>
      </c>
      <c r="W173" s="2717">
        <v>62.93</v>
      </c>
      <c r="X173" s="2720">
        <v>629300</v>
      </c>
      <c r="Y173" s="2744">
        <v>2005</v>
      </c>
      <c r="Z173" s="2744">
        <v>5</v>
      </c>
      <c r="AA173" s="2744">
        <v>20</v>
      </c>
      <c r="AB173" s="2688">
        <v>1500</v>
      </c>
      <c r="AC173" s="2685" t="s">
        <v>1605</v>
      </c>
      <c r="AD173" s="2685"/>
      <c r="AE173" s="2747" t="s">
        <v>179</v>
      </c>
      <c r="AF173" s="2685" t="s">
        <v>1068</v>
      </c>
      <c r="AG173" s="2685" t="s">
        <v>1069</v>
      </c>
      <c r="AH173" s="2685"/>
      <c r="AI173" s="2747" t="s">
        <v>1070</v>
      </c>
      <c r="AJ173" s="2751"/>
      <c r="AK173" s="2756" t="s">
        <v>1071</v>
      </c>
      <c r="AL173" s="2745">
        <v>67641700</v>
      </c>
      <c r="AM173" s="2744"/>
      <c r="AN173" s="2744" t="s">
        <v>1088</v>
      </c>
      <c r="AO173" s="2744" t="s">
        <v>2345</v>
      </c>
      <c r="AP173" s="2747" t="s">
        <v>1515</v>
      </c>
      <c r="AQ173" s="2685" t="s">
        <v>1074</v>
      </c>
      <c r="AR173" s="2744"/>
      <c r="AS173" s="2744"/>
      <c r="AT173" s="2744"/>
      <c r="AU173" s="2744"/>
      <c r="AV173" s="2744"/>
      <c r="AW173" s="2744"/>
      <c r="AX173" s="2744"/>
      <c r="AY173" s="2767"/>
      <c r="AZ173" s="2744" t="s">
        <v>2346</v>
      </c>
      <c r="BA173" s="2744"/>
      <c r="BB173" s="2767"/>
      <c r="BC173" s="2744"/>
      <c r="BD173" s="2768"/>
      <c r="BE173" s="2744"/>
      <c r="BF173" s="2784"/>
      <c r="BG173" s="2785">
        <v>38470</v>
      </c>
      <c r="BH173" s="2744"/>
      <c r="BI173" s="2744" t="s">
        <v>1067</v>
      </c>
      <c r="BJ173" s="2787">
        <v>38490</v>
      </c>
      <c r="BK173" s="2787"/>
      <c r="BL173" s="2685" t="s">
        <v>1174</v>
      </c>
      <c r="BM173" s="2744" t="s">
        <v>888</v>
      </c>
      <c r="BN173" s="2744" t="s">
        <v>1148</v>
      </c>
      <c r="BO173" s="2744" t="s">
        <v>1128</v>
      </c>
      <c r="BP173" s="2744"/>
      <c r="BQ173" s="2744" t="e">
        <v>#DIV/0!</v>
      </c>
      <c r="BR173" s="2744" t="e">
        <v>#DIV/0!</v>
      </c>
      <c r="BS173" s="2504"/>
      <c r="BT173" s="2504"/>
      <c r="BU173" s="2504"/>
    </row>
    <row r="174" s="2504" customFormat="1" ht="12" hidden="1" spans="1:70">
      <c r="A174" s="2688" t="s">
        <v>2347</v>
      </c>
      <c r="B174" s="2685" t="s">
        <v>2348</v>
      </c>
      <c r="C174" s="2686" t="s">
        <v>2349</v>
      </c>
      <c r="D174" s="2686" t="s">
        <v>2350</v>
      </c>
      <c r="E174" s="2685" t="s">
        <v>1060</v>
      </c>
      <c r="F174" s="2692" t="s">
        <v>2351</v>
      </c>
      <c r="G174" s="2685"/>
      <c r="H174" s="2685" t="s">
        <v>2352</v>
      </c>
      <c r="I174" s="2685" t="s">
        <v>1222</v>
      </c>
      <c r="J174" s="2686" t="s">
        <v>2353</v>
      </c>
      <c r="K174" s="2685" t="s">
        <v>2348</v>
      </c>
      <c r="L174" s="2685">
        <v>52.36</v>
      </c>
      <c r="M174" s="2685">
        <v>1</v>
      </c>
      <c r="N174" s="2685" t="s">
        <v>1064</v>
      </c>
      <c r="O174" s="2685"/>
      <c r="P174" s="2685" t="s">
        <v>1065</v>
      </c>
      <c r="Q174" s="2716">
        <v>420000</v>
      </c>
      <c r="R174" s="2685">
        <v>8021</v>
      </c>
      <c r="S174" s="2717">
        <v>35.36</v>
      </c>
      <c r="T174" s="2718">
        <v>353600</v>
      </c>
      <c r="U174" s="2685">
        <v>6754</v>
      </c>
      <c r="V174" s="2719">
        <v>0.05</v>
      </c>
      <c r="W174" s="2717">
        <v>33.59</v>
      </c>
      <c r="X174" s="2720">
        <v>335900</v>
      </c>
      <c r="Y174" s="2744">
        <v>2005</v>
      </c>
      <c r="Z174" s="2744">
        <v>5</v>
      </c>
      <c r="AA174" s="2744">
        <v>31</v>
      </c>
      <c r="AB174" s="2685">
        <v>1060</v>
      </c>
      <c r="AC174" s="2685" t="s">
        <v>1605</v>
      </c>
      <c r="AD174" s="2685"/>
      <c r="AE174" s="2691" t="s">
        <v>179</v>
      </c>
      <c r="AF174" s="2685" t="s">
        <v>1068</v>
      </c>
      <c r="AG174" s="2685" t="s">
        <v>1069</v>
      </c>
      <c r="AH174" s="2685"/>
      <c r="AI174" s="2691" t="s">
        <v>1070</v>
      </c>
      <c r="AJ174" s="2751"/>
      <c r="AK174" s="2755">
        <v>5</v>
      </c>
      <c r="AL174" s="2745">
        <v>67641700</v>
      </c>
      <c r="AM174" s="2744"/>
      <c r="AN174" s="2747" t="s">
        <v>1071</v>
      </c>
      <c r="AO174" s="2744"/>
      <c r="AP174" s="2747" t="s">
        <v>1515</v>
      </c>
      <c r="AQ174" s="2744" t="s">
        <v>1675</v>
      </c>
      <c r="AR174" s="2744"/>
      <c r="AS174" s="2744"/>
      <c r="AT174" s="2744"/>
      <c r="AU174" s="2744"/>
      <c r="AV174" s="2744"/>
      <c r="AW174" s="2691" t="s">
        <v>1075</v>
      </c>
      <c r="AX174" s="2744"/>
      <c r="AY174" s="2767"/>
      <c r="AZ174" s="2744" t="s">
        <v>2354</v>
      </c>
      <c r="BA174" s="2744"/>
      <c r="BB174" s="2767"/>
      <c r="BC174" s="2744"/>
      <c r="BD174" s="2768"/>
      <c r="BE174" s="2744"/>
      <c r="BF174" s="2784"/>
      <c r="BG174" s="2785">
        <v>38484</v>
      </c>
      <c r="BH174" s="2744"/>
      <c r="BI174" s="2688" t="s">
        <v>2338</v>
      </c>
      <c r="BJ174" s="2787">
        <v>38484</v>
      </c>
      <c r="BK174" s="2787"/>
      <c r="BL174" s="2685" t="s">
        <v>1092</v>
      </c>
      <c r="BM174" s="2744" t="s">
        <v>888</v>
      </c>
      <c r="BN174" s="2744" t="s">
        <v>1077</v>
      </c>
      <c r="BO174" s="2744" t="s">
        <v>1128</v>
      </c>
      <c r="BP174" s="2744"/>
      <c r="BQ174" s="2744" t="e">
        <v>#DIV/0!</v>
      </c>
      <c r="BR174" s="2744" t="e">
        <v>#DIV/0!</v>
      </c>
    </row>
    <row r="175" s="2505" customFormat="1" ht="12" hidden="1" spans="1:73">
      <c r="A175" s="2688" t="s">
        <v>2355</v>
      </c>
      <c r="B175" s="2688" t="s">
        <v>2356</v>
      </c>
      <c r="C175" s="2689" t="s">
        <v>2357</v>
      </c>
      <c r="D175" s="2689" t="s">
        <v>2358</v>
      </c>
      <c r="E175" s="2688" t="s">
        <v>1060</v>
      </c>
      <c r="F175" s="2690" t="s">
        <v>2359</v>
      </c>
      <c r="G175" s="2688"/>
      <c r="H175" s="2688" t="s">
        <v>2360</v>
      </c>
      <c r="I175" s="2688"/>
      <c r="J175" s="2689" t="s">
        <v>2361</v>
      </c>
      <c r="K175" s="2688"/>
      <c r="L175" s="2813">
        <v>74.9</v>
      </c>
      <c r="M175" s="2688">
        <v>11</v>
      </c>
      <c r="N175" s="2688" t="s">
        <v>1064</v>
      </c>
      <c r="O175" s="2688"/>
      <c r="P175" s="2688" t="s">
        <v>1065</v>
      </c>
      <c r="Q175" s="2712">
        <v>502000</v>
      </c>
      <c r="R175" s="2688">
        <v>6702</v>
      </c>
      <c r="S175" s="2722">
        <v>45.97</v>
      </c>
      <c r="T175" s="2723">
        <v>459700</v>
      </c>
      <c r="U175" s="2688">
        <v>6138</v>
      </c>
      <c r="V175" s="2724">
        <v>0.05</v>
      </c>
      <c r="W175" s="2722">
        <v>43.67</v>
      </c>
      <c r="X175" s="2725">
        <v>436700</v>
      </c>
      <c r="Y175" s="2745">
        <v>2005</v>
      </c>
      <c r="Z175" s="2745">
        <v>6</v>
      </c>
      <c r="AA175" s="2745">
        <v>2</v>
      </c>
      <c r="AB175" s="2688">
        <v>1375</v>
      </c>
      <c r="AC175" s="2688" t="s">
        <v>1605</v>
      </c>
      <c r="AD175" s="2688"/>
      <c r="AE175" s="2745" t="s">
        <v>179</v>
      </c>
      <c r="AF175" s="2688" t="s">
        <v>1068</v>
      </c>
      <c r="AG175" s="2688" t="s">
        <v>1069</v>
      </c>
      <c r="AH175" s="2688"/>
      <c r="AI175" s="2688" t="s">
        <v>1070</v>
      </c>
      <c r="AJ175" s="2753"/>
      <c r="AK175" s="2754" t="s">
        <v>1261</v>
      </c>
      <c r="AL175" s="2745">
        <v>67641700</v>
      </c>
      <c r="AM175" s="2745"/>
      <c r="AN175" s="2745" t="s">
        <v>1087</v>
      </c>
      <c r="AO175" s="2745"/>
      <c r="AP175" s="2745" t="s">
        <v>1515</v>
      </c>
      <c r="AQ175" s="2688" t="s">
        <v>1089</v>
      </c>
      <c r="AR175" s="2745"/>
      <c r="AS175" s="2745"/>
      <c r="AT175" s="2745"/>
      <c r="AU175" s="2745"/>
      <c r="AV175" s="2745"/>
      <c r="AW175" s="2745" t="s">
        <v>1343</v>
      </c>
      <c r="AX175" s="2745"/>
      <c r="AY175" s="2769"/>
      <c r="AZ175" s="2745" t="s">
        <v>2362</v>
      </c>
      <c r="BA175" s="2745"/>
      <c r="BB175" s="2769"/>
      <c r="BC175" s="2745"/>
      <c r="BD175" s="2770"/>
      <c r="BE175" s="2745"/>
      <c r="BF175" s="2788"/>
      <c r="BG175" s="2790">
        <v>38490</v>
      </c>
      <c r="BH175" s="2745"/>
      <c r="BI175" s="2688" t="s">
        <v>2140</v>
      </c>
      <c r="BJ175" s="2789">
        <v>38492</v>
      </c>
      <c r="BK175" s="2789"/>
      <c r="BL175" s="2688" t="s">
        <v>1092</v>
      </c>
      <c r="BM175" s="2745"/>
      <c r="BN175" s="2745"/>
      <c r="BO175" s="2745"/>
      <c r="BP175" s="2745"/>
      <c r="BQ175" s="2745" t="e">
        <v>#DIV/0!</v>
      </c>
      <c r="BR175" s="2745" t="e">
        <v>#DIV/0!</v>
      </c>
      <c r="BS175" s="2504"/>
      <c r="BT175" s="2504"/>
      <c r="BU175" s="2504"/>
    </row>
    <row r="176" s="2505" customFormat="1" ht="12" hidden="1" spans="1:73">
      <c r="A176" s="2688" t="s">
        <v>2363</v>
      </c>
      <c r="B176" s="2688" t="s">
        <v>2364</v>
      </c>
      <c r="C176" s="2689" t="s">
        <v>2365</v>
      </c>
      <c r="D176" s="2689" t="s">
        <v>2366</v>
      </c>
      <c r="E176" s="2688" t="s">
        <v>1060</v>
      </c>
      <c r="F176" s="2690" t="s">
        <v>2367</v>
      </c>
      <c r="G176" s="2688"/>
      <c r="H176" s="2688" t="s">
        <v>1180</v>
      </c>
      <c r="I176" s="2688" t="s">
        <v>1585</v>
      </c>
      <c r="J176" s="2689" t="s">
        <v>1365</v>
      </c>
      <c r="K176" s="2688" t="s">
        <v>2364</v>
      </c>
      <c r="L176" s="2702">
        <v>75.97</v>
      </c>
      <c r="M176" s="2688">
        <v>6</v>
      </c>
      <c r="N176" s="2685" t="s">
        <v>1123</v>
      </c>
      <c r="O176" s="2688"/>
      <c r="P176" s="2685" t="s">
        <v>1690</v>
      </c>
      <c r="Q176" s="2712">
        <v>350000</v>
      </c>
      <c r="R176" s="2688">
        <v>4607</v>
      </c>
      <c r="S176" s="2722">
        <v>37.23</v>
      </c>
      <c r="T176" s="2723">
        <v>372300</v>
      </c>
      <c r="U176" s="2688">
        <v>4901</v>
      </c>
      <c r="V176" s="2724">
        <v>0.05</v>
      </c>
      <c r="W176" s="2722">
        <v>35.36</v>
      </c>
      <c r="X176" s="2725">
        <v>353600</v>
      </c>
      <c r="Y176" s="2745">
        <v>2005</v>
      </c>
      <c r="Z176" s="2745">
        <v>7</v>
      </c>
      <c r="AA176" s="2745">
        <v>8</v>
      </c>
      <c r="AB176" s="2688">
        <v>1115</v>
      </c>
      <c r="AC176" s="2688" t="s">
        <v>1605</v>
      </c>
      <c r="AD176" s="2688"/>
      <c r="AE176" s="2691" t="s">
        <v>179</v>
      </c>
      <c r="AF176" s="2685" t="s">
        <v>1068</v>
      </c>
      <c r="AG176" s="2685" t="s">
        <v>1069</v>
      </c>
      <c r="AH176" s="2688"/>
      <c r="AI176" s="2685" t="s">
        <v>1070</v>
      </c>
      <c r="AJ176" s="2753"/>
      <c r="AK176" s="2756" t="s">
        <v>1330</v>
      </c>
      <c r="AL176" s="2745">
        <v>67641700</v>
      </c>
      <c r="AM176" s="2745"/>
      <c r="AN176" s="2745" t="s">
        <v>1088</v>
      </c>
      <c r="AO176" s="2745"/>
      <c r="AP176" s="2747" t="s">
        <v>1515</v>
      </c>
      <c r="AQ176" s="2744" t="s">
        <v>1089</v>
      </c>
      <c r="AR176" s="2745"/>
      <c r="AS176" s="2745"/>
      <c r="AT176" s="2745"/>
      <c r="AU176" s="2745"/>
      <c r="AV176" s="2745"/>
      <c r="AW176" s="2745"/>
      <c r="AX176" s="2745"/>
      <c r="AY176" s="2769"/>
      <c r="AZ176" s="2745" t="s">
        <v>2368</v>
      </c>
      <c r="BA176" s="2745"/>
      <c r="BB176" s="2769"/>
      <c r="BC176" s="2745"/>
      <c r="BD176" s="2770"/>
      <c r="BE176" s="2745"/>
      <c r="BF176" s="2788"/>
      <c r="BG176" s="2790">
        <v>38481</v>
      </c>
      <c r="BH176" s="2745"/>
      <c r="BI176" s="2688" t="s">
        <v>2140</v>
      </c>
      <c r="BJ176" s="2789">
        <v>38496</v>
      </c>
      <c r="BK176" s="2789"/>
      <c r="BL176" s="2688"/>
      <c r="BM176" s="2744" t="s">
        <v>2369</v>
      </c>
      <c r="BN176" s="2744" t="s">
        <v>1077</v>
      </c>
      <c r="BO176" s="2744" t="s">
        <v>1344</v>
      </c>
      <c r="BP176" s="2745"/>
      <c r="BQ176" s="2745" t="e">
        <v>#DIV/0!</v>
      </c>
      <c r="BR176" s="2745" t="e">
        <v>#DIV/0!</v>
      </c>
      <c r="BS176" s="2504"/>
      <c r="BT176" s="2504"/>
      <c r="BU176" s="2504"/>
    </row>
    <row r="177" s="2505" customFormat="1" ht="12" hidden="1" spans="1:73">
      <c r="A177" s="2688" t="s">
        <v>2370</v>
      </c>
      <c r="B177" s="2688" t="s">
        <v>2371</v>
      </c>
      <c r="C177" s="2689" t="s">
        <v>2372</v>
      </c>
      <c r="D177" s="2689" t="s">
        <v>2373</v>
      </c>
      <c r="E177" s="2688" t="s">
        <v>1060</v>
      </c>
      <c r="F177" s="2690" t="s">
        <v>2374</v>
      </c>
      <c r="G177" s="2688"/>
      <c r="H177" s="2688" t="s">
        <v>1446</v>
      </c>
      <c r="I177" s="2688" t="s">
        <v>1381</v>
      </c>
      <c r="J177" s="2689" t="s">
        <v>1382</v>
      </c>
      <c r="K177" s="2688" t="s">
        <v>2371</v>
      </c>
      <c r="L177" s="2813">
        <v>100.84</v>
      </c>
      <c r="M177" s="2688">
        <v>2</v>
      </c>
      <c r="N177" s="2685" t="s">
        <v>1064</v>
      </c>
      <c r="O177" s="2688"/>
      <c r="P177" s="2685" t="s">
        <v>1065</v>
      </c>
      <c r="Q177" s="2712">
        <v>695000</v>
      </c>
      <c r="R177" s="2688">
        <v>6892</v>
      </c>
      <c r="S177" s="2722">
        <v>62.33</v>
      </c>
      <c r="T177" s="2723">
        <v>623300</v>
      </c>
      <c r="U177" s="2688">
        <v>6182</v>
      </c>
      <c r="V177" s="2724">
        <v>0.05</v>
      </c>
      <c r="W177" s="2722">
        <v>59.21</v>
      </c>
      <c r="X177" s="2725">
        <v>592100</v>
      </c>
      <c r="Y177" s="2745">
        <v>2005</v>
      </c>
      <c r="Z177" s="2745">
        <v>6</v>
      </c>
      <c r="AA177" s="2745">
        <v>1</v>
      </c>
      <c r="AB177" s="2688">
        <v>1500</v>
      </c>
      <c r="AC177" s="2688" t="s">
        <v>1605</v>
      </c>
      <c r="AD177" s="2688"/>
      <c r="AE177" s="2691" t="s">
        <v>179</v>
      </c>
      <c r="AF177" s="2685" t="s">
        <v>1068</v>
      </c>
      <c r="AG177" s="2685" t="s">
        <v>1069</v>
      </c>
      <c r="AH177" s="2688"/>
      <c r="AI177" s="2685" t="s">
        <v>1070</v>
      </c>
      <c r="AJ177" s="2753"/>
      <c r="AK177" s="2756" t="s">
        <v>1261</v>
      </c>
      <c r="AL177" s="2745">
        <v>67641700</v>
      </c>
      <c r="AM177" s="2745"/>
      <c r="AN177" s="2745" t="s">
        <v>1087</v>
      </c>
      <c r="AO177" s="2745"/>
      <c r="AP177" s="2747" t="s">
        <v>1515</v>
      </c>
      <c r="AQ177" s="2744" t="s">
        <v>1074</v>
      </c>
      <c r="AR177" s="2745"/>
      <c r="AS177" s="2745"/>
      <c r="AT177" s="2745"/>
      <c r="AU177" s="2745"/>
      <c r="AV177" s="2745"/>
      <c r="AW177" s="2745"/>
      <c r="AX177" s="2745"/>
      <c r="AY177" s="2769"/>
      <c r="AZ177" s="2745" t="s">
        <v>2375</v>
      </c>
      <c r="BA177" s="2745"/>
      <c r="BB177" s="2769"/>
      <c r="BC177" s="2745"/>
      <c r="BD177" s="2770"/>
      <c r="BE177" s="2745"/>
      <c r="BF177" s="2788"/>
      <c r="BG177" s="2790">
        <v>38430</v>
      </c>
      <c r="BH177" s="2745"/>
      <c r="BI177" s="2744" t="s">
        <v>1067</v>
      </c>
      <c r="BJ177" s="2789">
        <v>38496</v>
      </c>
      <c r="BK177" s="2789"/>
      <c r="BL177" s="2688" t="s">
        <v>1092</v>
      </c>
      <c r="BM177" s="2744" t="s">
        <v>888</v>
      </c>
      <c r="BN177" s="2744" t="s">
        <v>1077</v>
      </c>
      <c r="BO177" s="2744" t="s">
        <v>1344</v>
      </c>
      <c r="BP177" s="2745"/>
      <c r="BQ177" s="2745" t="e">
        <v>#DIV/0!</v>
      </c>
      <c r="BR177" s="2745" t="e">
        <v>#DIV/0!</v>
      </c>
      <c r="BS177" s="2504"/>
      <c r="BT177" s="2504"/>
      <c r="BU177" s="2504"/>
    </row>
    <row r="178" s="2505" customFormat="1" ht="12" hidden="1" spans="1:255">
      <c r="A178" s="2688" t="s">
        <v>2376</v>
      </c>
      <c r="B178" s="2691" t="s">
        <v>2377</v>
      </c>
      <c r="C178" s="2689" t="s">
        <v>2378</v>
      </c>
      <c r="D178" s="2691">
        <v>13811270038</v>
      </c>
      <c r="E178" s="2691" t="s">
        <v>1060</v>
      </c>
      <c r="F178" s="2691" t="s">
        <v>2379</v>
      </c>
      <c r="G178" s="2691"/>
      <c r="H178" s="2691"/>
      <c r="I178" s="2691" t="s">
        <v>1143</v>
      </c>
      <c r="J178" s="2691" t="s">
        <v>1223</v>
      </c>
      <c r="K178" s="2691"/>
      <c r="L178" s="2813">
        <v>69.12</v>
      </c>
      <c r="M178" s="2697">
        <v>3</v>
      </c>
      <c r="N178" s="2684" t="s">
        <v>1064</v>
      </c>
      <c r="O178" s="2697"/>
      <c r="P178" s="2691" t="s">
        <v>1065</v>
      </c>
      <c r="Q178" s="2712">
        <v>510000</v>
      </c>
      <c r="R178" s="2712">
        <v>7378</v>
      </c>
      <c r="S178" s="2722">
        <v>43.84</v>
      </c>
      <c r="T178" s="2723">
        <v>438400</v>
      </c>
      <c r="U178" s="2688">
        <v>6343</v>
      </c>
      <c r="V178" s="2724">
        <v>0.05</v>
      </c>
      <c r="W178" s="2722">
        <v>41.64</v>
      </c>
      <c r="X178" s="2723">
        <v>416400</v>
      </c>
      <c r="Y178" s="2745">
        <v>2005</v>
      </c>
      <c r="Z178" s="2745">
        <v>6</v>
      </c>
      <c r="AA178" s="2745">
        <v>1</v>
      </c>
      <c r="AB178" s="2688">
        <v>1315</v>
      </c>
      <c r="AC178" s="2688" t="s">
        <v>1605</v>
      </c>
      <c r="AD178" s="2691"/>
      <c r="AE178" s="2691" t="s">
        <v>179</v>
      </c>
      <c r="AF178" s="2691" t="s">
        <v>1068</v>
      </c>
      <c r="AG178" s="2691" t="s">
        <v>1069</v>
      </c>
      <c r="AH178" s="2691"/>
      <c r="AI178" s="2691" t="s">
        <v>1070</v>
      </c>
      <c r="AJ178" s="2760"/>
      <c r="AK178" s="2755" t="s">
        <v>1261</v>
      </c>
      <c r="AL178" s="2745">
        <v>67641700</v>
      </c>
      <c r="AM178" s="2745"/>
      <c r="AN178" s="2747" t="s">
        <v>1087</v>
      </c>
      <c r="AO178" s="2688"/>
      <c r="AP178" s="2747" t="s">
        <v>1515</v>
      </c>
      <c r="AQ178" s="2745" t="s">
        <v>1074</v>
      </c>
      <c r="AR178" s="2688"/>
      <c r="AS178" s="2688"/>
      <c r="AT178" s="2688"/>
      <c r="AU178" s="2688"/>
      <c r="AV178" s="2765"/>
      <c r="AW178" s="2745" t="s">
        <v>1343</v>
      </c>
      <c r="AX178" s="2745"/>
      <c r="AY178" s="2769"/>
      <c r="AZ178" s="2688" t="s">
        <v>2380</v>
      </c>
      <c r="BA178" s="2774"/>
      <c r="BB178" s="2775"/>
      <c r="BC178" s="2774"/>
      <c r="BD178" s="2776"/>
      <c r="BE178" s="2745"/>
      <c r="BF178" s="2788"/>
      <c r="BG178" s="2798">
        <v>38497</v>
      </c>
      <c r="BH178" s="2688"/>
      <c r="BI178" s="2745" t="s">
        <v>175</v>
      </c>
      <c r="BJ178" s="2789">
        <v>38499</v>
      </c>
      <c r="BK178" s="2753"/>
      <c r="BL178" s="2688" t="s">
        <v>1092</v>
      </c>
      <c r="BM178" s="2688" t="s">
        <v>888</v>
      </c>
      <c r="BN178" s="2688" t="s">
        <v>1148</v>
      </c>
      <c r="BO178" s="2688" t="s">
        <v>1128</v>
      </c>
      <c r="BP178" s="2745"/>
      <c r="BQ178" s="2745" t="e">
        <v>#DIV/0!</v>
      </c>
      <c r="BR178" s="2745" t="e">
        <v>#DIV/0!</v>
      </c>
      <c r="BS178" s="2504"/>
      <c r="BT178" s="2504"/>
      <c r="BU178" s="2504"/>
      <c r="BV178" s="2831"/>
      <c r="BW178" s="2831"/>
      <c r="BX178" s="2831"/>
      <c r="BY178" s="2831"/>
      <c r="BZ178" s="2831"/>
      <c r="CA178" s="2831"/>
      <c r="CB178" s="2831"/>
      <c r="CC178" s="2831"/>
      <c r="CD178" s="2831"/>
      <c r="CE178" s="2831"/>
      <c r="CF178" s="2831"/>
      <c r="CG178" s="2831"/>
      <c r="CH178" s="2831"/>
      <c r="CI178" s="2831"/>
      <c r="CJ178" s="2831"/>
      <c r="CK178" s="2831"/>
      <c r="CL178" s="2831"/>
      <c r="CM178" s="2831"/>
      <c r="CN178" s="2831"/>
      <c r="CO178" s="2831"/>
      <c r="CP178" s="2831"/>
      <c r="CQ178" s="2831"/>
      <c r="CR178" s="2831"/>
      <c r="CS178" s="2831"/>
      <c r="CT178" s="2831"/>
      <c r="CU178" s="2831"/>
      <c r="CV178" s="2831"/>
      <c r="CW178" s="2831"/>
      <c r="CX178" s="2831"/>
      <c r="CY178" s="2831"/>
      <c r="CZ178" s="2831"/>
      <c r="DA178" s="2831"/>
      <c r="DB178" s="2831"/>
      <c r="DC178" s="2831"/>
      <c r="DD178" s="2831"/>
      <c r="DE178" s="2831"/>
      <c r="DF178" s="2831"/>
      <c r="DG178" s="2831"/>
      <c r="DH178" s="2831"/>
      <c r="DI178" s="2831"/>
      <c r="DJ178" s="2831"/>
      <c r="DK178" s="2831"/>
      <c r="DL178" s="2831"/>
      <c r="DM178" s="2831"/>
      <c r="DN178" s="2831"/>
      <c r="DO178" s="2831"/>
      <c r="DP178" s="2831"/>
      <c r="DQ178" s="2831"/>
      <c r="DR178" s="2831"/>
      <c r="DS178" s="2831"/>
      <c r="DT178" s="2831"/>
      <c r="DU178" s="2831"/>
      <c r="DV178" s="2831"/>
      <c r="DW178" s="2831"/>
      <c r="DX178" s="2831"/>
      <c r="DY178" s="2831"/>
      <c r="DZ178" s="2831"/>
      <c r="EA178" s="2831"/>
      <c r="EB178" s="2831"/>
      <c r="EC178" s="2831"/>
      <c r="ED178" s="2831"/>
      <c r="EE178" s="2831"/>
      <c r="EF178" s="2831"/>
      <c r="EG178" s="2831"/>
      <c r="EH178" s="2831"/>
      <c r="EI178" s="2831"/>
      <c r="EJ178" s="2831"/>
      <c r="EK178" s="2831"/>
      <c r="EL178" s="2831"/>
      <c r="EM178" s="2831"/>
      <c r="EN178" s="2831"/>
      <c r="EO178" s="2831"/>
      <c r="EP178" s="2831"/>
      <c r="EQ178" s="2831"/>
      <c r="ER178" s="2831"/>
      <c r="ES178" s="2831"/>
      <c r="ET178" s="2831"/>
      <c r="EU178" s="2831"/>
      <c r="EV178" s="2831"/>
      <c r="EW178" s="2831"/>
      <c r="EX178" s="2831"/>
      <c r="EY178" s="2831"/>
      <c r="EZ178" s="2831"/>
      <c r="FA178" s="2831"/>
      <c r="FB178" s="2831"/>
      <c r="FC178" s="2831"/>
      <c r="FD178" s="2831"/>
      <c r="FE178" s="2831"/>
      <c r="FF178" s="2831"/>
      <c r="FG178" s="2831"/>
      <c r="FH178" s="2831"/>
      <c r="FI178" s="2831"/>
      <c r="FJ178" s="2831"/>
      <c r="FK178" s="2831"/>
      <c r="FL178" s="2831"/>
      <c r="FM178" s="2831"/>
      <c r="FN178" s="2831"/>
      <c r="FO178" s="2831"/>
      <c r="FP178" s="2831"/>
      <c r="FQ178" s="2831"/>
      <c r="FR178" s="2831"/>
      <c r="FS178" s="2831"/>
      <c r="FT178" s="2831"/>
      <c r="FU178" s="2831"/>
      <c r="FV178" s="2831"/>
      <c r="FW178" s="2831"/>
      <c r="FX178" s="2831"/>
      <c r="FY178" s="2831"/>
      <c r="FZ178" s="2831"/>
      <c r="GA178" s="2831"/>
      <c r="GB178" s="2831"/>
      <c r="GC178" s="2831"/>
      <c r="GD178" s="2831"/>
      <c r="GE178" s="2831"/>
      <c r="GF178" s="2831"/>
      <c r="GG178" s="2831"/>
      <c r="GH178" s="2831"/>
      <c r="GI178" s="2831"/>
      <c r="GJ178" s="2831"/>
      <c r="GK178" s="2831"/>
      <c r="GL178" s="2831"/>
      <c r="GM178" s="2831"/>
      <c r="GN178" s="2831"/>
      <c r="GO178" s="2831"/>
      <c r="GP178" s="2831"/>
      <c r="GQ178" s="2831"/>
      <c r="GR178" s="2831"/>
      <c r="GS178" s="2831"/>
      <c r="GT178" s="2831"/>
      <c r="GU178" s="2831"/>
      <c r="GV178" s="2831"/>
      <c r="GW178" s="2831"/>
      <c r="GX178" s="2831"/>
      <c r="GY178" s="2831"/>
      <c r="GZ178" s="2831"/>
      <c r="HA178" s="2831"/>
      <c r="HB178" s="2831"/>
      <c r="HC178" s="2831"/>
      <c r="HD178" s="2831"/>
      <c r="HE178" s="2831"/>
      <c r="HF178" s="2831"/>
      <c r="HG178" s="2831"/>
      <c r="HH178" s="2831"/>
      <c r="HI178" s="2831"/>
      <c r="HJ178" s="2831"/>
      <c r="HK178" s="2831"/>
      <c r="HL178" s="2831"/>
      <c r="HM178" s="2831"/>
      <c r="HN178" s="2831"/>
      <c r="HO178" s="2831"/>
      <c r="HP178" s="2831"/>
      <c r="HQ178" s="2831"/>
      <c r="HR178" s="2831"/>
      <c r="HS178" s="2831"/>
      <c r="HT178" s="2831"/>
      <c r="HU178" s="2831"/>
      <c r="HV178" s="2831"/>
      <c r="HW178" s="2831"/>
      <c r="HX178" s="2831"/>
      <c r="HY178" s="2831"/>
      <c r="HZ178" s="2831"/>
      <c r="IA178" s="2831"/>
      <c r="IB178" s="2831"/>
      <c r="IC178" s="2831"/>
      <c r="ID178" s="2831"/>
      <c r="IE178" s="2831"/>
      <c r="IF178" s="2831"/>
      <c r="IG178" s="2831"/>
      <c r="IH178" s="2831"/>
      <c r="II178" s="2831"/>
      <c r="IJ178" s="2831"/>
      <c r="IK178" s="2831"/>
      <c r="IL178" s="2831"/>
      <c r="IM178" s="2831"/>
      <c r="IN178" s="2831"/>
      <c r="IO178" s="2831"/>
      <c r="IP178" s="2831"/>
      <c r="IQ178" s="2831"/>
      <c r="IR178" s="2831"/>
      <c r="IS178" s="2831"/>
      <c r="IT178" s="2831"/>
      <c r="IU178" s="2831"/>
    </row>
    <row r="179" s="2504" customFormat="1" ht="12" hidden="1" spans="1:70">
      <c r="A179" s="2688" t="s">
        <v>2381</v>
      </c>
      <c r="B179" s="2688" t="s">
        <v>2382</v>
      </c>
      <c r="C179" s="2810" t="s">
        <v>2383</v>
      </c>
      <c r="D179" s="2697" t="s">
        <v>2384</v>
      </c>
      <c r="E179" s="2697" t="s">
        <v>1060</v>
      </c>
      <c r="F179" s="2688" t="s">
        <v>2385</v>
      </c>
      <c r="G179" s="2697"/>
      <c r="H179" s="2691" t="s">
        <v>1098</v>
      </c>
      <c r="I179" s="2691" t="s">
        <v>1099</v>
      </c>
      <c r="J179" s="2697" t="s">
        <v>1312</v>
      </c>
      <c r="K179" s="2688" t="s">
        <v>2386</v>
      </c>
      <c r="L179" s="2813">
        <v>49.7</v>
      </c>
      <c r="M179" s="2697">
        <v>2</v>
      </c>
      <c r="N179" s="2691" t="s">
        <v>1259</v>
      </c>
      <c r="O179" s="2697">
        <v>36.1</v>
      </c>
      <c r="P179" s="2697" t="s">
        <v>1065</v>
      </c>
      <c r="Q179" s="2712">
        <v>350000</v>
      </c>
      <c r="R179" s="2712">
        <v>7042</v>
      </c>
      <c r="S179" s="2722">
        <v>31.67</v>
      </c>
      <c r="T179" s="2723">
        <v>316700</v>
      </c>
      <c r="U179" s="2688">
        <v>6373</v>
      </c>
      <c r="V179" s="2724">
        <v>0.05</v>
      </c>
      <c r="W179" s="2722">
        <v>30.08</v>
      </c>
      <c r="X179" s="2723">
        <v>300800</v>
      </c>
      <c r="Y179" s="2745">
        <v>2005</v>
      </c>
      <c r="Z179" s="2745">
        <v>6</v>
      </c>
      <c r="AA179" s="2688">
        <v>2</v>
      </c>
      <c r="AB179" s="2688">
        <v>950</v>
      </c>
      <c r="AC179" s="2688" t="s">
        <v>1605</v>
      </c>
      <c r="AD179" s="2697"/>
      <c r="AE179" s="2747" t="s">
        <v>179</v>
      </c>
      <c r="AF179" s="2697" t="s">
        <v>1068</v>
      </c>
      <c r="AG179" s="2697" t="s">
        <v>1069</v>
      </c>
      <c r="AH179" s="2697"/>
      <c r="AI179" s="2747" t="s">
        <v>1070</v>
      </c>
      <c r="AJ179" s="2760"/>
      <c r="AK179" s="2755">
        <v>6</v>
      </c>
      <c r="AL179" s="2745">
        <v>67641700</v>
      </c>
      <c r="AM179" s="2745"/>
      <c r="AN179" s="2747" t="s">
        <v>1087</v>
      </c>
      <c r="AO179" s="2688" t="s">
        <v>2387</v>
      </c>
      <c r="AP179" s="2747" t="s">
        <v>1515</v>
      </c>
      <c r="AQ179" s="2688" t="s">
        <v>1074</v>
      </c>
      <c r="AR179" s="2697"/>
      <c r="AS179" s="2697"/>
      <c r="AT179" s="2697"/>
      <c r="AU179" s="2697"/>
      <c r="AV179" s="2697"/>
      <c r="AW179" s="2688"/>
      <c r="AX179" s="2697"/>
      <c r="AY179" s="2696"/>
      <c r="AZ179" s="2691" t="s">
        <v>2386</v>
      </c>
      <c r="BA179" s="2691"/>
      <c r="BB179" s="2691"/>
      <c r="BC179" s="2691"/>
      <c r="BD179" s="2697"/>
      <c r="BE179" s="2697"/>
      <c r="BF179" s="2697"/>
      <c r="BG179" s="2760"/>
      <c r="BH179" s="2697"/>
      <c r="BI179" s="2688" t="s">
        <v>1067</v>
      </c>
      <c r="BJ179" s="2760">
        <v>38499</v>
      </c>
      <c r="BK179" s="2760"/>
      <c r="BL179" s="2745"/>
      <c r="BM179" s="2697" t="s">
        <v>888</v>
      </c>
      <c r="BN179" s="2697" t="s">
        <v>1077</v>
      </c>
      <c r="BO179" s="2745" t="s">
        <v>1344</v>
      </c>
      <c r="BP179" s="2697"/>
      <c r="BQ179" s="2745">
        <v>8774</v>
      </c>
      <c r="BR179" s="2745">
        <v>9695</v>
      </c>
    </row>
    <row r="180" s="2510" customFormat="1" ht="12" hidden="1" spans="1:70">
      <c r="A180" s="2693" t="s">
        <v>2388</v>
      </c>
      <c r="B180" s="2693" t="s">
        <v>2389</v>
      </c>
      <c r="C180" s="2694" t="s">
        <v>2390</v>
      </c>
      <c r="D180" s="2710" t="s">
        <v>2391</v>
      </c>
      <c r="E180" s="2693" t="s">
        <v>1060</v>
      </c>
      <c r="F180" s="2693" t="s">
        <v>2392</v>
      </c>
      <c r="G180" s="2693"/>
      <c r="H180" s="2693" t="s">
        <v>2393</v>
      </c>
      <c r="I180" s="2693" t="s">
        <v>1585</v>
      </c>
      <c r="J180" s="2693" t="s">
        <v>2394</v>
      </c>
      <c r="K180" s="2693"/>
      <c r="L180" s="2814">
        <v>54.9</v>
      </c>
      <c r="M180" s="2693">
        <v>5</v>
      </c>
      <c r="N180" s="2710" t="s">
        <v>1064</v>
      </c>
      <c r="O180" s="2693"/>
      <c r="P180" s="2693" t="s">
        <v>1065</v>
      </c>
      <c r="Q180" s="2728">
        <v>285000</v>
      </c>
      <c r="R180" s="2728">
        <v>5191</v>
      </c>
      <c r="S180" s="2730">
        <v>27.74</v>
      </c>
      <c r="T180" s="2731">
        <v>277400</v>
      </c>
      <c r="U180" s="2693">
        <v>5054</v>
      </c>
      <c r="V180" s="2732">
        <v>0.05</v>
      </c>
      <c r="W180" s="2730">
        <v>26.35</v>
      </c>
      <c r="X180" s="2731">
        <v>263500</v>
      </c>
      <c r="Y180" s="2706">
        <v>2005</v>
      </c>
      <c r="Z180" s="2706">
        <v>6</v>
      </c>
      <c r="AA180" s="2693">
        <v>7</v>
      </c>
      <c r="AB180" s="2808">
        <v>830</v>
      </c>
      <c r="AC180" s="2693" t="s">
        <v>1605</v>
      </c>
      <c r="AD180" s="2693"/>
      <c r="AE180" s="2710" t="s">
        <v>179</v>
      </c>
      <c r="AF180" s="2693" t="s">
        <v>1068</v>
      </c>
      <c r="AG180" s="2757" t="s">
        <v>1069</v>
      </c>
      <c r="AH180" s="2693"/>
      <c r="AI180" s="2710" t="s">
        <v>1070</v>
      </c>
      <c r="AJ180" s="2758"/>
      <c r="AK180" s="2759" t="s">
        <v>1261</v>
      </c>
      <c r="AL180" s="2706">
        <v>67641700</v>
      </c>
      <c r="AM180" s="2693"/>
      <c r="AN180" s="2757" t="s">
        <v>1088</v>
      </c>
      <c r="AO180" s="2693"/>
      <c r="AP180" s="2693" t="s">
        <v>1073</v>
      </c>
      <c r="AQ180" s="2693" t="s">
        <v>1074</v>
      </c>
      <c r="AR180" s="2693"/>
      <c r="AS180" s="2693"/>
      <c r="AT180" s="2693"/>
      <c r="AU180" s="2693"/>
      <c r="AV180" s="2693"/>
      <c r="AW180" s="2693" t="s">
        <v>1075</v>
      </c>
      <c r="AX180" s="2693"/>
      <c r="AY180" s="2694"/>
      <c r="AZ180" s="2693"/>
      <c r="BA180" s="2693"/>
      <c r="BB180" s="2694"/>
      <c r="BC180" s="2693"/>
      <c r="BD180" s="2826"/>
      <c r="BE180" s="2693"/>
      <c r="BF180" s="2828"/>
      <c r="BG180" s="2829">
        <v>38473</v>
      </c>
      <c r="BH180" s="2693"/>
      <c r="BI180" s="2706" t="s">
        <v>1073</v>
      </c>
      <c r="BJ180" s="2758">
        <v>38504</v>
      </c>
      <c r="BK180" s="2830"/>
      <c r="BL180" s="2693"/>
      <c r="BM180" s="2706" t="s">
        <v>1127</v>
      </c>
      <c r="BN180" s="2693" t="s">
        <v>1148</v>
      </c>
      <c r="BO180" s="2693" t="s">
        <v>1128</v>
      </c>
      <c r="BP180" s="2706"/>
      <c r="BQ180" s="2706"/>
      <c r="BR180" s="2706"/>
    </row>
    <row r="181" s="2504" customFormat="1" ht="12" hidden="1" spans="1:70">
      <c r="A181" s="2688" t="s">
        <v>2395</v>
      </c>
      <c r="B181" s="2688" t="s">
        <v>2396</v>
      </c>
      <c r="C181" s="2686" t="s">
        <v>2397</v>
      </c>
      <c r="D181" s="2689" t="s">
        <v>2398</v>
      </c>
      <c r="E181" s="2688" t="s">
        <v>1060</v>
      </c>
      <c r="F181" s="2809" t="s">
        <v>1510</v>
      </c>
      <c r="G181" s="2688"/>
      <c r="H181" s="2688" t="s">
        <v>1296</v>
      </c>
      <c r="I181" s="2688"/>
      <c r="J181" s="2688" t="s">
        <v>2399</v>
      </c>
      <c r="K181" s="2691" t="s">
        <v>2400</v>
      </c>
      <c r="L181" s="2813">
        <v>83.5</v>
      </c>
      <c r="M181" s="2688">
        <v>2</v>
      </c>
      <c r="N181" s="2688" t="s">
        <v>1123</v>
      </c>
      <c r="O181" s="2688"/>
      <c r="P181" s="2688" t="s">
        <v>1065</v>
      </c>
      <c r="Q181" s="2726">
        <v>406000</v>
      </c>
      <c r="R181" s="2688">
        <v>4862</v>
      </c>
      <c r="S181" s="2722">
        <v>34.46</v>
      </c>
      <c r="T181" s="2723">
        <v>344600</v>
      </c>
      <c r="U181" s="2688">
        <v>4127</v>
      </c>
      <c r="V181" s="2724">
        <v>0.05</v>
      </c>
      <c r="W181" s="2722">
        <v>32.73</v>
      </c>
      <c r="X181" s="2725">
        <v>327300</v>
      </c>
      <c r="Y181" s="2688">
        <v>2005</v>
      </c>
      <c r="Z181" s="2745">
        <v>6</v>
      </c>
      <c r="AA181" s="2745">
        <v>6</v>
      </c>
      <c r="AB181" s="2688">
        <v>1030</v>
      </c>
      <c r="AC181" s="2688" t="s">
        <v>1605</v>
      </c>
      <c r="AD181" s="2688"/>
      <c r="AE181" s="2745" t="s">
        <v>175</v>
      </c>
      <c r="AF181" s="2691" t="s">
        <v>1068</v>
      </c>
      <c r="AG181" s="2747" t="s">
        <v>1069</v>
      </c>
      <c r="AH181" s="2688"/>
      <c r="AI181" s="2688"/>
      <c r="AJ181" s="2760"/>
      <c r="AK181" s="2755" t="s">
        <v>1261</v>
      </c>
      <c r="AL181" s="2745">
        <v>82253558</v>
      </c>
      <c r="AM181" s="2745"/>
      <c r="AN181" s="2747" t="s">
        <v>1071</v>
      </c>
      <c r="AO181" s="2745"/>
      <c r="AP181" s="2688" t="s">
        <v>175</v>
      </c>
      <c r="AQ181" s="2688" t="s">
        <v>1074</v>
      </c>
      <c r="AR181" s="2745"/>
      <c r="AS181" s="2745"/>
      <c r="AT181" s="2745"/>
      <c r="AU181" s="2745"/>
      <c r="AV181" s="2745"/>
      <c r="AW181" s="2745" t="s">
        <v>1343</v>
      </c>
      <c r="AX181" s="2745"/>
      <c r="AY181" s="2769"/>
      <c r="AZ181" s="2691" t="s">
        <v>2400</v>
      </c>
      <c r="BA181" s="2745"/>
      <c r="BB181" s="2769"/>
      <c r="BC181" s="2745"/>
      <c r="BD181" s="2770"/>
      <c r="BE181" s="2745"/>
      <c r="BF181" s="2788"/>
      <c r="BG181" s="2798"/>
      <c r="BH181" s="2745"/>
      <c r="BI181" s="2745" t="s">
        <v>175</v>
      </c>
      <c r="BJ181" s="2789">
        <v>38502</v>
      </c>
      <c r="BK181" s="2789"/>
      <c r="BL181" s="2688" t="s">
        <v>1092</v>
      </c>
      <c r="BM181" s="2745" t="s">
        <v>888</v>
      </c>
      <c r="BN181" s="2745" t="s">
        <v>1077</v>
      </c>
      <c r="BO181" s="2745" t="s">
        <v>1128</v>
      </c>
      <c r="BP181" s="2745"/>
      <c r="BQ181" s="2745" t="e">
        <v>#DIV/0!</v>
      </c>
      <c r="BR181" s="2745" t="e">
        <v>#DIV/0!</v>
      </c>
    </row>
    <row r="182" s="2504" customFormat="1" ht="12" hidden="1" spans="1:70">
      <c r="A182" s="2688" t="s">
        <v>2401</v>
      </c>
      <c r="B182" s="2688" t="s">
        <v>2402</v>
      </c>
      <c r="C182" s="2810" t="s">
        <v>2403</v>
      </c>
      <c r="D182" s="2697">
        <v>13661118813</v>
      </c>
      <c r="E182" s="2697" t="s">
        <v>1060</v>
      </c>
      <c r="F182" s="2688" t="s">
        <v>2152</v>
      </c>
      <c r="G182" s="2697"/>
      <c r="H182" s="2691" t="s">
        <v>1221</v>
      </c>
      <c r="I182" s="2691" t="s">
        <v>1099</v>
      </c>
      <c r="J182" s="2697" t="s">
        <v>1144</v>
      </c>
      <c r="K182" s="2688" t="s">
        <v>2402</v>
      </c>
      <c r="L182" s="2813">
        <v>109.2</v>
      </c>
      <c r="M182" s="2697">
        <v>6</v>
      </c>
      <c r="N182" s="2691" t="s">
        <v>1374</v>
      </c>
      <c r="O182" s="2697"/>
      <c r="P182" s="2697" t="s">
        <v>1514</v>
      </c>
      <c r="Q182" s="2712">
        <v>430000</v>
      </c>
      <c r="R182" s="2712">
        <v>3938</v>
      </c>
      <c r="S182" s="2722">
        <v>41.37</v>
      </c>
      <c r="T182" s="2723">
        <v>413700</v>
      </c>
      <c r="U182" s="2688">
        <v>3789</v>
      </c>
      <c r="V182" s="2724">
        <v>0.05</v>
      </c>
      <c r="W182" s="2722">
        <v>39.3</v>
      </c>
      <c r="X182" s="2723">
        <v>393000</v>
      </c>
      <c r="Y182" s="2745">
        <v>2005</v>
      </c>
      <c r="Z182" s="2745">
        <v>6</v>
      </c>
      <c r="AA182" s="2688">
        <v>1</v>
      </c>
      <c r="AB182" s="2688">
        <v>1240</v>
      </c>
      <c r="AC182" s="2688" t="s">
        <v>1605</v>
      </c>
      <c r="AD182" s="2697"/>
      <c r="AE182" s="2747" t="s">
        <v>179</v>
      </c>
      <c r="AF182" s="2697" t="s">
        <v>1068</v>
      </c>
      <c r="AG182" s="2697" t="s">
        <v>1069</v>
      </c>
      <c r="AH182" s="2697"/>
      <c r="AI182" s="2747" t="s">
        <v>1070</v>
      </c>
      <c r="AJ182" s="2760"/>
      <c r="AK182" s="2755">
        <v>6</v>
      </c>
      <c r="AL182" s="2745">
        <v>67641700</v>
      </c>
      <c r="AM182" s="2745"/>
      <c r="AN182" s="2747" t="s">
        <v>1087</v>
      </c>
      <c r="AO182" s="2688" t="s">
        <v>1114</v>
      </c>
      <c r="AP182" s="2747" t="s">
        <v>1515</v>
      </c>
      <c r="AQ182" s="2688" t="s">
        <v>1074</v>
      </c>
      <c r="AR182" s="2697" t="s">
        <v>1114</v>
      </c>
      <c r="AS182" s="2697" t="s">
        <v>1114</v>
      </c>
      <c r="AT182" s="2697" t="s">
        <v>1114</v>
      </c>
      <c r="AU182" s="2697"/>
      <c r="AV182" s="2697"/>
      <c r="AW182" s="2688" t="s">
        <v>1250</v>
      </c>
      <c r="AX182" s="2697"/>
      <c r="AY182" s="2696"/>
      <c r="AZ182" s="2691" t="s">
        <v>2404</v>
      </c>
      <c r="BA182" s="2691"/>
      <c r="BB182" s="2691"/>
      <c r="BC182" s="2691"/>
      <c r="BD182" s="2697"/>
      <c r="BE182" s="2697" t="s">
        <v>1114</v>
      </c>
      <c r="BF182" s="2697"/>
      <c r="BG182" s="2760">
        <v>38497</v>
      </c>
      <c r="BH182" s="2697"/>
      <c r="BI182" s="2688" t="s">
        <v>175</v>
      </c>
      <c r="BJ182" s="2760">
        <v>38498</v>
      </c>
      <c r="BK182" s="2760"/>
      <c r="BL182" s="2745" t="s">
        <v>1092</v>
      </c>
      <c r="BM182" s="2697" t="s">
        <v>888</v>
      </c>
      <c r="BN182" s="2697" t="s">
        <v>1077</v>
      </c>
      <c r="BO182" s="2745" t="s">
        <v>1149</v>
      </c>
      <c r="BP182" s="2697"/>
      <c r="BQ182" s="2745" t="e">
        <v>#DIV/0!</v>
      </c>
      <c r="BR182" s="2745" t="e">
        <v>#DIV/0!</v>
      </c>
    </row>
    <row r="183" s="2506" customFormat="1" ht="12" hidden="1" spans="1:73">
      <c r="A183" s="2685" t="s">
        <v>2405</v>
      </c>
      <c r="B183" s="2685" t="s">
        <v>2406</v>
      </c>
      <c r="C183" s="2686" t="s">
        <v>2407</v>
      </c>
      <c r="D183" s="2686" t="s">
        <v>2408</v>
      </c>
      <c r="E183" s="2685" t="s">
        <v>1060</v>
      </c>
      <c r="F183" s="2687" t="s">
        <v>2409</v>
      </c>
      <c r="G183" s="2685"/>
      <c r="H183" s="2685" t="s">
        <v>2410</v>
      </c>
      <c r="I183" s="2685" t="s">
        <v>2411</v>
      </c>
      <c r="J183" s="2686" t="s">
        <v>2412</v>
      </c>
      <c r="K183" s="2685" t="s">
        <v>2406</v>
      </c>
      <c r="L183" s="2703">
        <v>128.14</v>
      </c>
      <c r="M183" s="2685">
        <v>6</v>
      </c>
      <c r="N183" s="2685" t="s">
        <v>1101</v>
      </c>
      <c r="O183" s="2685"/>
      <c r="P183" s="2685" t="s">
        <v>1065</v>
      </c>
      <c r="Q183" s="2716">
        <v>1090000</v>
      </c>
      <c r="R183" s="2685">
        <v>8506</v>
      </c>
      <c r="S183" s="2717">
        <v>97.25</v>
      </c>
      <c r="T183" s="2718">
        <v>972500</v>
      </c>
      <c r="U183" s="2685">
        <v>7590</v>
      </c>
      <c r="V183" s="2719">
        <v>0.05</v>
      </c>
      <c r="W183" s="2717">
        <v>92.38</v>
      </c>
      <c r="X183" s="2720">
        <v>923800</v>
      </c>
      <c r="Y183" s="2744">
        <v>2005</v>
      </c>
      <c r="Z183" s="2744">
        <v>6</v>
      </c>
      <c r="AA183" s="2744">
        <v>2</v>
      </c>
      <c r="AB183" s="2685">
        <v>1500</v>
      </c>
      <c r="AC183" s="2685" t="s">
        <v>1605</v>
      </c>
      <c r="AD183" s="2685"/>
      <c r="AE183" s="2744" t="s">
        <v>1067</v>
      </c>
      <c r="AF183" s="2685" t="s">
        <v>1068</v>
      </c>
      <c r="AG183" s="2685" t="s">
        <v>1069</v>
      </c>
      <c r="AH183" s="2685"/>
      <c r="AI183" s="2685" t="s">
        <v>1070</v>
      </c>
      <c r="AJ183" s="2751"/>
      <c r="AK183" s="2756" t="s">
        <v>1261</v>
      </c>
      <c r="AL183" s="2744">
        <v>82253558</v>
      </c>
      <c r="AM183" s="2744"/>
      <c r="AN183" s="2744"/>
      <c r="AO183" s="2744"/>
      <c r="AP183" s="2744" t="s">
        <v>1515</v>
      </c>
      <c r="AQ183" s="2685" t="s">
        <v>1074</v>
      </c>
      <c r="AR183" s="2744"/>
      <c r="AS183" s="2744"/>
      <c r="AT183" s="2744"/>
      <c r="AU183" s="2744"/>
      <c r="AV183" s="2744"/>
      <c r="AW183" s="2744"/>
      <c r="AX183" s="2744"/>
      <c r="AY183" s="2767"/>
      <c r="AZ183" s="2744"/>
      <c r="BA183" s="2744"/>
      <c r="BB183" s="2767"/>
      <c r="BC183" s="2744"/>
      <c r="BD183" s="2768"/>
      <c r="BE183" s="2744"/>
      <c r="BF183" s="2784"/>
      <c r="BG183" s="2785"/>
      <c r="BH183" s="2744"/>
      <c r="BI183" s="2744" t="s">
        <v>1067</v>
      </c>
      <c r="BJ183" s="2787">
        <v>38499</v>
      </c>
      <c r="BK183" s="2787"/>
      <c r="BL183" s="2685"/>
      <c r="BM183" s="2744" t="s">
        <v>888</v>
      </c>
      <c r="BN183" s="2744" t="s">
        <v>1077</v>
      </c>
      <c r="BO183" s="2744" t="s">
        <v>1128</v>
      </c>
      <c r="BP183" s="2744"/>
      <c r="BQ183" s="2744" t="e">
        <v>#DIV/0!</v>
      </c>
      <c r="BR183" s="2744" t="e">
        <v>#DIV/0!</v>
      </c>
      <c r="BS183" s="2504"/>
      <c r="BT183" s="2504"/>
      <c r="BU183" s="2504"/>
    </row>
    <row r="184" s="2504" customFormat="1" ht="12" hidden="1" spans="1:70">
      <c r="A184" s="2688" t="s">
        <v>2413</v>
      </c>
      <c r="B184" s="2688" t="s">
        <v>2414</v>
      </c>
      <c r="C184" s="2689" t="s">
        <v>2415</v>
      </c>
      <c r="D184" s="2688">
        <v>81766417</v>
      </c>
      <c r="E184" s="2688" t="s">
        <v>1060</v>
      </c>
      <c r="F184" s="2688" t="s">
        <v>2201</v>
      </c>
      <c r="G184" s="2688"/>
      <c r="H184" s="2688" t="s">
        <v>1421</v>
      </c>
      <c r="I184" s="2688" t="s">
        <v>2416</v>
      </c>
      <c r="J184" s="2688" t="s">
        <v>2417</v>
      </c>
      <c r="K184" s="2688" t="s">
        <v>2414</v>
      </c>
      <c r="L184" s="2702">
        <v>43.6</v>
      </c>
      <c r="M184" s="2688">
        <v>11</v>
      </c>
      <c r="N184" s="2688" t="s">
        <v>1259</v>
      </c>
      <c r="O184" s="2688"/>
      <c r="P184" s="2688" t="s">
        <v>1065</v>
      </c>
      <c r="Q184" s="2688">
        <v>306000</v>
      </c>
      <c r="R184" s="2688">
        <v>7018</v>
      </c>
      <c r="S184" s="2722">
        <v>23.34</v>
      </c>
      <c r="T184" s="2723">
        <v>233400</v>
      </c>
      <c r="U184" s="2688">
        <v>5354</v>
      </c>
      <c r="V184" s="2727">
        <v>0.05</v>
      </c>
      <c r="W184" s="2722">
        <v>22.17</v>
      </c>
      <c r="X184" s="2725">
        <v>221700</v>
      </c>
      <c r="Y184" s="2688">
        <v>2005</v>
      </c>
      <c r="Z184" s="2688">
        <v>7</v>
      </c>
      <c r="AA184" s="2745">
        <v>8</v>
      </c>
      <c r="AB184" s="2688">
        <v>700</v>
      </c>
      <c r="AC184" s="2688" t="s">
        <v>1605</v>
      </c>
      <c r="AD184" s="2688"/>
      <c r="AE184" s="2744" t="s">
        <v>179</v>
      </c>
      <c r="AF184" s="2688" t="s">
        <v>1068</v>
      </c>
      <c r="AG184" s="2688" t="s">
        <v>1069</v>
      </c>
      <c r="AH184" s="2688"/>
      <c r="AI184" s="2688" t="s">
        <v>1070</v>
      </c>
      <c r="AJ184" s="2751"/>
      <c r="AK184" s="2688" t="s">
        <v>1330</v>
      </c>
      <c r="AL184" s="2688">
        <v>82253558</v>
      </c>
      <c r="AM184" s="2688"/>
      <c r="AN184" s="2688" t="s">
        <v>1088</v>
      </c>
      <c r="AO184" s="2688" t="s">
        <v>2418</v>
      </c>
      <c r="AP184" s="2688" t="s">
        <v>1208</v>
      </c>
      <c r="AQ184" s="2688" t="s">
        <v>1607</v>
      </c>
      <c r="AR184" s="2688"/>
      <c r="AS184" s="2688"/>
      <c r="AT184" s="2688"/>
      <c r="AU184" s="2688"/>
      <c r="AV184" s="2688"/>
      <c r="AW184" s="2688" t="s">
        <v>1343</v>
      </c>
      <c r="AX184" s="2688"/>
      <c r="AY184" s="2688"/>
      <c r="AZ184" s="2688" t="s">
        <v>2419</v>
      </c>
      <c r="BA184" s="2688"/>
      <c r="BB184" s="2688"/>
      <c r="BC184" s="2688"/>
      <c r="BD184" s="2688"/>
      <c r="BE184" s="2688"/>
      <c r="BF184" s="2688"/>
      <c r="BG184" s="2792">
        <v>38502</v>
      </c>
      <c r="BH184" s="2688" t="s">
        <v>1174</v>
      </c>
      <c r="BI184" s="2688" t="s">
        <v>1515</v>
      </c>
      <c r="BJ184" s="2789">
        <v>38505</v>
      </c>
      <c r="BK184" s="2789"/>
      <c r="BL184" s="2688" t="s">
        <v>1092</v>
      </c>
      <c r="BM184" s="2688" t="s">
        <v>888</v>
      </c>
      <c r="BN184" s="2688" t="s">
        <v>1148</v>
      </c>
      <c r="BO184" s="2688" t="s">
        <v>1128</v>
      </c>
      <c r="BP184" s="2688"/>
      <c r="BQ184" s="2745" t="e">
        <v>#DIV/0!</v>
      </c>
      <c r="BR184" s="2745" t="e">
        <v>#DIV/0!</v>
      </c>
    </row>
    <row r="185" s="2504" customFormat="1" ht="12" hidden="1" spans="1:70">
      <c r="A185" s="2688" t="s">
        <v>2420</v>
      </c>
      <c r="B185" s="2688" t="s">
        <v>2421</v>
      </c>
      <c r="C185" s="2689" t="s">
        <v>2422</v>
      </c>
      <c r="D185" s="2689">
        <v>13910419971</v>
      </c>
      <c r="E185" s="2688" t="s">
        <v>1060</v>
      </c>
      <c r="F185" s="2688" t="s">
        <v>1486</v>
      </c>
      <c r="G185" s="2688"/>
      <c r="H185" s="2688" t="s">
        <v>2026</v>
      </c>
      <c r="I185" s="2688"/>
      <c r="J185" s="2689" t="s">
        <v>2423</v>
      </c>
      <c r="K185" s="2688" t="s">
        <v>2421</v>
      </c>
      <c r="L185" s="2813">
        <v>84.38</v>
      </c>
      <c r="M185" s="2688">
        <v>4</v>
      </c>
      <c r="N185" s="2691" t="s">
        <v>1064</v>
      </c>
      <c r="O185" s="2688"/>
      <c r="P185" s="2688" t="s">
        <v>1065</v>
      </c>
      <c r="Q185" s="2726">
        <v>575000</v>
      </c>
      <c r="R185" s="2688">
        <v>6814</v>
      </c>
      <c r="S185" s="2722">
        <v>50.78</v>
      </c>
      <c r="T185" s="2723">
        <v>507800</v>
      </c>
      <c r="U185" s="2688">
        <v>6019</v>
      </c>
      <c r="V185" s="2724">
        <v>0.05</v>
      </c>
      <c r="W185" s="2722">
        <v>48.24</v>
      </c>
      <c r="X185" s="2725">
        <v>482400</v>
      </c>
      <c r="Y185" s="2745">
        <v>2005</v>
      </c>
      <c r="Z185" s="2745">
        <v>6</v>
      </c>
      <c r="AA185" s="2688">
        <v>17</v>
      </c>
      <c r="AB185" s="2688">
        <v>1500</v>
      </c>
      <c r="AC185" s="2688" t="s">
        <v>1605</v>
      </c>
      <c r="AD185" s="2688"/>
      <c r="AE185" s="2747" t="s">
        <v>179</v>
      </c>
      <c r="AF185" s="2691" t="s">
        <v>1068</v>
      </c>
      <c r="AG185" s="2688" t="s">
        <v>1069</v>
      </c>
      <c r="AH185" s="2688"/>
      <c r="AI185" s="2747" t="s">
        <v>1070</v>
      </c>
      <c r="AJ185" s="2760"/>
      <c r="AK185" s="2755">
        <v>6</v>
      </c>
      <c r="AL185" s="2745">
        <v>67641700</v>
      </c>
      <c r="AM185" s="2745"/>
      <c r="AN185" s="2747" t="s">
        <v>1072</v>
      </c>
      <c r="AO185" s="2688" t="s">
        <v>2424</v>
      </c>
      <c r="AP185" s="2747" t="s">
        <v>1515</v>
      </c>
      <c r="AQ185" s="2747" t="s">
        <v>1074</v>
      </c>
      <c r="AR185" s="2745"/>
      <c r="AS185" s="2745"/>
      <c r="AT185" s="2745"/>
      <c r="AU185" s="2688"/>
      <c r="AV185" s="2745"/>
      <c r="AW185" s="2745"/>
      <c r="AX185" s="2745"/>
      <c r="AY185" s="2769"/>
      <c r="AZ185" s="2688" t="s">
        <v>2425</v>
      </c>
      <c r="BA185" s="2745"/>
      <c r="BB185" s="2769"/>
      <c r="BC185" s="2745"/>
      <c r="BD185" s="2770"/>
      <c r="BE185" s="2769"/>
      <c r="BF185" s="2788"/>
      <c r="BG185" s="2798">
        <v>38510</v>
      </c>
      <c r="BH185" s="2685" t="s">
        <v>1174</v>
      </c>
      <c r="BI185" s="2747" t="s">
        <v>1342</v>
      </c>
      <c r="BJ185" s="2753">
        <v>38511</v>
      </c>
      <c r="BK185" s="2790"/>
      <c r="BL185" s="2685" t="s">
        <v>1092</v>
      </c>
      <c r="BM185" s="2745" t="s">
        <v>888</v>
      </c>
      <c r="BN185" s="2688" t="s">
        <v>1077</v>
      </c>
      <c r="BO185" s="2745" t="s">
        <v>1128</v>
      </c>
      <c r="BP185" s="2745"/>
      <c r="BQ185" s="2745" t="e">
        <v>#DIV/0!</v>
      </c>
      <c r="BR185" s="2745" t="e">
        <v>#DIV/0!</v>
      </c>
    </row>
    <row r="186" s="2504" customFormat="1" ht="12" hidden="1" spans="1:70">
      <c r="A186" s="2688" t="s">
        <v>2426</v>
      </c>
      <c r="B186" s="2688" t="s">
        <v>2427</v>
      </c>
      <c r="C186" s="2689" t="s">
        <v>2428</v>
      </c>
      <c r="D186" s="2689">
        <v>62635609</v>
      </c>
      <c r="E186" s="2688" t="s">
        <v>1060</v>
      </c>
      <c r="F186" s="2688" t="s">
        <v>1486</v>
      </c>
      <c r="G186" s="2688"/>
      <c r="H186" s="2688" t="s">
        <v>1549</v>
      </c>
      <c r="I186" s="2688"/>
      <c r="J186" s="2689" t="s">
        <v>2429</v>
      </c>
      <c r="K186" s="2688" t="s">
        <v>2430</v>
      </c>
      <c r="L186" s="2813">
        <v>46.54</v>
      </c>
      <c r="M186" s="2688">
        <v>4</v>
      </c>
      <c r="N186" s="2691" t="s">
        <v>1259</v>
      </c>
      <c r="O186" s="2688"/>
      <c r="P186" s="2688" t="s">
        <v>1065</v>
      </c>
      <c r="Q186" s="2726">
        <v>290000</v>
      </c>
      <c r="R186" s="2688">
        <v>6231</v>
      </c>
      <c r="S186" s="2722">
        <v>27.54</v>
      </c>
      <c r="T186" s="2723">
        <v>275400</v>
      </c>
      <c r="U186" s="2688">
        <v>5918</v>
      </c>
      <c r="V186" s="2724">
        <v>0.05</v>
      </c>
      <c r="W186" s="2722">
        <v>26.16</v>
      </c>
      <c r="X186" s="2725">
        <v>261600</v>
      </c>
      <c r="Y186" s="2745">
        <v>2005</v>
      </c>
      <c r="Z186" s="2745">
        <v>6</v>
      </c>
      <c r="AA186" s="2688">
        <v>14</v>
      </c>
      <c r="AB186" s="2688">
        <v>825</v>
      </c>
      <c r="AC186" s="2688" t="s">
        <v>1605</v>
      </c>
      <c r="AD186" s="2688"/>
      <c r="AE186" s="2747" t="s">
        <v>179</v>
      </c>
      <c r="AF186" s="2691" t="s">
        <v>1068</v>
      </c>
      <c r="AG186" s="2688" t="s">
        <v>1069</v>
      </c>
      <c r="AH186" s="2688"/>
      <c r="AI186" s="2747" t="s">
        <v>1070</v>
      </c>
      <c r="AJ186" s="2760"/>
      <c r="AK186" s="2755">
        <v>6</v>
      </c>
      <c r="AL186" s="2745">
        <v>67641700</v>
      </c>
      <c r="AM186" s="2745"/>
      <c r="AN186" s="2747" t="s">
        <v>1072</v>
      </c>
      <c r="AO186" s="2688"/>
      <c r="AP186" s="2747" t="s">
        <v>1515</v>
      </c>
      <c r="AQ186" s="2747" t="s">
        <v>1074</v>
      </c>
      <c r="AR186" s="2745"/>
      <c r="AS186" s="2745"/>
      <c r="AT186" s="2745"/>
      <c r="AU186" s="2688"/>
      <c r="AV186" s="2745"/>
      <c r="AW186" s="2745"/>
      <c r="AX186" s="2745"/>
      <c r="AY186" s="2769"/>
      <c r="AZ186" s="2688" t="s">
        <v>2430</v>
      </c>
      <c r="BA186" s="2745"/>
      <c r="BB186" s="2769"/>
      <c r="BC186" s="2745"/>
      <c r="BD186" s="2770"/>
      <c r="BE186" s="2769"/>
      <c r="BF186" s="2788"/>
      <c r="BG186" s="2798">
        <v>38513</v>
      </c>
      <c r="BH186" s="2745"/>
      <c r="BI186" s="2747" t="s">
        <v>1342</v>
      </c>
      <c r="BJ186" s="2753">
        <v>38513</v>
      </c>
      <c r="BK186" s="2790"/>
      <c r="BL186" s="2745"/>
      <c r="BM186" s="2745" t="s">
        <v>888</v>
      </c>
      <c r="BN186" s="2688" t="s">
        <v>1077</v>
      </c>
      <c r="BO186" s="2745" t="s">
        <v>1128</v>
      </c>
      <c r="BP186" s="2745"/>
      <c r="BQ186" s="2745" t="e">
        <v>#DIV/0!</v>
      </c>
      <c r="BR186" s="2745" t="e">
        <v>#DIV/0!</v>
      </c>
    </row>
    <row r="187" s="2505" customFormat="1" ht="12" hidden="1" spans="1:73">
      <c r="A187" s="2688" t="s">
        <v>2431</v>
      </c>
      <c r="B187" s="2688" t="s">
        <v>2432</v>
      </c>
      <c r="C187" s="2689" t="s">
        <v>2433</v>
      </c>
      <c r="D187" s="2689" t="s">
        <v>2434</v>
      </c>
      <c r="E187" s="2691" t="s">
        <v>1060</v>
      </c>
      <c r="F187" s="2691" t="s">
        <v>2435</v>
      </c>
      <c r="G187" s="2688"/>
      <c r="H187" s="2688" t="s">
        <v>1084</v>
      </c>
      <c r="I187" s="2691" t="s">
        <v>1114</v>
      </c>
      <c r="J187" s="2688" t="s">
        <v>2436</v>
      </c>
      <c r="K187" s="2691" t="s">
        <v>2432</v>
      </c>
      <c r="L187" s="2813">
        <v>68.2</v>
      </c>
      <c r="M187" s="2688">
        <v>3</v>
      </c>
      <c r="N187" s="2691" t="s">
        <v>1064</v>
      </c>
      <c r="O187" s="2688" t="s">
        <v>1114</v>
      </c>
      <c r="P187" s="2688" t="s">
        <v>1065</v>
      </c>
      <c r="Q187" s="2712">
        <v>480000</v>
      </c>
      <c r="R187" s="2688">
        <v>7038</v>
      </c>
      <c r="S187" s="2722">
        <v>42.48</v>
      </c>
      <c r="T187" s="2723">
        <v>424800</v>
      </c>
      <c r="U187" s="2688">
        <v>6229</v>
      </c>
      <c r="V187" s="2724">
        <v>0.05</v>
      </c>
      <c r="W187" s="2722">
        <v>40.35</v>
      </c>
      <c r="X187" s="2725">
        <v>403500</v>
      </c>
      <c r="Y187" s="2745">
        <v>2005</v>
      </c>
      <c r="Z187" s="2745">
        <v>6</v>
      </c>
      <c r="AA187" s="2745">
        <v>27</v>
      </c>
      <c r="AB187" s="2688">
        <v>1270</v>
      </c>
      <c r="AC187" s="2688" t="s">
        <v>1605</v>
      </c>
      <c r="AD187" s="2688"/>
      <c r="AE187" s="2747" t="s">
        <v>179</v>
      </c>
      <c r="AF187" s="2691" t="s">
        <v>1068</v>
      </c>
      <c r="AG187" s="2747" t="s">
        <v>1069</v>
      </c>
      <c r="AH187" s="2688"/>
      <c r="AI187" s="2747" t="s">
        <v>1070</v>
      </c>
      <c r="AJ187" s="2753"/>
      <c r="AK187" s="2755">
        <v>6</v>
      </c>
      <c r="AL187" s="2745">
        <v>67641700</v>
      </c>
      <c r="AM187" s="2745"/>
      <c r="AN187" s="2747" t="s">
        <v>1071</v>
      </c>
      <c r="AO187" s="2688" t="s">
        <v>2437</v>
      </c>
      <c r="AP187" s="2747" t="s">
        <v>1515</v>
      </c>
      <c r="AQ187" s="2745" t="s">
        <v>1607</v>
      </c>
      <c r="AR187" s="2745"/>
      <c r="AS187" s="2745"/>
      <c r="AT187" s="2745"/>
      <c r="AU187" s="2745"/>
      <c r="AV187" s="2745"/>
      <c r="AW187" s="2745" t="s">
        <v>1075</v>
      </c>
      <c r="AX187" s="2745"/>
      <c r="AY187" s="2769"/>
      <c r="AZ187" s="2688" t="s">
        <v>2438</v>
      </c>
      <c r="BA187" s="2774"/>
      <c r="BB187" s="2775"/>
      <c r="BC187" s="2774"/>
      <c r="BD187" s="2776"/>
      <c r="BE187" s="2745"/>
      <c r="BF187" s="2788"/>
      <c r="BG187" s="2798">
        <v>38516</v>
      </c>
      <c r="BH187" s="2789" t="s">
        <v>1174</v>
      </c>
      <c r="BI187" s="2745" t="s">
        <v>1515</v>
      </c>
      <c r="BJ187" s="2789">
        <v>38516</v>
      </c>
      <c r="BK187" s="2789"/>
      <c r="BL187" s="2688" t="s">
        <v>1092</v>
      </c>
      <c r="BM187" s="2745" t="s">
        <v>888</v>
      </c>
      <c r="BN187" s="2745" t="s">
        <v>1148</v>
      </c>
      <c r="BO187" s="2745" t="s">
        <v>1128</v>
      </c>
      <c r="BP187" s="2745"/>
      <c r="BQ187" s="2745" t="e">
        <v>#VALUE!</v>
      </c>
      <c r="BR187" s="2745" t="e">
        <v>#VALUE!</v>
      </c>
      <c r="BS187" s="2504"/>
      <c r="BT187" s="2504"/>
      <c r="BU187" s="2504"/>
    </row>
    <row r="188" s="2504" customFormat="1" ht="12" hidden="1" spans="1:70">
      <c r="A188" s="2688" t="s">
        <v>2439</v>
      </c>
      <c r="B188" s="2691" t="s">
        <v>2440</v>
      </c>
      <c r="C188" s="2689" t="s">
        <v>2441</v>
      </c>
      <c r="D188" s="2691" t="s">
        <v>2442</v>
      </c>
      <c r="E188" s="2691" t="s">
        <v>1060</v>
      </c>
      <c r="F188" s="2691" t="s">
        <v>2068</v>
      </c>
      <c r="G188" s="2691"/>
      <c r="H188" s="2691" t="s">
        <v>2069</v>
      </c>
      <c r="I188" s="2691" t="s">
        <v>1196</v>
      </c>
      <c r="J188" s="2691" t="s">
        <v>1135</v>
      </c>
      <c r="K188" s="2691" t="s">
        <v>2443</v>
      </c>
      <c r="L188" s="2702">
        <v>110.08</v>
      </c>
      <c r="M188" s="2697" t="s">
        <v>1087</v>
      </c>
      <c r="N188" s="2691" t="s">
        <v>1374</v>
      </c>
      <c r="O188" s="2697"/>
      <c r="P188" s="2691" t="s">
        <v>1065</v>
      </c>
      <c r="Q188" s="2712">
        <v>670000</v>
      </c>
      <c r="R188" s="2688">
        <v>6086</v>
      </c>
      <c r="S188" s="2722">
        <v>63.62</v>
      </c>
      <c r="T188" s="2723">
        <v>636200</v>
      </c>
      <c r="U188" s="2688">
        <v>5780</v>
      </c>
      <c r="V188" s="2724">
        <v>0.05</v>
      </c>
      <c r="W188" s="2722">
        <v>60.43</v>
      </c>
      <c r="X188" s="2725">
        <v>604300</v>
      </c>
      <c r="Y188" s="2745">
        <v>2005</v>
      </c>
      <c r="Z188" s="2745">
        <v>8</v>
      </c>
      <c r="AA188" s="2745">
        <v>5</v>
      </c>
      <c r="AB188" s="2688">
        <v>1500</v>
      </c>
      <c r="AC188" s="2688" t="s">
        <v>1605</v>
      </c>
      <c r="AD188" s="2691"/>
      <c r="AE188" s="2691" t="s">
        <v>179</v>
      </c>
      <c r="AF188" s="2691" t="s">
        <v>1068</v>
      </c>
      <c r="AG188" s="2691" t="s">
        <v>1069</v>
      </c>
      <c r="AH188" s="2691"/>
      <c r="AI188" s="2691" t="s">
        <v>1070</v>
      </c>
      <c r="AJ188" s="2760"/>
      <c r="AK188" s="2755">
        <v>8</v>
      </c>
      <c r="AL188" s="2745">
        <v>67641700</v>
      </c>
      <c r="AM188" s="2745"/>
      <c r="AN188" s="2747" t="s">
        <v>1087</v>
      </c>
      <c r="AO188" s="2745" t="s">
        <v>2444</v>
      </c>
      <c r="AP188" s="2747" t="s">
        <v>1515</v>
      </c>
      <c r="AQ188" s="2745" t="s">
        <v>1675</v>
      </c>
      <c r="AR188" s="2688"/>
      <c r="AS188" s="2688"/>
      <c r="AT188" s="2688"/>
      <c r="AU188" s="2688"/>
      <c r="AV188" s="2765"/>
      <c r="AW188" s="2745" t="s">
        <v>1343</v>
      </c>
      <c r="AX188" s="2745"/>
      <c r="AY188" s="2769"/>
      <c r="AZ188" s="2688" t="s">
        <v>2443</v>
      </c>
      <c r="BA188" s="2774"/>
      <c r="BB188" s="2775"/>
      <c r="BC188" s="2774"/>
      <c r="BD188" s="2776"/>
      <c r="BE188" s="2745"/>
      <c r="BF188" s="2788"/>
      <c r="BG188" s="2798">
        <v>38517</v>
      </c>
      <c r="BH188" s="2688" t="s">
        <v>1174</v>
      </c>
      <c r="BI188" s="2688" t="s">
        <v>2338</v>
      </c>
      <c r="BJ188" s="2789">
        <v>38524</v>
      </c>
      <c r="BK188" s="2790"/>
      <c r="BL188" s="2688" t="s">
        <v>1092</v>
      </c>
      <c r="BM188" s="2688" t="s">
        <v>888</v>
      </c>
      <c r="BN188" s="2688" t="s">
        <v>1077</v>
      </c>
      <c r="BO188" s="2688" t="s">
        <v>1128</v>
      </c>
      <c r="BP188" s="2745"/>
      <c r="BQ188" s="2745" t="e">
        <v>#DIV/0!</v>
      </c>
      <c r="BR188" s="2745" t="e">
        <v>#DIV/0!</v>
      </c>
    </row>
    <row r="189" s="2506" customFormat="1" ht="12" hidden="1" spans="1:73">
      <c r="A189" s="2685" t="s">
        <v>2445</v>
      </c>
      <c r="B189" s="2685" t="s">
        <v>2446</v>
      </c>
      <c r="C189" s="2686" t="s">
        <v>2447</v>
      </c>
      <c r="D189" s="2686" t="s">
        <v>2448</v>
      </c>
      <c r="E189" s="2685" t="s">
        <v>1060</v>
      </c>
      <c r="F189" s="2688" t="s">
        <v>2449</v>
      </c>
      <c r="G189" s="2685"/>
      <c r="H189" s="2685" t="s">
        <v>1549</v>
      </c>
      <c r="I189" s="2685"/>
      <c r="J189" s="2686" t="s">
        <v>1586</v>
      </c>
      <c r="K189" s="2685" t="s">
        <v>2446</v>
      </c>
      <c r="L189" s="2703">
        <v>41.7</v>
      </c>
      <c r="M189" s="2685">
        <v>4</v>
      </c>
      <c r="N189" s="2685" t="s">
        <v>1259</v>
      </c>
      <c r="O189" s="2685"/>
      <c r="P189" s="2685" t="s">
        <v>1065</v>
      </c>
      <c r="Q189" s="2716">
        <v>310000</v>
      </c>
      <c r="R189" s="2685">
        <v>7434</v>
      </c>
      <c r="S189" s="2717">
        <v>25.28</v>
      </c>
      <c r="T189" s="2718">
        <v>252800</v>
      </c>
      <c r="U189" s="2685">
        <v>6063</v>
      </c>
      <c r="V189" s="2719">
        <v>0.05</v>
      </c>
      <c r="W189" s="2717">
        <v>24.01</v>
      </c>
      <c r="X189" s="2720">
        <v>240100</v>
      </c>
      <c r="Y189" s="2744">
        <v>2005</v>
      </c>
      <c r="Z189" s="2744">
        <v>6</v>
      </c>
      <c r="AA189" s="2744">
        <v>22</v>
      </c>
      <c r="AB189" s="2685">
        <v>755</v>
      </c>
      <c r="AC189" s="2685" t="s">
        <v>1605</v>
      </c>
      <c r="AD189" s="2685"/>
      <c r="AE189" s="2744" t="s">
        <v>1342</v>
      </c>
      <c r="AF189" s="2691" t="s">
        <v>1068</v>
      </c>
      <c r="AG189" s="2685" t="s">
        <v>1069</v>
      </c>
      <c r="AH189" s="2685"/>
      <c r="AI189" s="2747" t="s">
        <v>1070</v>
      </c>
      <c r="AJ189" s="2760"/>
      <c r="AK189" s="2755">
        <v>6</v>
      </c>
      <c r="AL189" s="2745">
        <v>67641700</v>
      </c>
      <c r="AM189" s="2745"/>
      <c r="AN189" s="2747" t="s">
        <v>1182</v>
      </c>
      <c r="AO189" s="2688"/>
      <c r="AP189" s="2747" t="s">
        <v>1515</v>
      </c>
      <c r="AQ189" s="2685" t="s">
        <v>1074</v>
      </c>
      <c r="AR189" s="2744"/>
      <c r="AS189" s="2744"/>
      <c r="AT189" s="2744"/>
      <c r="AU189" s="2744"/>
      <c r="AV189" s="2744"/>
      <c r="AW189" s="2744" t="s">
        <v>1343</v>
      </c>
      <c r="AX189" s="2744"/>
      <c r="AY189" s="2767"/>
      <c r="AZ189" s="2744" t="s">
        <v>2450</v>
      </c>
      <c r="BA189" s="2744"/>
      <c r="BB189" s="2767"/>
      <c r="BC189" s="2744"/>
      <c r="BD189" s="2768"/>
      <c r="BE189" s="2744"/>
      <c r="BF189" s="2784"/>
      <c r="BG189" s="2785">
        <v>38518</v>
      </c>
      <c r="BH189" s="2685" t="s">
        <v>1174</v>
      </c>
      <c r="BI189" s="2745" t="s">
        <v>1515</v>
      </c>
      <c r="BJ189" s="2787">
        <v>38518</v>
      </c>
      <c r="BK189" s="2787"/>
      <c r="BL189" s="2685" t="s">
        <v>1092</v>
      </c>
      <c r="BM189" s="2744" t="s">
        <v>888</v>
      </c>
      <c r="BN189" s="2744" t="s">
        <v>1077</v>
      </c>
      <c r="BO189" s="2744" t="s">
        <v>1128</v>
      </c>
      <c r="BP189" s="2744"/>
      <c r="BQ189" s="2744" t="e">
        <v>#DIV/0!</v>
      </c>
      <c r="BR189" s="2744" t="e">
        <v>#DIV/0!</v>
      </c>
      <c r="BS189" s="2504"/>
      <c r="BT189" s="2504"/>
      <c r="BU189" s="2504"/>
    </row>
    <row r="190" s="2504" customFormat="1" ht="12" hidden="1" spans="1:70">
      <c r="A190" s="2688" t="s">
        <v>2451</v>
      </c>
      <c r="B190" s="2691" t="s">
        <v>2452</v>
      </c>
      <c r="C190" s="2689" t="s">
        <v>2453</v>
      </c>
      <c r="D190" s="2691" t="s">
        <v>2454</v>
      </c>
      <c r="E190" s="2691" t="s">
        <v>1060</v>
      </c>
      <c r="F190" s="2691" t="s">
        <v>2455</v>
      </c>
      <c r="G190" s="2691"/>
      <c r="H190" s="2691" t="s">
        <v>1180</v>
      </c>
      <c r="I190" s="2691" t="s">
        <v>1196</v>
      </c>
      <c r="J190" s="2691" t="s">
        <v>2456</v>
      </c>
      <c r="K190" s="2691" t="s">
        <v>2452</v>
      </c>
      <c r="L190" s="2813">
        <v>64.37</v>
      </c>
      <c r="M190" s="2697">
        <v>5</v>
      </c>
      <c r="N190" s="2691" t="s">
        <v>1064</v>
      </c>
      <c r="O190" s="2697"/>
      <c r="P190" s="2691" t="s">
        <v>1065</v>
      </c>
      <c r="Q190" s="2712">
        <v>443000</v>
      </c>
      <c r="R190" s="2688">
        <v>6882</v>
      </c>
      <c r="S190" s="2722">
        <v>39.42</v>
      </c>
      <c r="T190" s="2723">
        <v>394200</v>
      </c>
      <c r="U190" s="2688">
        <v>6124</v>
      </c>
      <c r="V190" s="2724">
        <v>0.05</v>
      </c>
      <c r="W190" s="2722">
        <v>37.44</v>
      </c>
      <c r="X190" s="2725">
        <v>374400</v>
      </c>
      <c r="Y190" s="2745">
        <v>2005</v>
      </c>
      <c r="Z190" s="2745">
        <v>6</v>
      </c>
      <c r="AA190" s="2745">
        <v>27</v>
      </c>
      <c r="AB190" s="2688">
        <v>1180</v>
      </c>
      <c r="AC190" s="2688" t="s">
        <v>1605</v>
      </c>
      <c r="AD190" s="2691"/>
      <c r="AE190" s="2691" t="s">
        <v>1639</v>
      </c>
      <c r="AF190" s="2691" t="s">
        <v>1068</v>
      </c>
      <c r="AG190" s="2691" t="s">
        <v>1069</v>
      </c>
      <c r="AH190" s="2691"/>
      <c r="AI190" s="2691" t="s">
        <v>1070</v>
      </c>
      <c r="AJ190" s="2760"/>
      <c r="AK190" s="2755">
        <v>6</v>
      </c>
      <c r="AL190" s="2745">
        <v>67641700</v>
      </c>
      <c r="AM190" s="2745"/>
      <c r="AN190" s="2747" t="s">
        <v>1071</v>
      </c>
      <c r="AO190" s="2745"/>
      <c r="AP190" s="2747" t="s">
        <v>1515</v>
      </c>
      <c r="AQ190" s="2745" t="s">
        <v>1074</v>
      </c>
      <c r="AR190" s="2688"/>
      <c r="AS190" s="2688"/>
      <c r="AT190" s="2688"/>
      <c r="AU190" s="2688"/>
      <c r="AV190" s="2765"/>
      <c r="AW190" s="2745" t="s">
        <v>1343</v>
      </c>
      <c r="AX190" s="2745"/>
      <c r="AY190" s="2769"/>
      <c r="AZ190" s="2688" t="s">
        <v>2457</v>
      </c>
      <c r="BA190" s="2774"/>
      <c r="BB190" s="2775"/>
      <c r="BC190" s="2774"/>
      <c r="BD190" s="2776"/>
      <c r="BE190" s="2745"/>
      <c r="BF190" s="2788"/>
      <c r="BG190" s="2798">
        <v>38524</v>
      </c>
      <c r="BH190" s="2688" t="s">
        <v>1174</v>
      </c>
      <c r="BI190" s="2745" t="s">
        <v>1515</v>
      </c>
      <c r="BJ190" s="2789">
        <v>38524</v>
      </c>
      <c r="BK190" s="2790"/>
      <c r="BL190" s="2688" t="s">
        <v>1092</v>
      </c>
      <c r="BM190" s="2688" t="s">
        <v>888</v>
      </c>
      <c r="BN190" s="2688" t="s">
        <v>1148</v>
      </c>
      <c r="BO190" s="2688" t="s">
        <v>1128</v>
      </c>
      <c r="BP190" s="2745"/>
      <c r="BQ190" s="2745" t="e">
        <v>#DIV/0!</v>
      </c>
      <c r="BR190" s="2745" t="e">
        <v>#DIV/0!</v>
      </c>
    </row>
    <row r="191" s="2504" customFormat="1" ht="12" hidden="1" spans="1:70">
      <c r="A191" s="2688" t="s">
        <v>2458</v>
      </c>
      <c r="B191" s="2691" t="s">
        <v>2459</v>
      </c>
      <c r="C191" s="2689" t="s">
        <v>2460</v>
      </c>
      <c r="D191" s="2691">
        <v>13641106739</v>
      </c>
      <c r="E191" s="2691" t="s">
        <v>1060</v>
      </c>
      <c r="F191" s="2691" t="s">
        <v>2461</v>
      </c>
      <c r="G191" s="2691"/>
      <c r="H191" s="2691" t="s">
        <v>2462</v>
      </c>
      <c r="I191" s="2691" t="s">
        <v>1196</v>
      </c>
      <c r="J191" s="2691" t="s">
        <v>2463</v>
      </c>
      <c r="K191" s="2691" t="s">
        <v>2459</v>
      </c>
      <c r="L191" s="2813">
        <v>57.2</v>
      </c>
      <c r="M191" s="2697">
        <v>3</v>
      </c>
      <c r="N191" s="2691" t="s">
        <v>1064</v>
      </c>
      <c r="O191" s="2697"/>
      <c r="P191" s="2691" t="s">
        <v>1065</v>
      </c>
      <c r="Q191" s="2712">
        <v>350000</v>
      </c>
      <c r="R191" s="2688">
        <v>6119</v>
      </c>
      <c r="S191" s="2722">
        <v>31.11</v>
      </c>
      <c r="T191" s="2723">
        <v>311100</v>
      </c>
      <c r="U191" s="2688">
        <v>5440</v>
      </c>
      <c r="V191" s="2724">
        <v>0.05</v>
      </c>
      <c r="W191" s="2722">
        <v>29.55</v>
      </c>
      <c r="X191" s="2725">
        <v>295500</v>
      </c>
      <c r="Y191" s="2745">
        <v>2005</v>
      </c>
      <c r="Z191" s="2745">
        <v>6</v>
      </c>
      <c r="AA191" s="2745">
        <v>27</v>
      </c>
      <c r="AB191" s="2688">
        <v>930</v>
      </c>
      <c r="AC191" s="2688" t="s">
        <v>1605</v>
      </c>
      <c r="AD191" s="2691"/>
      <c r="AE191" s="2691" t="s">
        <v>175</v>
      </c>
      <c r="AF191" s="2691" t="s">
        <v>1068</v>
      </c>
      <c r="AG191" s="2691" t="s">
        <v>1069</v>
      </c>
      <c r="AH191" s="2691"/>
      <c r="AI191" s="2691" t="s">
        <v>1070</v>
      </c>
      <c r="AJ191" s="2760"/>
      <c r="AK191" s="2755">
        <v>6</v>
      </c>
      <c r="AL191" s="2745">
        <v>67641700</v>
      </c>
      <c r="AM191" s="2745"/>
      <c r="AN191" s="2747" t="s">
        <v>1071</v>
      </c>
      <c r="AO191" s="2745"/>
      <c r="AP191" s="2747" t="s">
        <v>1515</v>
      </c>
      <c r="AQ191" s="2745" t="s">
        <v>1074</v>
      </c>
      <c r="AR191" s="2688"/>
      <c r="AS191" s="2688"/>
      <c r="AT191" s="2688"/>
      <c r="AU191" s="2688"/>
      <c r="AV191" s="2765"/>
      <c r="AW191" s="2745" t="s">
        <v>1075</v>
      </c>
      <c r="AX191" s="2745"/>
      <c r="AY191" s="2769"/>
      <c r="AZ191" s="2688" t="s">
        <v>2464</v>
      </c>
      <c r="BA191" s="2774"/>
      <c r="BB191" s="2775"/>
      <c r="BC191" s="2774"/>
      <c r="BD191" s="2776"/>
      <c r="BE191" s="2745"/>
      <c r="BF191" s="2788"/>
      <c r="BG191" s="2798">
        <v>38509</v>
      </c>
      <c r="BH191" s="2688" t="s">
        <v>1174</v>
      </c>
      <c r="BI191" s="2745" t="s">
        <v>1515</v>
      </c>
      <c r="BJ191" s="2789">
        <v>38526</v>
      </c>
      <c r="BK191" s="2790"/>
      <c r="BL191" s="2688" t="s">
        <v>1092</v>
      </c>
      <c r="BM191" s="2688" t="s">
        <v>1253</v>
      </c>
      <c r="BN191" s="2688" t="s">
        <v>1077</v>
      </c>
      <c r="BO191" s="2688" t="s">
        <v>1243</v>
      </c>
      <c r="BP191" s="2745"/>
      <c r="BQ191" s="2745" t="e">
        <v>#DIV/0!</v>
      </c>
      <c r="BR191" s="2745" t="e">
        <v>#DIV/0!</v>
      </c>
    </row>
    <row r="192" s="2504" customFormat="1" ht="12" hidden="1" spans="1:70">
      <c r="A192" s="2688" t="s">
        <v>2465</v>
      </c>
      <c r="B192" s="2688" t="s">
        <v>2466</v>
      </c>
      <c r="C192" s="2689" t="s">
        <v>2467</v>
      </c>
      <c r="D192" s="2689" t="s">
        <v>2468</v>
      </c>
      <c r="E192" s="2688" t="s">
        <v>1060</v>
      </c>
      <c r="F192" s="2688" t="s">
        <v>1430</v>
      </c>
      <c r="G192" s="2688"/>
      <c r="H192" s="2688" t="s">
        <v>1155</v>
      </c>
      <c r="I192" s="2688" t="s">
        <v>2469</v>
      </c>
      <c r="J192" s="2689" t="s">
        <v>2470</v>
      </c>
      <c r="K192" s="2688" t="s">
        <v>2466</v>
      </c>
      <c r="L192" s="2702">
        <v>114.8</v>
      </c>
      <c r="M192" s="2688">
        <v>16</v>
      </c>
      <c r="N192" s="2688" t="s">
        <v>1374</v>
      </c>
      <c r="O192" s="2688"/>
      <c r="P192" s="2688" t="s">
        <v>1065</v>
      </c>
      <c r="Q192" s="2712">
        <v>650000</v>
      </c>
      <c r="R192" s="2688">
        <v>5662</v>
      </c>
      <c r="S192" s="2722">
        <v>61.99</v>
      </c>
      <c r="T192" s="2718">
        <v>619900</v>
      </c>
      <c r="U192" s="2688">
        <v>5400</v>
      </c>
      <c r="V192" s="2724">
        <v>0.05</v>
      </c>
      <c r="W192" s="2717">
        <v>58.89</v>
      </c>
      <c r="X192" s="2725">
        <v>588900</v>
      </c>
      <c r="Y192" s="2745">
        <v>2005</v>
      </c>
      <c r="Z192" s="2745">
        <v>7</v>
      </c>
      <c r="AA192" s="2745">
        <v>14</v>
      </c>
      <c r="AB192" s="2685">
        <v>1500</v>
      </c>
      <c r="AC192" s="2688" t="s">
        <v>1605</v>
      </c>
      <c r="AD192" s="2688"/>
      <c r="AE192" s="2691" t="s">
        <v>179</v>
      </c>
      <c r="AF192" s="2688" t="s">
        <v>1068</v>
      </c>
      <c r="AG192" s="2688" t="s">
        <v>1069</v>
      </c>
      <c r="AH192" s="2688"/>
      <c r="AI192" s="2691" t="s">
        <v>1070</v>
      </c>
      <c r="AJ192" s="2753"/>
      <c r="AK192" s="2752" t="s">
        <v>1330</v>
      </c>
      <c r="AL192" s="2745">
        <v>82253558</v>
      </c>
      <c r="AM192" s="2745"/>
      <c r="AN192" s="2748" t="s">
        <v>1072</v>
      </c>
      <c r="AO192" s="2745" t="s">
        <v>2471</v>
      </c>
      <c r="AP192" s="2745" t="s">
        <v>1515</v>
      </c>
      <c r="AQ192" s="2745" t="s">
        <v>1675</v>
      </c>
      <c r="AR192" s="2745"/>
      <c r="AS192" s="2745"/>
      <c r="AT192" s="2745"/>
      <c r="AU192" s="2745"/>
      <c r="AV192" s="2745"/>
      <c r="AW192" s="2745" t="s">
        <v>1075</v>
      </c>
      <c r="AX192" s="2745"/>
      <c r="AY192" s="2769"/>
      <c r="AZ192" s="2745" t="s">
        <v>2472</v>
      </c>
      <c r="BA192" s="2745"/>
      <c r="BB192" s="2769"/>
      <c r="BC192" s="2745"/>
      <c r="BD192" s="2770"/>
      <c r="BE192" s="2745"/>
      <c r="BF192" s="2788"/>
      <c r="BG192" s="2761">
        <v>38525</v>
      </c>
      <c r="BH192" s="2745"/>
      <c r="BI192" s="2688" t="s">
        <v>2338</v>
      </c>
      <c r="BJ192" s="2789">
        <v>38527</v>
      </c>
      <c r="BK192" s="2789"/>
      <c r="BL192" s="2688"/>
      <c r="BM192" s="2745" t="s">
        <v>888</v>
      </c>
      <c r="BN192" s="2745" t="s">
        <v>1077</v>
      </c>
      <c r="BO192" s="2744" t="s">
        <v>1243</v>
      </c>
      <c r="BP192" s="2745"/>
      <c r="BQ192" s="2745" t="e">
        <v>#DIV/0!</v>
      </c>
      <c r="BR192" s="2745" t="e">
        <v>#DIV/0!</v>
      </c>
    </row>
    <row r="193" s="2505" customFormat="1" ht="12" hidden="1" spans="1:73">
      <c r="A193" s="2688" t="s">
        <v>2473</v>
      </c>
      <c r="B193" s="2688" t="s">
        <v>2474</v>
      </c>
      <c r="C193" s="2689" t="s">
        <v>2475</v>
      </c>
      <c r="D193" s="2689" t="s">
        <v>2476</v>
      </c>
      <c r="E193" s="2691" t="s">
        <v>1060</v>
      </c>
      <c r="F193" s="2691" t="s">
        <v>2477</v>
      </c>
      <c r="G193" s="2688"/>
      <c r="H193" s="2688" t="s">
        <v>1062</v>
      </c>
      <c r="I193" s="2691" t="s">
        <v>1114</v>
      </c>
      <c r="J193" s="2688" t="s">
        <v>2478</v>
      </c>
      <c r="K193" s="2688" t="s">
        <v>2474</v>
      </c>
      <c r="L193" s="2702">
        <v>38.7</v>
      </c>
      <c r="M193" s="2688">
        <v>5</v>
      </c>
      <c r="N193" s="2691" t="s">
        <v>1942</v>
      </c>
      <c r="O193" s="2688" t="s">
        <v>1114</v>
      </c>
      <c r="P193" s="2688" t="s">
        <v>1065</v>
      </c>
      <c r="Q193" s="2712">
        <v>240000</v>
      </c>
      <c r="R193" s="2688">
        <v>6202</v>
      </c>
      <c r="S193" s="2722">
        <v>23.97</v>
      </c>
      <c r="T193" s="2723">
        <v>239700</v>
      </c>
      <c r="U193" s="2688">
        <v>6195</v>
      </c>
      <c r="V193" s="2724">
        <v>0.05</v>
      </c>
      <c r="W193" s="2722">
        <v>22.77</v>
      </c>
      <c r="X193" s="2725">
        <v>227700</v>
      </c>
      <c r="Y193" s="2745">
        <v>2005</v>
      </c>
      <c r="Z193" s="2745">
        <v>8</v>
      </c>
      <c r="AA193" s="2745">
        <v>1</v>
      </c>
      <c r="AB193" s="2688">
        <v>715</v>
      </c>
      <c r="AC193" s="2688" t="s">
        <v>1605</v>
      </c>
      <c r="AD193" s="2688"/>
      <c r="AE193" s="2747" t="s">
        <v>179</v>
      </c>
      <c r="AF193" s="2691" t="s">
        <v>1068</v>
      </c>
      <c r="AG193" s="2747" t="s">
        <v>1069</v>
      </c>
      <c r="AH193" s="2688"/>
      <c r="AI193" s="2747" t="s">
        <v>1070</v>
      </c>
      <c r="AJ193" s="2753"/>
      <c r="AK193" s="2755">
        <v>8</v>
      </c>
      <c r="AL193" s="2745">
        <v>67641700</v>
      </c>
      <c r="AM193" s="2745"/>
      <c r="AN193" s="2747" t="s">
        <v>1087</v>
      </c>
      <c r="AO193" s="2688" t="s">
        <v>1114</v>
      </c>
      <c r="AP193" s="2747" t="s">
        <v>1515</v>
      </c>
      <c r="AQ193" s="2745" t="s">
        <v>1089</v>
      </c>
      <c r="AR193" s="2745"/>
      <c r="AS193" s="2745"/>
      <c r="AT193" s="2745"/>
      <c r="AU193" s="2745"/>
      <c r="AV193" s="2745"/>
      <c r="AW193" s="2745" t="s">
        <v>1075</v>
      </c>
      <c r="AX193" s="2745"/>
      <c r="AY193" s="2769"/>
      <c r="AZ193" s="2688" t="s">
        <v>2479</v>
      </c>
      <c r="BA193" s="2774"/>
      <c r="BB193" s="2775"/>
      <c r="BC193" s="2774"/>
      <c r="BD193" s="2776"/>
      <c r="BE193" s="2745"/>
      <c r="BF193" s="2788"/>
      <c r="BG193" s="2798">
        <v>38504</v>
      </c>
      <c r="BH193" s="2789" t="s">
        <v>1174</v>
      </c>
      <c r="BI193" s="2688" t="s">
        <v>2140</v>
      </c>
      <c r="BJ193" s="2789">
        <v>38530</v>
      </c>
      <c r="BK193" s="2789"/>
      <c r="BL193" s="2688" t="s">
        <v>1092</v>
      </c>
      <c r="BM193" s="2745" t="s">
        <v>888</v>
      </c>
      <c r="BN193" s="2745" t="s">
        <v>1148</v>
      </c>
      <c r="BO193" s="2745" t="s">
        <v>1128</v>
      </c>
      <c r="BP193" s="2745"/>
      <c r="BQ193" s="2745" t="e">
        <v>#VALUE!</v>
      </c>
      <c r="BR193" s="2745" t="e">
        <v>#VALUE!</v>
      </c>
      <c r="BS193" s="2504"/>
      <c r="BT193" s="2504"/>
      <c r="BU193" s="2504"/>
    </row>
    <row r="194" s="2505" customFormat="1" ht="12" hidden="1" spans="1:73">
      <c r="A194" s="2688" t="s">
        <v>2480</v>
      </c>
      <c r="B194" s="2688" t="s">
        <v>2481</v>
      </c>
      <c r="C194" s="2689" t="s">
        <v>2482</v>
      </c>
      <c r="D194" s="2689" t="s">
        <v>2483</v>
      </c>
      <c r="E194" s="2688" t="s">
        <v>1060</v>
      </c>
      <c r="F194" s="2690" t="s">
        <v>2484</v>
      </c>
      <c r="G194" s="2688"/>
      <c r="H194" s="2688" t="s">
        <v>1098</v>
      </c>
      <c r="I194" s="2688" t="s">
        <v>2485</v>
      </c>
      <c r="J194" s="2689" t="s">
        <v>1197</v>
      </c>
      <c r="K194" s="2688" t="s">
        <v>2486</v>
      </c>
      <c r="L194" s="2702">
        <v>57.64</v>
      </c>
      <c r="M194" s="2688">
        <v>2</v>
      </c>
      <c r="N194" s="2688" t="s">
        <v>1111</v>
      </c>
      <c r="O194" s="2688">
        <v>39.73</v>
      </c>
      <c r="P194" s="2688" t="s">
        <v>1065</v>
      </c>
      <c r="Q194" s="2712">
        <v>420000</v>
      </c>
      <c r="R194" s="2688">
        <v>7287</v>
      </c>
      <c r="S194" s="2722">
        <v>33.43</v>
      </c>
      <c r="T194" s="2723">
        <v>334300</v>
      </c>
      <c r="U194" s="2688">
        <v>5800</v>
      </c>
      <c r="V194" s="2724">
        <v>0.05</v>
      </c>
      <c r="W194" s="2722">
        <v>31.75</v>
      </c>
      <c r="X194" s="2725">
        <v>317500</v>
      </c>
      <c r="Y194" s="2745">
        <v>2005</v>
      </c>
      <c r="Z194" s="2745">
        <v>7</v>
      </c>
      <c r="AA194" s="2745">
        <v>4</v>
      </c>
      <c r="AB194" s="2688">
        <v>1000</v>
      </c>
      <c r="AC194" s="2688" t="s">
        <v>1605</v>
      </c>
      <c r="AD194" s="2688"/>
      <c r="AE194" s="2688" t="s">
        <v>1067</v>
      </c>
      <c r="AF194" s="2688" t="s">
        <v>1068</v>
      </c>
      <c r="AG194" s="2688" t="s">
        <v>1069</v>
      </c>
      <c r="AH194" s="2688"/>
      <c r="AI194" s="2688" t="s">
        <v>175</v>
      </c>
      <c r="AJ194" s="2753"/>
      <c r="AK194" s="2754" t="s">
        <v>1330</v>
      </c>
      <c r="AL194" s="2745">
        <v>82253558</v>
      </c>
      <c r="AM194" s="2745"/>
      <c r="AN194" s="2745"/>
      <c r="AO194" s="2745"/>
      <c r="AP194" s="2688" t="s">
        <v>1067</v>
      </c>
      <c r="AQ194" s="2688" t="s">
        <v>1674</v>
      </c>
      <c r="AR194" s="2745"/>
      <c r="AS194" s="2745"/>
      <c r="AT194" s="2745"/>
      <c r="AU194" s="2745"/>
      <c r="AV194" s="2745"/>
      <c r="AW194" s="2745"/>
      <c r="AX194" s="2745"/>
      <c r="AY194" s="2769"/>
      <c r="AZ194" s="2745" t="s">
        <v>2486</v>
      </c>
      <c r="BA194" s="2745"/>
      <c r="BB194" s="2769"/>
      <c r="BC194" s="2745"/>
      <c r="BD194" s="2770"/>
      <c r="BE194" s="2745"/>
      <c r="BF194" s="2788"/>
      <c r="BG194" s="2790">
        <v>38531</v>
      </c>
      <c r="BH194" s="2745"/>
      <c r="BI194" s="2745" t="s">
        <v>1067</v>
      </c>
      <c r="BJ194" s="2789">
        <v>38533</v>
      </c>
      <c r="BK194" s="2789"/>
      <c r="BL194" s="2688"/>
      <c r="BM194" s="2745" t="s">
        <v>888</v>
      </c>
      <c r="BN194" s="2745" t="s">
        <v>1148</v>
      </c>
      <c r="BO194" s="2745" t="s">
        <v>1128</v>
      </c>
      <c r="BP194" s="2745"/>
      <c r="BQ194" s="2745">
        <v>8415</v>
      </c>
      <c r="BR194" s="2745">
        <v>10571</v>
      </c>
      <c r="BS194" s="2504"/>
      <c r="BT194" s="2504"/>
      <c r="BU194" s="2504"/>
    </row>
    <row r="195" s="2505" customFormat="1" ht="12" hidden="1" spans="1:73">
      <c r="A195" s="2688" t="s">
        <v>2487</v>
      </c>
      <c r="B195" s="2688" t="s">
        <v>2488</v>
      </c>
      <c r="C195" s="2689" t="s">
        <v>2489</v>
      </c>
      <c r="D195" s="2689" t="s">
        <v>2490</v>
      </c>
      <c r="E195" s="2688" t="s">
        <v>1060</v>
      </c>
      <c r="F195" s="2690" t="s">
        <v>2491</v>
      </c>
      <c r="G195" s="2688"/>
      <c r="H195" s="2688" t="s">
        <v>1180</v>
      </c>
      <c r="I195" s="2688" t="s">
        <v>1099</v>
      </c>
      <c r="J195" s="2689" t="s">
        <v>2322</v>
      </c>
      <c r="K195" s="2688" t="s">
        <v>2488</v>
      </c>
      <c r="L195" s="2702">
        <v>41.1</v>
      </c>
      <c r="M195" s="2688">
        <v>6</v>
      </c>
      <c r="N195" s="2688" t="s">
        <v>2492</v>
      </c>
      <c r="O195" s="2688">
        <v>27.4</v>
      </c>
      <c r="P195" s="2688" t="s">
        <v>1065</v>
      </c>
      <c r="Q195" s="2712">
        <v>300000</v>
      </c>
      <c r="R195" s="2688">
        <v>7299</v>
      </c>
      <c r="S195" s="2722">
        <v>24.9</v>
      </c>
      <c r="T195" s="2723">
        <v>249000</v>
      </c>
      <c r="U195" s="2688">
        <v>6060</v>
      </c>
      <c r="V195" s="2724">
        <v>0.05</v>
      </c>
      <c r="W195" s="2722">
        <v>23.65</v>
      </c>
      <c r="X195" s="2725">
        <v>236500</v>
      </c>
      <c r="Y195" s="2745">
        <v>2005</v>
      </c>
      <c r="Z195" s="2745">
        <v>7</v>
      </c>
      <c r="AA195" s="2745">
        <v>7</v>
      </c>
      <c r="AB195" s="2688">
        <v>745</v>
      </c>
      <c r="AC195" s="2688" t="s">
        <v>1605</v>
      </c>
      <c r="AD195" s="2688"/>
      <c r="AE195" s="2747" t="s">
        <v>179</v>
      </c>
      <c r="AF195" s="2688" t="s">
        <v>1068</v>
      </c>
      <c r="AG195" s="2688" t="s">
        <v>1069</v>
      </c>
      <c r="AH195" s="2688"/>
      <c r="AI195" s="2747" t="s">
        <v>1070</v>
      </c>
      <c r="AJ195" s="2753"/>
      <c r="AK195" s="2754" t="s">
        <v>1330</v>
      </c>
      <c r="AL195" s="2745">
        <v>67641700</v>
      </c>
      <c r="AM195" s="2745"/>
      <c r="AN195" s="2745" t="s">
        <v>1088</v>
      </c>
      <c r="AO195" s="2745"/>
      <c r="AP195" s="2688" t="s">
        <v>1515</v>
      </c>
      <c r="AQ195" s="2688" t="s">
        <v>1074</v>
      </c>
      <c r="AR195" s="2745"/>
      <c r="AS195" s="2745"/>
      <c r="AT195" s="2745"/>
      <c r="AU195" s="2745"/>
      <c r="AV195" s="2745"/>
      <c r="AW195" s="2745"/>
      <c r="AX195" s="2745"/>
      <c r="AY195" s="2769"/>
      <c r="AZ195" s="2745"/>
      <c r="BA195" s="2745"/>
      <c r="BB195" s="2769"/>
      <c r="BC195" s="2745"/>
      <c r="BD195" s="2770"/>
      <c r="BE195" s="2745"/>
      <c r="BF195" s="2788"/>
      <c r="BG195" s="2790">
        <v>38534</v>
      </c>
      <c r="BH195" s="2745"/>
      <c r="BI195" s="2745" t="s">
        <v>1067</v>
      </c>
      <c r="BJ195" s="2789">
        <v>38534</v>
      </c>
      <c r="BK195" s="2789"/>
      <c r="BL195" s="2688"/>
      <c r="BM195" s="2744" t="s">
        <v>888</v>
      </c>
      <c r="BN195" s="2744" t="s">
        <v>1148</v>
      </c>
      <c r="BO195" s="2744" t="s">
        <v>1128</v>
      </c>
      <c r="BP195" s="2745"/>
      <c r="BQ195" s="2745">
        <v>9090</v>
      </c>
      <c r="BR195" s="2745">
        <v>10949</v>
      </c>
      <c r="BS195" s="2504"/>
      <c r="BT195" s="2504"/>
      <c r="BU195" s="2504"/>
    </row>
    <row r="196" s="2504" customFormat="1" ht="12" hidden="1" spans="1:70">
      <c r="A196" s="2688" t="s">
        <v>2493</v>
      </c>
      <c r="B196" s="2688" t="s">
        <v>2494</v>
      </c>
      <c r="C196" s="2689" t="s">
        <v>2495</v>
      </c>
      <c r="D196" s="2688">
        <v>13683134537</v>
      </c>
      <c r="E196" s="2688" t="s">
        <v>1060</v>
      </c>
      <c r="F196" s="2688" t="s">
        <v>2496</v>
      </c>
      <c r="G196" s="2688"/>
      <c r="H196" s="2688" t="s">
        <v>1221</v>
      </c>
      <c r="I196" s="2688"/>
      <c r="J196" s="2688" t="s">
        <v>2497</v>
      </c>
      <c r="K196" s="2688" t="s">
        <v>2498</v>
      </c>
      <c r="L196" s="2702">
        <v>65.4</v>
      </c>
      <c r="M196" s="2688">
        <v>5</v>
      </c>
      <c r="N196" s="2688" t="s">
        <v>1064</v>
      </c>
      <c r="O196" s="2688"/>
      <c r="P196" s="2688" t="s">
        <v>1065</v>
      </c>
      <c r="Q196" s="2841">
        <v>395000</v>
      </c>
      <c r="R196" s="2688">
        <v>6040</v>
      </c>
      <c r="S196" s="2842">
        <v>39.17</v>
      </c>
      <c r="T196" s="2723">
        <v>391700</v>
      </c>
      <c r="U196" s="2841">
        <v>5990</v>
      </c>
      <c r="V196" s="2724">
        <v>0.05</v>
      </c>
      <c r="W196" s="2842">
        <v>37.21</v>
      </c>
      <c r="X196" s="2723">
        <v>372100</v>
      </c>
      <c r="Y196" s="2688">
        <v>2005</v>
      </c>
      <c r="Z196" s="2745">
        <v>7</v>
      </c>
      <c r="AA196" s="2688">
        <v>7</v>
      </c>
      <c r="AB196" s="2688">
        <v>1175</v>
      </c>
      <c r="AC196" s="2688" t="s">
        <v>1605</v>
      </c>
      <c r="AD196" s="2688"/>
      <c r="AE196" s="2688" t="s">
        <v>179</v>
      </c>
      <c r="AF196" s="2688" t="s">
        <v>1068</v>
      </c>
      <c r="AG196" s="2688" t="s">
        <v>1069</v>
      </c>
      <c r="AH196" s="2688" t="s">
        <v>1114</v>
      </c>
      <c r="AI196" s="2688" t="s">
        <v>1070</v>
      </c>
      <c r="AJ196" s="2688"/>
      <c r="AK196" s="2862" t="s">
        <v>1330</v>
      </c>
      <c r="AL196" s="2688">
        <v>67641700</v>
      </c>
      <c r="AM196" s="2688"/>
      <c r="AN196" s="2688" t="s">
        <v>1087</v>
      </c>
      <c r="AO196" s="2688"/>
      <c r="AP196" s="2688" t="s">
        <v>1073</v>
      </c>
      <c r="AQ196" s="2688" t="s">
        <v>1074</v>
      </c>
      <c r="AR196" s="2688"/>
      <c r="AS196" s="2688"/>
      <c r="AT196" s="2688"/>
      <c r="AU196" s="2688"/>
      <c r="AV196" s="2688" t="s">
        <v>1114</v>
      </c>
      <c r="AW196" s="2688" t="s">
        <v>1090</v>
      </c>
      <c r="AX196" s="2688"/>
      <c r="AY196" s="2688"/>
      <c r="AZ196" s="2688" t="s">
        <v>2498</v>
      </c>
      <c r="BA196" s="2688"/>
      <c r="BB196" s="2688"/>
      <c r="BC196" s="2688"/>
      <c r="BD196" s="2688"/>
      <c r="BE196" s="2688"/>
      <c r="BF196" s="2688"/>
      <c r="BG196" s="2753"/>
      <c r="BH196" s="2689"/>
      <c r="BI196" s="2745" t="s">
        <v>2044</v>
      </c>
      <c r="BJ196" s="2753">
        <v>38532</v>
      </c>
      <c r="BK196" s="2753"/>
      <c r="BL196" s="2688" t="s">
        <v>1174</v>
      </c>
      <c r="BM196" s="2688" t="s">
        <v>1127</v>
      </c>
      <c r="BN196" s="2688" t="s">
        <v>1148</v>
      </c>
      <c r="BO196" s="2688" t="s">
        <v>1128</v>
      </c>
      <c r="BP196" s="2688"/>
      <c r="BQ196" s="2745"/>
      <c r="BR196" s="2745"/>
    </row>
    <row r="197" s="2504" customFormat="1" ht="12" hidden="1" spans="1:70">
      <c r="A197" s="2688" t="s">
        <v>2499</v>
      </c>
      <c r="B197" s="2688" t="s">
        <v>2500</v>
      </c>
      <c r="C197" s="2689" t="s">
        <v>2501</v>
      </c>
      <c r="D197" s="2688">
        <v>13391853139</v>
      </c>
      <c r="E197" s="2688" t="s">
        <v>1060</v>
      </c>
      <c r="F197" s="2688" t="s">
        <v>1630</v>
      </c>
      <c r="G197" s="2688"/>
      <c r="H197" s="2688" t="s">
        <v>1328</v>
      </c>
      <c r="I197" s="2688"/>
      <c r="J197" s="2688" t="s">
        <v>2502</v>
      </c>
      <c r="K197" s="2688" t="s">
        <v>2503</v>
      </c>
      <c r="L197" s="2702">
        <v>83.2</v>
      </c>
      <c r="M197" s="2688">
        <v>4</v>
      </c>
      <c r="N197" s="2688" t="s">
        <v>1290</v>
      </c>
      <c r="O197" s="2688"/>
      <c r="P197" s="2688" t="s">
        <v>1065</v>
      </c>
      <c r="Q197" s="2841">
        <v>420000</v>
      </c>
      <c r="R197" s="2688">
        <v>5048</v>
      </c>
      <c r="S197" s="2842">
        <v>41.74</v>
      </c>
      <c r="T197" s="2723">
        <v>417400</v>
      </c>
      <c r="U197" s="2841">
        <v>5018</v>
      </c>
      <c r="V197" s="2724">
        <v>0.05</v>
      </c>
      <c r="W197" s="2842">
        <v>39.65</v>
      </c>
      <c r="X197" s="2723">
        <v>396500</v>
      </c>
      <c r="Y197" s="2688">
        <v>2005</v>
      </c>
      <c r="Z197" s="2745">
        <v>7</v>
      </c>
      <c r="AA197" s="2688">
        <v>7</v>
      </c>
      <c r="AB197" s="2688">
        <v>1250</v>
      </c>
      <c r="AC197" s="2688" t="s">
        <v>1605</v>
      </c>
      <c r="AD197" s="2688"/>
      <c r="AE197" s="2688" t="s">
        <v>179</v>
      </c>
      <c r="AF197" s="2688" t="s">
        <v>1068</v>
      </c>
      <c r="AG197" s="2688" t="s">
        <v>1069</v>
      </c>
      <c r="AH197" s="2688" t="s">
        <v>1114</v>
      </c>
      <c r="AI197" s="2688" t="s">
        <v>1070</v>
      </c>
      <c r="AJ197" s="2688"/>
      <c r="AK197" s="2862" t="s">
        <v>1330</v>
      </c>
      <c r="AL197" s="2688">
        <v>67641700</v>
      </c>
      <c r="AM197" s="2688"/>
      <c r="AN197" s="2688" t="s">
        <v>1087</v>
      </c>
      <c r="AO197" s="2688"/>
      <c r="AP197" s="2688" t="s">
        <v>1073</v>
      </c>
      <c r="AQ197" s="2688" t="s">
        <v>1074</v>
      </c>
      <c r="AR197" s="2688"/>
      <c r="AS197" s="2688"/>
      <c r="AT197" s="2688"/>
      <c r="AU197" s="2688"/>
      <c r="AV197" s="2688" t="s">
        <v>1114</v>
      </c>
      <c r="AW197" s="2688" t="s">
        <v>1090</v>
      </c>
      <c r="AX197" s="2688"/>
      <c r="AY197" s="2688"/>
      <c r="AZ197" s="2688" t="s">
        <v>2503</v>
      </c>
      <c r="BA197" s="2688"/>
      <c r="BB197" s="2688"/>
      <c r="BC197" s="2688"/>
      <c r="BD197" s="2688"/>
      <c r="BE197" s="2688">
        <v>13552344282</v>
      </c>
      <c r="BF197" s="2688"/>
      <c r="BG197" s="2753">
        <v>38537</v>
      </c>
      <c r="BH197" s="2689"/>
      <c r="BI197" s="2745" t="s">
        <v>2044</v>
      </c>
      <c r="BJ197" s="2753">
        <v>38537</v>
      </c>
      <c r="BK197" s="2753"/>
      <c r="BL197" s="2688" t="s">
        <v>1174</v>
      </c>
      <c r="BM197" s="2688" t="s">
        <v>1127</v>
      </c>
      <c r="BN197" s="2688" t="s">
        <v>1148</v>
      </c>
      <c r="BO197" s="2688" t="s">
        <v>1128</v>
      </c>
      <c r="BP197" s="2688"/>
      <c r="BQ197" s="2745"/>
      <c r="BR197" s="2745"/>
    </row>
    <row r="198" s="2505" customFormat="1" ht="12" hidden="1" spans="1:73">
      <c r="A198" s="2688" t="s">
        <v>2504</v>
      </c>
      <c r="B198" s="2688" t="s">
        <v>2505</v>
      </c>
      <c r="C198" s="2689" t="s">
        <v>2506</v>
      </c>
      <c r="D198" s="2689" t="s">
        <v>2507</v>
      </c>
      <c r="E198" s="2688" t="s">
        <v>1060</v>
      </c>
      <c r="F198" s="2688" t="s">
        <v>2508</v>
      </c>
      <c r="G198" s="2688"/>
      <c r="H198" s="2688" t="s">
        <v>1305</v>
      </c>
      <c r="I198" s="2688" t="s">
        <v>2509</v>
      </c>
      <c r="J198" s="2689" t="s">
        <v>2510</v>
      </c>
      <c r="K198" s="2688" t="s">
        <v>2505</v>
      </c>
      <c r="L198" s="2702">
        <v>72.55</v>
      </c>
      <c r="M198" s="2688">
        <v>6</v>
      </c>
      <c r="N198" s="2688" t="s">
        <v>1064</v>
      </c>
      <c r="O198" s="2688"/>
      <c r="P198" s="2688" t="s">
        <v>1065</v>
      </c>
      <c r="Q198" s="2712">
        <v>260000</v>
      </c>
      <c r="R198" s="2688">
        <v>3584</v>
      </c>
      <c r="S198" s="2722">
        <v>37.14</v>
      </c>
      <c r="T198" s="2723">
        <v>371400</v>
      </c>
      <c r="U198" s="2688">
        <v>5120</v>
      </c>
      <c r="V198" s="2724">
        <v>0.05</v>
      </c>
      <c r="W198" s="2722">
        <v>35.28</v>
      </c>
      <c r="X198" s="2725">
        <v>352800</v>
      </c>
      <c r="Y198" s="2745">
        <v>2005</v>
      </c>
      <c r="Z198" s="2745">
        <v>7</v>
      </c>
      <c r="AA198" s="2745">
        <v>13</v>
      </c>
      <c r="AB198" s="2688">
        <v>1110</v>
      </c>
      <c r="AC198" s="2688" t="s">
        <v>1605</v>
      </c>
      <c r="AD198" s="2688"/>
      <c r="AE198" s="2745" t="s">
        <v>179</v>
      </c>
      <c r="AF198" s="2688" t="s">
        <v>1068</v>
      </c>
      <c r="AG198" s="2688" t="s">
        <v>1069</v>
      </c>
      <c r="AH198" s="2688"/>
      <c r="AI198" s="2688" t="s">
        <v>1070</v>
      </c>
      <c r="AJ198" s="2753"/>
      <c r="AK198" s="2754" t="s">
        <v>1330</v>
      </c>
      <c r="AL198" s="2745">
        <v>67641700</v>
      </c>
      <c r="AM198" s="2745"/>
      <c r="AN198" s="2745" t="s">
        <v>1072</v>
      </c>
      <c r="AO198" s="2745"/>
      <c r="AP198" s="2688" t="s">
        <v>1515</v>
      </c>
      <c r="AQ198" s="2688" t="s">
        <v>1074</v>
      </c>
      <c r="AR198" s="2745"/>
      <c r="AS198" s="2745"/>
      <c r="AT198" s="2745"/>
      <c r="AU198" s="2745"/>
      <c r="AV198" s="2745"/>
      <c r="AW198" s="2745" t="s">
        <v>1343</v>
      </c>
      <c r="AX198" s="2745"/>
      <c r="AY198" s="2769"/>
      <c r="AZ198" s="2745" t="s">
        <v>2511</v>
      </c>
      <c r="BA198" s="2745"/>
      <c r="BB198" s="2769"/>
      <c r="BC198" s="2745"/>
      <c r="BD198" s="2770"/>
      <c r="BE198" s="2745"/>
      <c r="BF198" s="2788"/>
      <c r="BG198" s="2790">
        <v>38533</v>
      </c>
      <c r="BH198" s="2745"/>
      <c r="BI198" s="2688" t="s">
        <v>2338</v>
      </c>
      <c r="BJ198" s="2789">
        <v>38538</v>
      </c>
      <c r="BK198" s="2789"/>
      <c r="BL198" s="2688" t="s">
        <v>1092</v>
      </c>
      <c r="BM198" s="2745" t="s">
        <v>2512</v>
      </c>
      <c r="BN198" s="2745" t="s">
        <v>1077</v>
      </c>
      <c r="BO198" s="2745" t="s">
        <v>1128</v>
      </c>
      <c r="BP198" s="2745"/>
      <c r="BQ198" s="2745" t="e">
        <v>#DIV/0!</v>
      </c>
      <c r="BR198" s="2745" t="e">
        <v>#DIV/0!</v>
      </c>
      <c r="BS198" s="2504"/>
      <c r="BT198" s="2504"/>
      <c r="BU198" s="2504"/>
    </row>
    <row r="199" s="2504" customFormat="1" ht="12" hidden="1" spans="1:70">
      <c r="A199" s="2688" t="s">
        <v>2513</v>
      </c>
      <c r="B199" s="2691" t="s">
        <v>2514</v>
      </c>
      <c r="C199" s="2689" t="s">
        <v>2515</v>
      </c>
      <c r="D199" s="2691">
        <v>13911754071</v>
      </c>
      <c r="E199" s="2691" t="s">
        <v>1060</v>
      </c>
      <c r="F199" s="2691" t="s">
        <v>2516</v>
      </c>
      <c r="G199" s="2691"/>
      <c r="H199" s="2691" t="s">
        <v>1084</v>
      </c>
      <c r="I199" s="2691" t="s">
        <v>1222</v>
      </c>
      <c r="J199" s="2691" t="s">
        <v>2517</v>
      </c>
      <c r="K199" s="2691" t="s">
        <v>2518</v>
      </c>
      <c r="L199" s="2702">
        <v>81.72</v>
      </c>
      <c r="M199" s="2697">
        <v>15</v>
      </c>
      <c r="N199" s="2691" t="s">
        <v>1064</v>
      </c>
      <c r="O199" s="2697"/>
      <c r="P199" s="2691" t="s">
        <v>1065</v>
      </c>
      <c r="Q199" s="2712">
        <v>650000</v>
      </c>
      <c r="R199" s="2688">
        <v>7954</v>
      </c>
      <c r="S199" s="2722">
        <v>57.85</v>
      </c>
      <c r="T199" s="2723">
        <v>578500</v>
      </c>
      <c r="U199" s="2688">
        <v>7080</v>
      </c>
      <c r="V199" s="2724">
        <v>0.05</v>
      </c>
      <c r="W199" s="2722">
        <v>54.95</v>
      </c>
      <c r="X199" s="2725">
        <v>549500</v>
      </c>
      <c r="Y199" s="2745">
        <v>2005</v>
      </c>
      <c r="Z199" s="2745">
        <v>7</v>
      </c>
      <c r="AA199" s="2745">
        <v>7</v>
      </c>
      <c r="AB199" s="2688">
        <v>1500</v>
      </c>
      <c r="AC199" s="2688" t="s">
        <v>1605</v>
      </c>
      <c r="AD199" s="2697"/>
      <c r="AE199" s="2691" t="s">
        <v>179</v>
      </c>
      <c r="AF199" s="2691" t="s">
        <v>1068</v>
      </c>
      <c r="AG199" s="2691" t="s">
        <v>1069</v>
      </c>
      <c r="AH199" s="2691"/>
      <c r="AI199" s="2691" t="s">
        <v>1070</v>
      </c>
      <c r="AJ199" s="2760"/>
      <c r="AK199" s="2755">
        <v>7</v>
      </c>
      <c r="AL199" s="2745">
        <v>67641700</v>
      </c>
      <c r="AM199" s="2745"/>
      <c r="AN199" s="2747" t="s">
        <v>1088</v>
      </c>
      <c r="AO199" s="2688"/>
      <c r="AP199" s="2747" t="s">
        <v>1515</v>
      </c>
      <c r="AQ199" s="2745" t="s">
        <v>1074</v>
      </c>
      <c r="AR199" s="2688"/>
      <c r="AS199" s="2688"/>
      <c r="AT199" s="2688"/>
      <c r="AU199" s="2688"/>
      <c r="AV199" s="2765"/>
      <c r="AW199" s="2745" t="s">
        <v>1075</v>
      </c>
      <c r="AX199" s="2745"/>
      <c r="AY199" s="2769"/>
      <c r="AZ199" s="2688" t="s">
        <v>2518</v>
      </c>
      <c r="BA199" s="2774"/>
      <c r="BB199" s="2775"/>
      <c r="BC199" s="2774"/>
      <c r="BD199" s="2776"/>
      <c r="BE199" s="2745"/>
      <c r="BF199" s="2788"/>
      <c r="BG199" s="2798">
        <v>38535</v>
      </c>
      <c r="BH199" s="2688" t="s">
        <v>1174</v>
      </c>
      <c r="BI199" s="2745" t="s">
        <v>1515</v>
      </c>
      <c r="BJ199" s="2789">
        <v>38538</v>
      </c>
      <c r="BK199" s="2790"/>
      <c r="BL199" s="2688" t="s">
        <v>1092</v>
      </c>
      <c r="BM199" s="2688" t="s">
        <v>888</v>
      </c>
      <c r="BN199" s="2688" t="s">
        <v>1148</v>
      </c>
      <c r="BO199" s="2688" t="s">
        <v>2519</v>
      </c>
      <c r="BP199" s="2745"/>
      <c r="BQ199" s="2745" t="e">
        <v>#DIV/0!</v>
      </c>
      <c r="BR199" s="2745" t="e">
        <v>#DIV/0!</v>
      </c>
    </row>
    <row r="200" s="2505" customFormat="1" ht="12" hidden="1" spans="1:73">
      <c r="A200" s="2688" t="s">
        <v>2520</v>
      </c>
      <c r="B200" s="2688" t="s">
        <v>2521</v>
      </c>
      <c r="C200" s="2689" t="s">
        <v>2522</v>
      </c>
      <c r="D200" s="2689" t="s">
        <v>2523</v>
      </c>
      <c r="E200" s="2688" t="s">
        <v>1060</v>
      </c>
      <c r="F200" s="2690" t="s">
        <v>1281</v>
      </c>
      <c r="G200" s="2688"/>
      <c r="H200" s="2688" t="s">
        <v>1084</v>
      </c>
      <c r="I200" s="2688" t="s">
        <v>1134</v>
      </c>
      <c r="J200" s="2689" t="s">
        <v>2524</v>
      </c>
      <c r="K200" s="2688" t="s">
        <v>2521</v>
      </c>
      <c r="L200" s="2702">
        <v>37.86</v>
      </c>
      <c r="M200" s="2688">
        <v>1</v>
      </c>
      <c r="N200" s="2688" t="s">
        <v>1259</v>
      </c>
      <c r="O200" s="2688"/>
      <c r="P200" s="2688" t="s">
        <v>1065</v>
      </c>
      <c r="Q200" s="2712">
        <v>270000</v>
      </c>
      <c r="R200" s="2688">
        <v>7132</v>
      </c>
      <c r="S200" s="2722">
        <v>21.58</v>
      </c>
      <c r="T200" s="2723">
        <v>215800</v>
      </c>
      <c r="U200" s="2688">
        <v>5700</v>
      </c>
      <c r="V200" s="2724">
        <v>0.05</v>
      </c>
      <c r="W200" s="2722">
        <v>20.5</v>
      </c>
      <c r="X200" s="2725">
        <v>205000</v>
      </c>
      <c r="Y200" s="2745">
        <v>2005</v>
      </c>
      <c r="Z200" s="2745">
        <v>7</v>
      </c>
      <c r="AA200" s="2745">
        <v>28</v>
      </c>
      <c r="AB200" s="2688">
        <v>645</v>
      </c>
      <c r="AC200" s="2688" t="s">
        <v>1605</v>
      </c>
      <c r="AD200" s="2688"/>
      <c r="AE200" s="2691" t="s">
        <v>179</v>
      </c>
      <c r="AF200" s="2688" t="s">
        <v>1068</v>
      </c>
      <c r="AG200" s="2688" t="s">
        <v>1069</v>
      </c>
      <c r="AH200" s="2688"/>
      <c r="AI200" s="2691" t="s">
        <v>1070</v>
      </c>
      <c r="AJ200" s="2753"/>
      <c r="AK200" s="2754" t="s">
        <v>1330</v>
      </c>
      <c r="AL200" s="2745">
        <v>67641700</v>
      </c>
      <c r="AM200" s="2745"/>
      <c r="AN200" s="2745" t="s">
        <v>1071</v>
      </c>
      <c r="AO200" s="2745"/>
      <c r="AP200" s="2747" t="s">
        <v>1515</v>
      </c>
      <c r="AQ200" s="2688" t="s">
        <v>1089</v>
      </c>
      <c r="AR200" s="2745"/>
      <c r="AS200" s="2745"/>
      <c r="AT200" s="2745"/>
      <c r="AU200" s="2745"/>
      <c r="AV200" s="2745"/>
      <c r="AW200" s="2745" t="s">
        <v>1343</v>
      </c>
      <c r="AX200" s="2745"/>
      <c r="AY200" s="2769"/>
      <c r="AZ200" s="2745" t="s">
        <v>2525</v>
      </c>
      <c r="BA200" s="2745"/>
      <c r="BB200" s="2769"/>
      <c r="BC200" s="2745"/>
      <c r="BD200" s="2770"/>
      <c r="BE200" s="2745"/>
      <c r="BF200" s="2788"/>
      <c r="BG200" s="2790">
        <v>38539</v>
      </c>
      <c r="BH200" s="2745"/>
      <c r="BI200" s="2688" t="s">
        <v>2140</v>
      </c>
      <c r="BJ200" s="2789">
        <v>38539</v>
      </c>
      <c r="BK200" s="2789"/>
      <c r="BL200" s="2688"/>
      <c r="BM200" s="2745" t="s">
        <v>888</v>
      </c>
      <c r="BN200" s="2745" t="s">
        <v>1077</v>
      </c>
      <c r="BO200" s="2745" t="s">
        <v>1128</v>
      </c>
      <c r="BP200" s="2745"/>
      <c r="BQ200" s="2745" t="e">
        <v>#DIV/0!</v>
      </c>
      <c r="BR200" s="2745" t="e">
        <v>#DIV/0!</v>
      </c>
      <c r="BS200" s="2504"/>
      <c r="BT200" s="2504"/>
      <c r="BU200" s="2504"/>
    </row>
    <row r="201" s="2507" customFormat="1" ht="12" hidden="1" spans="1:73">
      <c r="A201" s="2693" t="s">
        <v>2526</v>
      </c>
      <c r="B201" s="2693" t="s">
        <v>2527</v>
      </c>
      <c r="C201" s="2694" t="s">
        <v>2528</v>
      </c>
      <c r="D201" s="2694" t="s">
        <v>2529</v>
      </c>
      <c r="E201" s="2693" t="s">
        <v>1060</v>
      </c>
      <c r="F201" s="2695" t="s">
        <v>2530</v>
      </c>
      <c r="G201" s="2693"/>
      <c r="H201" s="2693" t="s">
        <v>1688</v>
      </c>
      <c r="I201" s="2693" t="s">
        <v>1099</v>
      </c>
      <c r="J201" s="2694" t="s">
        <v>1719</v>
      </c>
      <c r="K201" s="2693"/>
      <c r="L201" s="2707">
        <v>49.67</v>
      </c>
      <c r="M201" s="2693">
        <v>6</v>
      </c>
      <c r="N201" s="2698" t="s">
        <v>1064</v>
      </c>
      <c r="O201" s="2693">
        <v>34.34</v>
      </c>
      <c r="P201" s="2698" t="s">
        <v>1065</v>
      </c>
      <c r="Q201" s="2728">
        <v>310000</v>
      </c>
      <c r="R201" s="2693">
        <v>6241</v>
      </c>
      <c r="S201" s="2730">
        <v>27.83</v>
      </c>
      <c r="T201" s="2731">
        <v>278300</v>
      </c>
      <c r="U201" s="2693">
        <v>5604</v>
      </c>
      <c r="V201" s="2732">
        <v>0.05</v>
      </c>
      <c r="W201" s="2730">
        <v>26.43</v>
      </c>
      <c r="X201" s="2733">
        <v>264300</v>
      </c>
      <c r="Y201" s="2706">
        <v>2005</v>
      </c>
      <c r="Z201" s="2706">
        <v>8</v>
      </c>
      <c r="AA201" s="2706">
        <v>5</v>
      </c>
      <c r="AB201" s="2693">
        <v>830</v>
      </c>
      <c r="AC201" s="2698" t="s">
        <v>1605</v>
      </c>
      <c r="AD201" s="2693"/>
      <c r="AE201" s="2710" t="s">
        <v>179</v>
      </c>
      <c r="AF201" s="2698" t="s">
        <v>1068</v>
      </c>
      <c r="AG201" s="2698" t="s">
        <v>1069</v>
      </c>
      <c r="AH201" s="2693"/>
      <c r="AI201" s="2710" t="s">
        <v>1070</v>
      </c>
      <c r="AJ201" s="2758"/>
      <c r="AK201" s="2817" t="s">
        <v>1113</v>
      </c>
      <c r="AL201" s="2706">
        <v>67641700</v>
      </c>
      <c r="AM201" s="2706"/>
      <c r="AN201" s="2706" t="s">
        <v>1087</v>
      </c>
      <c r="AO201" s="2706"/>
      <c r="AP201" s="2757" t="s">
        <v>1515</v>
      </c>
      <c r="AQ201" s="2698" t="s">
        <v>1089</v>
      </c>
      <c r="AR201" s="2706"/>
      <c r="AS201" s="2706"/>
      <c r="AT201" s="2706"/>
      <c r="AU201" s="2706"/>
      <c r="AV201" s="2706"/>
      <c r="AW201" s="2750" t="s">
        <v>1343</v>
      </c>
      <c r="AX201" s="2706"/>
      <c r="AY201" s="2772"/>
      <c r="AZ201" s="2706" t="s">
        <v>2531</v>
      </c>
      <c r="BA201" s="2706"/>
      <c r="BB201" s="2772"/>
      <c r="BC201" s="2706"/>
      <c r="BD201" s="2773"/>
      <c r="BE201" s="2706"/>
      <c r="BF201" s="2795"/>
      <c r="BG201" s="2796">
        <v>38538</v>
      </c>
      <c r="BH201" s="2706"/>
      <c r="BI201" s="2693" t="s">
        <v>2140</v>
      </c>
      <c r="BJ201" s="2797">
        <v>38540</v>
      </c>
      <c r="BK201" s="2797"/>
      <c r="BL201" s="2698" t="s">
        <v>1174</v>
      </c>
      <c r="BM201" s="2750" t="s">
        <v>888</v>
      </c>
      <c r="BN201" s="2750" t="s">
        <v>1148</v>
      </c>
      <c r="BO201" s="2750" t="s">
        <v>1128</v>
      </c>
      <c r="BP201" s="2706"/>
      <c r="BQ201" s="2706">
        <v>8106</v>
      </c>
      <c r="BR201" s="2706">
        <v>9027</v>
      </c>
      <c r="BS201" s="2510"/>
      <c r="BT201" s="2510"/>
      <c r="BU201" s="2510"/>
    </row>
    <row r="202" s="2504" customFormat="1" ht="12" hidden="1" spans="1:70">
      <c r="A202" s="2688" t="s">
        <v>2532</v>
      </c>
      <c r="B202" s="2688" t="s">
        <v>2533</v>
      </c>
      <c r="C202" s="2689" t="s">
        <v>2534</v>
      </c>
      <c r="D202" s="2689" t="s">
        <v>2535</v>
      </c>
      <c r="E202" s="2685" t="s">
        <v>1060</v>
      </c>
      <c r="F202" s="2809" t="s">
        <v>2313</v>
      </c>
      <c r="G202" s="2688"/>
      <c r="H202" s="2688" t="s">
        <v>2462</v>
      </c>
      <c r="I202" s="2691" t="s">
        <v>1143</v>
      </c>
      <c r="J202" s="2686" t="s">
        <v>2536</v>
      </c>
      <c r="K202" s="2688"/>
      <c r="L202" s="2702">
        <v>54.5</v>
      </c>
      <c r="M202" s="2688">
        <v>4</v>
      </c>
      <c r="N202" s="2688" t="s">
        <v>1259</v>
      </c>
      <c r="O202" s="2688"/>
      <c r="P202" s="2688" t="s">
        <v>1065</v>
      </c>
      <c r="Q202" s="2712">
        <v>428000</v>
      </c>
      <c r="R202" s="2688">
        <v>7853</v>
      </c>
      <c r="S202" s="2722">
        <v>35.84</v>
      </c>
      <c r="T202" s="2723">
        <v>358400</v>
      </c>
      <c r="U202" s="2688">
        <v>6577</v>
      </c>
      <c r="V202" s="2724">
        <v>0.2</v>
      </c>
      <c r="W202" s="2722">
        <v>28.67</v>
      </c>
      <c r="X202" s="2725">
        <v>286700</v>
      </c>
      <c r="Y202" s="2745">
        <v>2005</v>
      </c>
      <c r="Z202" s="2744">
        <v>7</v>
      </c>
      <c r="AA202" s="2744">
        <v>13</v>
      </c>
      <c r="AB202" s="2688">
        <v>1075</v>
      </c>
      <c r="AC202" s="2685" t="s">
        <v>1707</v>
      </c>
      <c r="AD202" s="2688"/>
      <c r="AE202" s="2691" t="s">
        <v>179</v>
      </c>
      <c r="AF202" s="2688" t="s">
        <v>1068</v>
      </c>
      <c r="AG202" s="2747" t="s">
        <v>1069</v>
      </c>
      <c r="AH202" s="2688"/>
      <c r="AI202" s="2691" t="s">
        <v>1070</v>
      </c>
      <c r="AJ202" s="2753"/>
      <c r="AK202" s="2756" t="s">
        <v>1330</v>
      </c>
      <c r="AL202" s="2745">
        <v>67641700</v>
      </c>
      <c r="AM202" s="2745"/>
      <c r="AN202" s="2744" t="s">
        <v>1072</v>
      </c>
      <c r="AO202" s="2688"/>
      <c r="AP202" s="2747" t="s">
        <v>1515</v>
      </c>
      <c r="AQ202" s="2745" t="s">
        <v>1074</v>
      </c>
      <c r="AR202" s="2745"/>
      <c r="AS202" s="2745"/>
      <c r="AT202" s="2745"/>
      <c r="AU202" s="2745"/>
      <c r="AV202" s="2745"/>
      <c r="AW202" s="2744" t="s">
        <v>1343</v>
      </c>
      <c r="AX202" s="2688"/>
      <c r="AY202" s="2824"/>
      <c r="AZ202" s="2688" t="s">
        <v>2537</v>
      </c>
      <c r="BA202" s="2745"/>
      <c r="BB202" s="2769"/>
      <c r="BC202" s="2745"/>
      <c r="BD202" s="2770"/>
      <c r="BE202" s="2745"/>
      <c r="BF202" s="2788"/>
      <c r="BG202" s="2790">
        <v>38539</v>
      </c>
      <c r="BH202" s="2688"/>
      <c r="BI202" s="2748" t="s">
        <v>1342</v>
      </c>
      <c r="BJ202" s="2787"/>
      <c r="BK202" s="2688"/>
      <c r="BL202" s="2685" t="s">
        <v>1174</v>
      </c>
      <c r="BM202" s="2745" t="s">
        <v>888</v>
      </c>
      <c r="BN202" s="2745" t="s">
        <v>1077</v>
      </c>
      <c r="BO202" s="2745" t="s">
        <v>1128</v>
      </c>
      <c r="BP202" s="2745"/>
      <c r="BQ202" s="2745" t="e">
        <v>#DIV/0!</v>
      </c>
      <c r="BR202" s="2745" t="e">
        <v>#DIV/0!</v>
      </c>
    </row>
    <row r="203" s="2505" customFormat="1" ht="12" hidden="1" spans="1:73">
      <c r="A203" s="2688" t="s">
        <v>2538</v>
      </c>
      <c r="B203" s="2688" t="s">
        <v>2539</v>
      </c>
      <c r="C203" s="2689" t="s">
        <v>2540</v>
      </c>
      <c r="D203" s="2689" t="s">
        <v>2541</v>
      </c>
      <c r="E203" s="2688" t="s">
        <v>1060</v>
      </c>
      <c r="F203" s="2690" t="s">
        <v>1475</v>
      </c>
      <c r="G203" s="2688"/>
      <c r="H203" s="2688" t="s">
        <v>1239</v>
      </c>
      <c r="I203" s="2688" t="s">
        <v>1196</v>
      </c>
      <c r="J203" s="2689" t="s">
        <v>2542</v>
      </c>
      <c r="K203" s="2688" t="s">
        <v>2539</v>
      </c>
      <c r="L203" s="2702">
        <v>76.05</v>
      </c>
      <c r="M203" s="2688">
        <v>4</v>
      </c>
      <c r="N203" s="2685" t="s">
        <v>1064</v>
      </c>
      <c r="O203" s="2688"/>
      <c r="P203" s="2685" t="s">
        <v>1065</v>
      </c>
      <c r="Q203" s="2712">
        <v>450000</v>
      </c>
      <c r="R203" s="2688">
        <v>5917</v>
      </c>
      <c r="S203" s="2722">
        <v>47.24</v>
      </c>
      <c r="T203" s="2723">
        <v>472400</v>
      </c>
      <c r="U203" s="2688">
        <v>6212</v>
      </c>
      <c r="V203" s="2724">
        <v>0.05</v>
      </c>
      <c r="W203" s="2722">
        <v>44.87</v>
      </c>
      <c r="X203" s="2725">
        <v>448700</v>
      </c>
      <c r="Y203" s="2745">
        <v>2005</v>
      </c>
      <c r="Z203" s="2745">
        <v>7</v>
      </c>
      <c r="AA203" s="2745">
        <v>14</v>
      </c>
      <c r="AB203" s="2688">
        <v>1415</v>
      </c>
      <c r="AC203" s="2685" t="s">
        <v>1605</v>
      </c>
      <c r="AD203" s="2688"/>
      <c r="AE203" s="2691" t="s">
        <v>179</v>
      </c>
      <c r="AF203" s="2685" t="s">
        <v>1068</v>
      </c>
      <c r="AG203" s="2685" t="s">
        <v>1069</v>
      </c>
      <c r="AH203" s="2688"/>
      <c r="AI203" s="2691" t="s">
        <v>1070</v>
      </c>
      <c r="AJ203" s="2753"/>
      <c r="AK203" s="2756" t="s">
        <v>1330</v>
      </c>
      <c r="AL203" s="2745">
        <v>67641700</v>
      </c>
      <c r="AM203" s="2745"/>
      <c r="AN203" s="2745" t="s">
        <v>1072</v>
      </c>
      <c r="AO203" s="2745"/>
      <c r="AP203" s="2747" t="s">
        <v>1515</v>
      </c>
      <c r="AQ203" s="2685" t="s">
        <v>1074</v>
      </c>
      <c r="AR203" s="2745"/>
      <c r="AS203" s="2745"/>
      <c r="AT203" s="2745"/>
      <c r="AU203" s="2745"/>
      <c r="AV203" s="2745"/>
      <c r="AW203" s="2745" t="s">
        <v>1075</v>
      </c>
      <c r="AX203" s="2745"/>
      <c r="AY203" s="2769" t="s">
        <v>2543</v>
      </c>
      <c r="AZ203" s="2745" t="s">
        <v>2544</v>
      </c>
      <c r="BA203" s="2745"/>
      <c r="BB203" s="2769"/>
      <c r="BC203" s="2745"/>
      <c r="BD203" s="2770"/>
      <c r="BE203" s="2745"/>
      <c r="BF203" s="2788"/>
      <c r="BG203" s="2790">
        <v>38541</v>
      </c>
      <c r="BH203" s="2745"/>
      <c r="BI203" s="2745" t="s">
        <v>1639</v>
      </c>
      <c r="BJ203" s="2789">
        <v>38544</v>
      </c>
      <c r="BK203" s="2789"/>
      <c r="BL203" s="2688" t="s">
        <v>1174</v>
      </c>
      <c r="BM203" s="2744" t="s">
        <v>888</v>
      </c>
      <c r="BN203" s="2744" t="s">
        <v>1077</v>
      </c>
      <c r="BO203" s="2744" t="s">
        <v>1128</v>
      </c>
      <c r="BP203" s="2745"/>
      <c r="BQ203" s="2745" t="e">
        <v>#DIV/0!</v>
      </c>
      <c r="BR203" s="2745" t="e">
        <v>#DIV/0!</v>
      </c>
      <c r="BS203" s="2504"/>
      <c r="BT203" s="2504"/>
      <c r="BU203" s="2504"/>
    </row>
    <row r="204" s="2505" customFormat="1" ht="12" hidden="1" spans="1:73">
      <c r="A204" s="2504" t="s">
        <v>2545</v>
      </c>
      <c r="B204" s="2504" t="s">
        <v>2546</v>
      </c>
      <c r="C204" s="2832" t="s">
        <v>2547</v>
      </c>
      <c r="D204" s="2832" t="s">
        <v>2548</v>
      </c>
      <c r="E204" s="2504" t="s">
        <v>1060</v>
      </c>
      <c r="F204" s="2833" t="s">
        <v>1560</v>
      </c>
      <c r="G204" s="2504"/>
      <c r="H204" s="2504" t="s">
        <v>1062</v>
      </c>
      <c r="I204" s="2504" t="s">
        <v>2549</v>
      </c>
      <c r="J204" s="2832" t="s">
        <v>1463</v>
      </c>
      <c r="K204" s="2504"/>
      <c r="L204" s="2838">
        <v>93</v>
      </c>
      <c r="M204" s="2832" t="s">
        <v>740</v>
      </c>
      <c r="N204" s="2508" t="s">
        <v>1290</v>
      </c>
      <c r="O204" s="2504"/>
      <c r="P204" s="2504" t="s">
        <v>1065</v>
      </c>
      <c r="Q204" s="2843">
        <v>675000</v>
      </c>
      <c r="R204" s="2504">
        <v>7258</v>
      </c>
      <c r="S204" s="2844">
        <v>57.66</v>
      </c>
      <c r="T204" s="2845">
        <v>576600</v>
      </c>
      <c r="U204" s="2504">
        <v>6200</v>
      </c>
      <c r="V204" s="2846">
        <v>0.05</v>
      </c>
      <c r="W204" s="2844">
        <v>54.77</v>
      </c>
      <c r="X204" s="2847">
        <v>547700</v>
      </c>
      <c r="Y204" s="2504">
        <v>2005</v>
      </c>
      <c r="Z204" s="2504">
        <v>7</v>
      </c>
      <c r="AA204" s="2504">
        <v>19</v>
      </c>
      <c r="AB204" s="2504">
        <v>1500</v>
      </c>
      <c r="AC204" s="2504" t="s">
        <v>1605</v>
      </c>
      <c r="AD204" s="2504"/>
      <c r="AE204" s="2860" t="s">
        <v>179</v>
      </c>
      <c r="AF204" s="2504" t="s">
        <v>1068</v>
      </c>
      <c r="AG204" s="2860" t="s">
        <v>1069</v>
      </c>
      <c r="AH204" s="2504"/>
      <c r="AI204" s="2860" t="s">
        <v>1070</v>
      </c>
      <c r="AJ204" s="2863"/>
      <c r="AK204" s="2864" t="s">
        <v>1330</v>
      </c>
      <c r="AL204" s="2504">
        <v>67641700</v>
      </c>
      <c r="AM204" s="2504"/>
      <c r="AN204" s="2861" t="s">
        <v>1182</v>
      </c>
      <c r="AP204" s="2504" t="s">
        <v>1515</v>
      </c>
      <c r="AQ204" s="2504" t="s">
        <v>1674</v>
      </c>
      <c r="AV204" s="2873"/>
      <c r="AW204" s="2504" t="s">
        <v>1075</v>
      </c>
      <c r="AZ204" s="2505" t="s">
        <v>2550</v>
      </c>
      <c r="BG204" s="2881"/>
      <c r="BI204" s="2861" t="s">
        <v>1067</v>
      </c>
      <c r="BJ204" s="2831">
        <v>38547</v>
      </c>
      <c r="BK204" s="2831"/>
      <c r="BL204" s="2504" t="s">
        <v>1092</v>
      </c>
      <c r="BM204" s="2505" t="s">
        <v>888</v>
      </c>
      <c r="BN204" s="2505" t="s">
        <v>1077</v>
      </c>
      <c r="BO204" s="2505" t="s">
        <v>1128</v>
      </c>
      <c r="BQ204" s="2505" t="e">
        <v>#DIV/0!</v>
      </c>
      <c r="BR204" s="2505" t="e">
        <v>#DIV/0!</v>
      </c>
      <c r="BS204" s="2504"/>
      <c r="BT204" s="2504"/>
      <c r="BU204" s="2504"/>
    </row>
    <row r="205" s="2504" customFormat="1" ht="12" hidden="1" spans="1:70">
      <c r="A205" s="2504" t="s">
        <v>2551</v>
      </c>
      <c r="B205" s="2504" t="s">
        <v>2552</v>
      </c>
      <c r="C205" s="2832" t="s">
        <v>2553</v>
      </c>
      <c r="D205" s="2504" t="s">
        <v>2554</v>
      </c>
      <c r="E205" s="2504" t="s">
        <v>1060</v>
      </c>
      <c r="F205" s="2504" t="s">
        <v>2555</v>
      </c>
      <c r="H205" s="2504" t="s">
        <v>1296</v>
      </c>
      <c r="I205" s="2504" t="s">
        <v>1392</v>
      </c>
      <c r="J205" s="2504" t="s">
        <v>2556</v>
      </c>
      <c r="K205" s="2504" t="s">
        <v>2552</v>
      </c>
      <c r="L205" s="2838">
        <v>50.5</v>
      </c>
      <c r="M205" s="2504">
        <v>3</v>
      </c>
      <c r="N205" s="2504" t="s">
        <v>1064</v>
      </c>
      <c r="P205" s="2504" t="s">
        <v>1065</v>
      </c>
      <c r="Q205" s="2504">
        <v>320000</v>
      </c>
      <c r="R205" s="2504">
        <v>6337</v>
      </c>
      <c r="S205" s="2844">
        <v>28.55</v>
      </c>
      <c r="T205" s="2845">
        <v>285500</v>
      </c>
      <c r="U205" s="2504">
        <v>5655</v>
      </c>
      <c r="V205" s="2848">
        <v>0.05</v>
      </c>
      <c r="W205" s="2844">
        <v>27.12</v>
      </c>
      <c r="X205" s="2847">
        <v>271200</v>
      </c>
      <c r="Y205" s="2504">
        <v>2005</v>
      </c>
      <c r="Z205" s="2504">
        <v>7</v>
      </c>
      <c r="AA205" s="2505">
        <v>20</v>
      </c>
      <c r="AB205" s="2504">
        <v>855</v>
      </c>
      <c r="AC205" s="2504" t="s">
        <v>1605</v>
      </c>
      <c r="AE205" s="2505" t="s">
        <v>179</v>
      </c>
      <c r="AF205" s="2504" t="s">
        <v>1068</v>
      </c>
      <c r="AG205" s="2504" t="s">
        <v>1069</v>
      </c>
      <c r="AH205" s="2504" t="s">
        <v>1114</v>
      </c>
      <c r="AI205" s="2504" t="s">
        <v>1070</v>
      </c>
      <c r="AJ205" s="2865"/>
      <c r="AK205" s="2504" t="s">
        <v>1330</v>
      </c>
      <c r="AL205" s="2505">
        <v>67641700</v>
      </c>
      <c r="AN205" s="2504" t="s">
        <v>1182</v>
      </c>
      <c r="AP205" s="2505" t="s">
        <v>1515</v>
      </c>
      <c r="AQ205" s="2504" t="s">
        <v>1074</v>
      </c>
      <c r="AV205" s="2504" t="s">
        <v>1114</v>
      </c>
      <c r="AW205" s="2504" t="s">
        <v>1090</v>
      </c>
      <c r="AZ205" s="2504" t="s">
        <v>2557</v>
      </c>
      <c r="BE205" s="2504">
        <v>13601268261</v>
      </c>
      <c r="BG205" s="2882">
        <v>38547</v>
      </c>
      <c r="BH205" s="2504" t="s">
        <v>1174</v>
      </c>
      <c r="BI205" s="2504" t="s">
        <v>1515</v>
      </c>
      <c r="BJ205" s="2831">
        <v>38548</v>
      </c>
      <c r="BK205" s="2831"/>
      <c r="BL205" s="2504" t="s">
        <v>1092</v>
      </c>
      <c r="BM205" s="2504" t="s">
        <v>1127</v>
      </c>
      <c r="BN205" s="2504" t="s">
        <v>1077</v>
      </c>
      <c r="BO205" s="2504" t="s">
        <v>1709</v>
      </c>
      <c r="BQ205" s="2505" t="e">
        <v>#DIV/0!</v>
      </c>
      <c r="BR205" s="2505" t="e">
        <v>#DIV/0!</v>
      </c>
    </row>
    <row r="206" s="2504" customFormat="1" ht="12" hidden="1" spans="1:70">
      <c r="A206" s="2504" t="s">
        <v>2558</v>
      </c>
      <c r="B206" s="2504" t="s">
        <v>2559</v>
      </c>
      <c r="C206" s="2832" t="s">
        <v>2560</v>
      </c>
      <c r="D206" s="2504">
        <v>13661326979</v>
      </c>
      <c r="E206" s="2504" t="s">
        <v>1060</v>
      </c>
      <c r="F206" s="2504" t="s">
        <v>1780</v>
      </c>
      <c r="H206" s="2504" t="s">
        <v>2561</v>
      </c>
      <c r="I206" s="2504" t="s">
        <v>1114</v>
      </c>
      <c r="J206" s="2504" t="s">
        <v>2562</v>
      </c>
      <c r="K206" s="2504" t="s">
        <v>2559</v>
      </c>
      <c r="L206" s="2838">
        <v>45.4</v>
      </c>
      <c r="M206" s="2504">
        <v>15</v>
      </c>
      <c r="N206" s="2504" t="s">
        <v>1259</v>
      </c>
      <c r="P206" s="2504" t="s">
        <v>1065</v>
      </c>
      <c r="Q206" s="2504">
        <v>290000</v>
      </c>
      <c r="R206" s="2504">
        <v>6388</v>
      </c>
      <c r="S206" s="2844">
        <v>26.7</v>
      </c>
      <c r="T206" s="2845">
        <v>267000</v>
      </c>
      <c r="U206" s="2504">
        <v>5883</v>
      </c>
      <c r="V206" s="2848">
        <v>0.05</v>
      </c>
      <c r="W206" s="2844">
        <v>25.36</v>
      </c>
      <c r="X206" s="2847">
        <v>253600</v>
      </c>
      <c r="Y206" s="2504">
        <v>2005</v>
      </c>
      <c r="Z206" s="2504">
        <v>7</v>
      </c>
      <c r="AA206" s="2505">
        <v>20</v>
      </c>
      <c r="AB206" s="2504">
        <v>800</v>
      </c>
      <c r="AC206" s="2504" t="s">
        <v>1605</v>
      </c>
      <c r="AE206" s="2505" t="s">
        <v>179</v>
      </c>
      <c r="AF206" s="2504" t="s">
        <v>1068</v>
      </c>
      <c r="AG206" s="2504" t="s">
        <v>1069</v>
      </c>
      <c r="AH206" s="2504" t="s">
        <v>1114</v>
      </c>
      <c r="AI206" s="2504" t="s">
        <v>1070</v>
      </c>
      <c r="AJ206" s="2865"/>
      <c r="AK206" s="2504" t="s">
        <v>1330</v>
      </c>
      <c r="AL206" s="2505">
        <v>67641700</v>
      </c>
      <c r="AN206" s="2504" t="s">
        <v>1182</v>
      </c>
      <c r="AP206" s="2505" t="s">
        <v>1515</v>
      </c>
      <c r="AQ206" s="2504" t="s">
        <v>1074</v>
      </c>
      <c r="AV206" s="2504" t="s">
        <v>1114</v>
      </c>
      <c r="AW206" s="2504" t="s">
        <v>1090</v>
      </c>
      <c r="AZ206" s="2504" t="s">
        <v>2563</v>
      </c>
      <c r="BE206" s="2504">
        <v>13011840802</v>
      </c>
      <c r="BG206" s="2883">
        <v>38504</v>
      </c>
      <c r="BH206" s="2504" t="s">
        <v>1174</v>
      </c>
      <c r="BI206" s="2504" t="s">
        <v>1515</v>
      </c>
      <c r="BJ206" s="2831">
        <v>38540</v>
      </c>
      <c r="BK206" s="2831"/>
      <c r="BL206" s="2504" t="s">
        <v>1092</v>
      </c>
      <c r="BM206" s="2504" t="s">
        <v>1127</v>
      </c>
      <c r="BN206" s="2504" t="s">
        <v>1148</v>
      </c>
      <c r="BO206" s="2504" t="s">
        <v>1709</v>
      </c>
      <c r="BQ206" s="2505" t="e">
        <v>#DIV/0!</v>
      </c>
      <c r="BR206" s="2505" t="e">
        <v>#DIV/0!</v>
      </c>
    </row>
    <row r="207" s="2505" customFormat="1" ht="12" hidden="1" spans="1:73">
      <c r="A207" s="2504" t="s">
        <v>2564</v>
      </c>
      <c r="B207" s="2504" t="s">
        <v>2565</v>
      </c>
      <c r="C207" s="2832" t="s">
        <v>2566</v>
      </c>
      <c r="D207" s="2832" t="s">
        <v>2567</v>
      </c>
      <c r="E207" s="2504" t="s">
        <v>1060</v>
      </c>
      <c r="F207" s="2834" t="s">
        <v>2568</v>
      </c>
      <c r="G207" s="2504"/>
      <c r="H207" s="2504"/>
      <c r="I207" s="2504" t="s">
        <v>1099</v>
      </c>
      <c r="J207" s="2832" t="s">
        <v>1275</v>
      </c>
      <c r="K207" s="2504" t="s">
        <v>2565</v>
      </c>
      <c r="L207" s="2838">
        <v>74.9</v>
      </c>
      <c r="M207" s="2504">
        <v>1</v>
      </c>
      <c r="N207" s="2508" t="s">
        <v>1123</v>
      </c>
      <c r="O207" s="2504"/>
      <c r="P207" s="2504" t="s">
        <v>1065</v>
      </c>
      <c r="Q207" s="2849">
        <v>570000</v>
      </c>
      <c r="R207" s="2504">
        <v>7610</v>
      </c>
      <c r="S207" s="2844">
        <v>43.06</v>
      </c>
      <c r="T207" s="2845">
        <v>430600</v>
      </c>
      <c r="U207" s="2504">
        <v>5750</v>
      </c>
      <c r="V207" s="2846">
        <v>0.05</v>
      </c>
      <c r="W207" s="2844">
        <v>40.9</v>
      </c>
      <c r="X207" s="2847">
        <v>409000</v>
      </c>
      <c r="Y207" s="2505">
        <v>2005</v>
      </c>
      <c r="Z207" s="2505">
        <v>7</v>
      </c>
      <c r="AA207" s="2505">
        <v>19</v>
      </c>
      <c r="AB207" s="2504">
        <v>1290</v>
      </c>
      <c r="AC207" s="2504" t="s">
        <v>1605</v>
      </c>
      <c r="AD207" s="2504"/>
      <c r="AE207" s="2860" t="s">
        <v>179</v>
      </c>
      <c r="AF207" s="2504" t="s">
        <v>1068</v>
      </c>
      <c r="AG207" s="2860" t="s">
        <v>1069</v>
      </c>
      <c r="AH207" s="2504"/>
      <c r="AI207" s="2860" t="s">
        <v>1070</v>
      </c>
      <c r="AJ207" s="2863"/>
      <c r="AK207" s="2864" t="s">
        <v>1330</v>
      </c>
      <c r="AL207" s="2505">
        <v>67641700</v>
      </c>
      <c r="AN207" s="2505" t="s">
        <v>1182</v>
      </c>
      <c r="AP207" s="2504" t="s">
        <v>1515</v>
      </c>
      <c r="AQ207" s="2505" t="s">
        <v>1074</v>
      </c>
      <c r="AW207" s="2504" t="s">
        <v>1075</v>
      </c>
      <c r="AY207" s="2875"/>
      <c r="AZ207" s="2505" t="s">
        <v>2569</v>
      </c>
      <c r="BB207" s="2875"/>
      <c r="BD207" s="2876"/>
      <c r="BF207" s="2884"/>
      <c r="BG207" s="2885">
        <v>38504</v>
      </c>
      <c r="BI207" s="2861" t="s">
        <v>1067</v>
      </c>
      <c r="BJ207" s="2831">
        <v>38548</v>
      </c>
      <c r="BK207" s="2831"/>
      <c r="BL207" s="2504" t="s">
        <v>1092</v>
      </c>
      <c r="BM207" s="2505" t="s">
        <v>888</v>
      </c>
      <c r="BN207" s="2505" t="s">
        <v>1077</v>
      </c>
      <c r="BO207" s="2505" t="s">
        <v>1128</v>
      </c>
      <c r="BQ207" s="2505" t="e">
        <v>#DIV/0!</v>
      </c>
      <c r="BR207" s="2505" t="e">
        <v>#DIV/0!</v>
      </c>
      <c r="BS207" s="2504"/>
      <c r="BT207" s="2504"/>
      <c r="BU207" s="2504"/>
    </row>
    <row r="208" s="2510" customFormat="1" ht="12" hidden="1" spans="1:70">
      <c r="A208" s="2510" t="s">
        <v>2570</v>
      </c>
      <c r="B208" s="2835" t="s">
        <v>2571</v>
      </c>
      <c r="C208" s="2836" t="s">
        <v>2572</v>
      </c>
      <c r="D208" s="2835" t="s">
        <v>2573</v>
      </c>
      <c r="E208" s="2835" t="s">
        <v>1060</v>
      </c>
      <c r="F208" s="2835" t="s">
        <v>2574</v>
      </c>
      <c r="G208" s="2835"/>
      <c r="H208" s="2835" t="s">
        <v>1155</v>
      </c>
      <c r="I208" s="2835" t="s">
        <v>2575</v>
      </c>
      <c r="J208" s="2835" t="s">
        <v>2082</v>
      </c>
      <c r="K208" s="2835" t="s">
        <v>2576</v>
      </c>
      <c r="L208" s="2839">
        <v>120.99</v>
      </c>
      <c r="M208" s="2840">
        <v>5</v>
      </c>
      <c r="N208" s="2835" t="s">
        <v>1299</v>
      </c>
      <c r="O208" s="2840"/>
      <c r="P208" s="2835" t="s">
        <v>1065</v>
      </c>
      <c r="Q208" s="2850">
        <v>658000</v>
      </c>
      <c r="R208" s="2510">
        <v>5438</v>
      </c>
      <c r="S208" s="2851">
        <v>62.28</v>
      </c>
      <c r="T208" s="2852">
        <v>622800</v>
      </c>
      <c r="U208" s="2510">
        <v>5148</v>
      </c>
      <c r="V208" s="2853">
        <v>0.05</v>
      </c>
      <c r="W208" s="2851">
        <v>59.16</v>
      </c>
      <c r="X208" s="2854">
        <v>591600</v>
      </c>
      <c r="Y208" s="2507">
        <v>2005</v>
      </c>
      <c r="Z208" s="2507">
        <v>8</v>
      </c>
      <c r="AA208" s="2510">
        <v>25</v>
      </c>
      <c r="AB208" s="2510">
        <v>1500</v>
      </c>
      <c r="AC208" s="2510" t="s">
        <v>1605</v>
      </c>
      <c r="AD208" s="2835"/>
      <c r="AE208" s="2835" t="s">
        <v>1067</v>
      </c>
      <c r="AF208" s="2835" t="s">
        <v>1068</v>
      </c>
      <c r="AG208" s="2835" t="s">
        <v>1069</v>
      </c>
      <c r="AH208" s="2835"/>
      <c r="AI208" s="2866" t="s">
        <v>2138</v>
      </c>
      <c r="AJ208" s="2867"/>
      <c r="AK208" s="2868">
        <v>8</v>
      </c>
      <c r="AL208" s="2507">
        <v>67641700</v>
      </c>
      <c r="AM208" s="2507"/>
      <c r="AN208" s="2866" t="s">
        <v>1182</v>
      </c>
      <c r="AP208" s="2866" t="s">
        <v>1515</v>
      </c>
      <c r="AQ208" s="2507" t="s">
        <v>1074</v>
      </c>
      <c r="AV208" s="2874"/>
      <c r="AW208" s="2507"/>
      <c r="AX208" s="2507"/>
      <c r="AY208" s="2877"/>
      <c r="AZ208" s="2510" t="s">
        <v>2576</v>
      </c>
      <c r="BA208" s="2878"/>
      <c r="BB208" s="2879"/>
      <c r="BC208" s="2878"/>
      <c r="BD208" s="2880"/>
      <c r="BE208" s="2507"/>
      <c r="BF208" s="2886"/>
      <c r="BG208" s="2887">
        <v>38504</v>
      </c>
      <c r="BH208" s="2510" t="s">
        <v>1174</v>
      </c>
      <c r="BI208" s="2507" t="s">
        <v>1515</v>
      </c>
      <c r="BJ208" s="2888">
        <v>38551</v>
      </c>
      <c r="BK208" s="2889"/>
      <c r="BL208" s="2510" t="s">
        <v>1092</v>
      </c>
      <c r="BM208" s="2510" t="s">
        <v>888</v>
      </c>
      <c r="BN208" s="2510" t="s">
        <v>1148</v>
      </c>
      <c r="BO208" s="2510" t="s">
        <v>1128</v>
      </c>
      <c r="BP208" s="2507"/>
      <c r="BQ208" s="2507" t="e">
        <v>#DIV/0!</v>
      </c>
      <c r="BR208" s="2507" t="e">
        <v>#DIV/0!</v>
      </c>
    </row>
    <row r="209" s="2505" customFormat="1" ht="12" hidden="1" spans="1:73">
      <c r="A209" s="2504" t="s">
        <v>2577</v>
      </c>
      <c r="B209" s="2504" t="s">
        <v>2578</v>
      </c>
      <c r="C209" s="2832" t="s">
        <v>2579</v>
      </c>
      <c r="D209" s="2832" t="s">
        <v>2580</v>
      </c>
      <c r="E209" s="2504" t="s">
        <v>1060</v>
      </c>
      <c r="F209" s="2834" t="s">
        <v>2581</v>
      </c>
      <c r="G209" s="2504"/>
      <c r="H209" s="2504" t="s">
        <v>1305</v>
      </c>
      <c r="I209" s="2504" t="s">
        <v>1143</v>
      </c>
      <c r="J209" s="2832" t="s">
        <v>1719</v>
      </c>
      <c r="K209" s="2504" t="s">
        <v>2578</v>
      </c>
      <c r="L209" s="2838">
        <v>70.6</v>
      </c>
      <c r="M209" s="2504" t="s">
        <v>1261</v>
      </c>
      <c r="N209" s="2504" t="s">
        <v>1064</v>
      </c>
      <c r="O209" s="2504"/>
      <c r="P209" s="2504" t="s">
        <v>1065</v>
      </c>
      <c r="Q209" s="2849">
        <v>490000</v>
      </c>
      <c r="R209" s="2504">
        <v>6941</v>
      </c>
      <c r="S209" s="2844">
        <v>41.65</v>
      </c>
      <c r="T209" s="2845">
        <v>416500</v>
      </c>
      <c r="U209" s="2504">
        <v>5900</v>
      </c>
      <c r="V209" s="2846">
        <v>0.05</v>
      </c>
      <c r="W209" s="2844">
        <v>39.56</v>
      </c>
      <c r="X209" s="2847">
        <v>395600</v>
      </c>
      <c r="Y209" s="2505">
        <v>2005</v>
      </c>
      <c r="Z209" s="2505">
        <v>8</v>
      </c>
      <c r="AA209" s="2505">
        <v>2</v>
      </c>
      <c r="AB209" s="2504">
        <v>1245</v>
      </c>
      <c r="AC209" s="2504" t="s">
        <v>1605</v>
      </c>
      <c r="AD209" s="2504"/>
      <c r="AE209" s="2861" t="s">
        <v>179</v>
      </c>
      <c r="AF209" s="2504" t="s">
        <v>1068</v>
      </c>
      <c r="AG209" s="2504" t="s">
        <v>1069</v>
      </c>
      <c r="AH209" s="2504"/>
      <c r="AI209" s="2861" t="s">
        <v>1070</v>
      </c>
      <c r="AJ209" s="2863"/>
      <c r="AK209" s="2864" t="s">
        <v>1113</v>
      </c>
      <c r="AL209" s="2505">
        <v>67641700</v>
      </c>
      <c r="AN209" s="2505" t="s">
        <v>1087</v>
      </c>
      <c r="AP209" s="2860" t="s">
        <v>1515</v>
      </c>
      <c r="AQ209" s="2505" t="s">
        <v>1675</v>
      </c>
      <c r="AW209" s="2505" t="s">
        <v>1343</v>
      </c>
      <c r="AY209" s="2875"/>
      <c r="BB209" s="2875"/>
      <c r="BD209" s="2876"/>
      <c r="BF209" s="2884"/>
      <c r="BG209" s="2873">
        <v>38552</v>
      </c>
      <c r="BI209" s="2504" t="s">
        <v>2338</v>
      </c>
      <c r="BJ209" s="2831">
        <v>38552</v>
      </c>
      <c r="BK209" s="2831"/>
      <c r="BL209" s="2505" t="s">
        <v>1092</v>
      </c>
      <c r="BM209" s="2505" t="s">
        <v>888</v>
      </c>
      <c r="BN209" s="2505" t="s">
        <v>1148</v>
      </c>
      <c r="BO209" s="2505" t="s">
        <v>1128</v>
      </c>
      <c r="BQ209" s="2505" t="e">
        <v>#DIV/0!</v>
      </c>
      <c r="BR209" s="2505" t="e">
        <v>#DIV/0!</v>
      </c>
      <c r="BS209" s="2504"/>
      <c r="BT209" s="2504"/>
      <c r="BU209" s="2504"/>
    </row>
    <row r="210" s="2505" customFormat="1" ht="12" hidden="1" spans="1:73">
      <c r="A210" s="2508" t="s">
        <v>2582</v>
      </c>
      <c r="B210" s="2504" t="s">
        <v>2583</v>
      </c>
      <c r="C210" s="2832" t="s">
        <v>2584</v>
      </c>
      <c r="D210" s="2832" t="s">
        <v>2585</v>
      </c>
      <c r="E210" s="2504" t="s">
        <v>1060</v>
      </c>
      <c r="F210" s="2837" t="s">
        <v>2586</v>
      </c>
      <c r="G210" s="2504"/>
      <c r="H210" s="2504" t="s">
        <v>1084</v>
      </c>
      <c r="I210" s="2504"/>
      <c r="J210" s="2832" t="s">
        <v>2587</v>
      </c>
      <c r="K210" s="2504" t="s">
        <v>2583</v>
      </c>
      <c r="L210" s="2838">
        <v>46.9</v>
      </c>
      <c r="M210" s="2504">
        <v>15</v>
      </c>
      <c r="N210" s="2508" t="s">
        <v>1111</v>
      </c>
      <c r="O210" s="2504"/>
      <c r="P210" s="2508" t="s">
        <v>1065</v>
      </c>
      <c r="Q210" s="2849">
        <v>360000</v>
      </c>
      <c r="R210" s="2855">
        <v>7676</v>
      </c>
      <c r="S210" s="2844">
        <v>28.28</v>
      </c>
      <c r="T210" s="2845">
        <v>282800</v>
      </c>
      <c r="U210" s="2504">
        <v>6031</v>
      </c>
      <c r="V210" s="2856">
        <v>0.05</v>
      </c>
      <c r="W210" s="2844">
        <v>26.86</v>
      </c>
      <c r="X210" s="2847">
        <v>268600</v>
      </c>
      <c r="Y210" s="2505">
        <v>2005</v>
      </c>
      <c r="Z210" s="2505">
        <v>7</v>
      </c>
      <c r="AA210" s="2505">
        <v>20</v>
      </c>
      <c r="AB210" s="2855">
        <v>845</v>
      </c>
      <c r="AC210" s="2508" t="s">
        <v>1605</v>
      </c>
      <c r="AD210" s="2504"/>
      <c r="AE210" s="2508" t="s">
        <v>1067</v>
      </c>
      <c r="AF210" s="2508" t="s">
        <v>1068</v>
      </c>
      <c r="AG210" s="2508" t="s">
        <v>1069</v>
      </c>
      <c r="AH210" s="2504"/>
      <c r="AI210" s="2504"/>
      <c r="AJ210" s="2863"/>
      <c r="AK210" s="2869" t="s">
        <v>1330</v>
      </c>
      <c r="AY210" s="2875"/>
      <c r="BB210" s="2875"/>
      <c r="BD210" s="2876"/>
      <c r="BF210" s="2884"/>
      <c r="BG210" s="2890">
        <v>38534</v>
      </c>
      <c r="BJ210" s="2831">
        <v>38552</v>
      </c>
      <c r="BK210" s="2831"/>
      <c r="BL210" s="2504"/>
      <c r="BM210" s="2506" t="s">
        <v>888</v>
      </c>
      <c r="BN210" s="2506" t="s">
        <v>1148</v>
      </c>
      <c r="BO210" s="2506" t="s">
        <v>1128</v>
      </c>
      <c r="BQ210" s="2505" t="e">
        <v>#DIV/0!</v>
      </c>
      <c r="BR210" s="2505" t="e">
        <v>#DIV/0!</v>
      </c>
      <c r="BS210" s="2504"/>
      <c r="BT210" s="2504"/>
      <c r="BU210" s="2504"/>
    </row>
    <row r="211" s="2505" customFormat="1" ht="12" hidden="1" spans="1:73">
      <c r="A211" s="2504" t="s">
        <v>2588</v>
      </c>
      <c r="B211" s="2505" t="s">
        <v>2589</v>
      </c>
      <c r="C211" s="2832" t="s">
        <v>2590</v>
      </c>
      <c r="D211" s="2832" t="s">
        <v>2591</v>
      </c>
      <c r="E211" s="2504" t="s">
        <v>1060</v>
      </c>
      <c r="F211" s="2504" t="s">
        <v>2145</v>
      </c>
      <c r="G211" s="2504"/>
      <c r="H211" s="2504" t="s">
        <v>1155</v>
      </c>
      <c r="I211" s="2504" t="s">
        <v>2411</v>
      </c>
      <c r="J211" s="2832" t="s">
        <v>1223</v>
      </c>
      <c r="K211" s="2505" t="s">
        <v>2589</v>
      </c>
      <c r="L211" s="2838">
        <v>68.8</v>
      </c>
      <c r="M211" s="2504">
        <v>6</v>
      </c>
      <c r="N211" s="2504" t="s">
        <v>1290</v>
      </c>
      <c r="O211" s="2504"/>
      <c r="P211" s="2504" t="s">
        <v>1065</v>
      </c>
      <c r="Q211" s="2849">
        <v>500000</v>
      </c>
      <c r="R211" s="2504">
        <v>7267</v>
      </c>
      <c r="S211" s="2844">
        <v>40.41</v>
      </c>
      <c r="T211" s="2845">
        <v>404100</v>
      </c>
      <c r="U211" s="2504">
        <v>5874</v>
      </c>
      <c r="V211" s="2846">
        <v>0.05</v>
      </c>
      <c r="W211" s="2844">
        <v>38.38</v>
      </c>
      <c r="X211" s="2847">
        <v>383800</v>
      </c>
      <c r="Y211" s="2505">
        <v>2005</v>
      </c>
      <c r="Z211" s="2505">
        <v>8</v>
      </c>
      <c r="AA211" s="2505">
        <v>4</v>
      </c>
      <c r="AB211" s="2504">
        <v>1210</v>
      </c>
      <c r="AC211" s="2504" t="s">
        <v>1605</v>
      </c>
      <c r="AD211" s="2504"/>
      <c r="AE211" s="2861" t="s">
        <v>179</v>
      </c>
      <c r="AF211" s="2504" t="s">
        <v>1068</v>
      </c>
      <c r="AG211" s="2504" t="s">
        <v>1069</v>
      </c>
      <c r="AH211" s="2504"/>
      <c r="AI211" s="2861" t="s">
        <v>1070</v>
      </c>
      <c r="AJ211" s="2863"/>
      <c r="AK211" s="2870" t="s">
        <v>1113</v>
      </c>
      <c r="AL211" s="2505">
        <v>67641700</v>
      </c>
      <c r="AN211" s="2504" t="s">
        <v>1087</v>
      </c>
      <c r="AP211" s="2860" t="s">
        <v>1515</v>
      </c>
      <c r="AQ211" s="2504" t="s">
        <v>1089</v>
      </c>
      <c r="AW211" s="2505" t="s">
        <v>1343</v>
      </c>
      <c r="AY211" s="2875"/>
      <c r="AZ211" s="2505" t="s">
        <v>2592</v>
      </c>
      <c r="BB211" s="2875"/>
      <c r="BD211" s="2876"/>
      <c r="BF211" s="2884"/>
      <c r="BG211" s="2873">
        <v>38559</v>
      </c>
      <c r="BI211" s="2505" t="s">
        <v>2140</v>
      </c>
      <c r="BJ211" s="2831">
        <v>38559</v>
      </c>
      <c r="BK211" s="2831"/>
      <c r="BL211" s="2504"/>
      <c r="BM211" s="2505" t="s">
        <v>2593</v>
      </c>
      <c r="BN211" s="2505" t="s">
        <v>1077</v>
      </c>
      <c r="BO211" s="2505" t="s">
        <v>1128</v>
      </c>
      <c r="BQ211" s="2505" t="e">
        <v>#DIV/0!</v>
      </c>
      <c r="BR211" s="2505" t="e">
        <v>#DIV/0!</v>
      </c>
      <c r="BS211" s="2504"/>
      <c r="BT211" s="2504"/>
      <c r="BU211" s="2504"/>
    </row>
    <row r="212" s="2504" customFormat="1" ht="12" hidden="1" spans="1:70">
      <c r="A212" s="2504" t="s">
        <v>2594</v>
      </c>
      <c r="B212" s="2504" t="s">
        <v>2595</v>
      </c>
      <c r="C212" s="2832" t="s">
        <v>2596</v>
      </c>
      <c r="D212" s="2504">
        <v>13621020022</v>
      </c>
      <c r="E212" s="2504" t="s">
        <v>1060</v>
      </c>
      <c r="F212" s="2504" t="s">
        <v>1806</v>
      </c>
      <c r="H212" s="2504" t="s">
        <v>1121</v>
      </c>
      <c r="J212" s="2504" t="s">
        <v>2597</v>
      </c>
      <c r="K212" s="2504" t="s">
        <v>2595</v>
      </c>
      <c r="L212" s="2838">
        <v>89.05</v>
      </c>
      <c r="M212" s="2504">
        <v>7</v>
      </c>
      <c r="N212" s="2504" t="s">
        <v>1064</v>
      </c>
      <c r="P212" s="2504" t="s">
        <v>1065</v>
      </c>
      <c r="Q212" s="2857">
        <v>550000</v>
      </c>
      <c r="R212" s="2504">
        <v>6176</v>
      </c>
      <c r="S212" s="2858">
        <v>59.08</v>
      </c>
      <c r="T212" s="2845">
        <v>590800</v>
      </c>
      <c r="U212" s="2857">
        <v>6635</v>
      </c>
      <c r="V212" s="2846">
        <v>0.05</v>
      </c>
      <c r="W212" s="2858">
        <v>56.12</v>
      </c>
      <c r="X212" s="2845">
        <v>561200</v>
      </c>
      <c r="Y212" s="2504">
        <v>2005</v>
      </c>
      <c r="Z212" s="2505">
        <v>7</v>
      </c>
      <c r="AA212" s="2504">
        <v>29</v>
      </c>
      <c r="AB212" s="2504">
        <v>1500</v>
      </c>
      <c r="AC212" s="2504" t="s">
        <v>1605</v>
      </c>
      <c r="AE212" s="2861" t="s">
        <v>179</v>
      </c>
      <c r="AF212" s="2504" t="s">
        <v>1068</v>
      </c>
      <c r="AG212" s="2504" t="s">
        <v>1069</v>
      </c>
      <c r="AH212" s="2504" t="s">
        <v>1114</v>
      </c>
      <c r="AI212" s="2861" t="s">
        <v>1070</v>
      </c>
      <c r="AK212" s="2864" t="s">
        <v>1330</v>
      </c>
      <c r="AL212" s="2505">
        <v>67641700</v>
      </c>
      <c r="AN212" s="2504" t="s">
        <v>1071</v>
      </c>
      <c r="AP212" s="2860" t="s">
        <v>1515</v>
      </c>
      <c r="AQ212" s="2504" t="s">
        <v>1074</v>
      </c>
      <c r="AV212" s="2504" t="s">
        <v>1114</v>
      </c>
      <c r="AW212" s="2504" t="s">
        <v>1090</v>
      </c>
      <c r="AZ212" s="2504" t="s">
        <v>2598</v>
      </c>
      <c r="BF212" s="2891">
        <v>38534</v>
      </c>
      <c r="BG212" s="2863" t="s">
        <v>1114</v>
      </c>
      <c r="BH212" s="2504" t="s">
        <v>1174</v>
      </c>
      <c r="BI212" s="2504" t="s">
        <v>1515</v>
      </c>
      <c r="BJ212" s="2863">
        <v>38559</v>
      </c>
      <c r="BK212" s="2863"/>
      <c r="BL212" s="2504" t="s">
        <v>1092</v>
      </c>
      <c r="BM212" s="2504" t="s">
        <v>1127</v>
      </c>
      <c r="BN212" s="2504" t="s">
        <v>1148</v>
      </c>
      <c r="BO212" s="2504" t="s">
        <v>1128</v>
      </c>
      <c r="BQ212" s="2505" t="e">
        <v>#DIV/0!</v>
      </c>
      <c r="BR212" s="2505" t="e">
        <v>#DIV/0!</v>
      </c>
    </row>
    <row r="213" s="2505" customFormat="1" ht="12" hidden="1" spans="1:73">
      <c r="A213" s="2504" t="s">
        <v>2599</v>
      </c>
      <c r="B213" s="2504" t="s">
        <v>2600</v>
      </c>
      <c r="C213" s="2832" t="s">
        <v>2601</v>
      </c>
      <c r="D213" s="2832" t="s">
        <v>2602</v>
      </c>
      <c r="E213" s="2504" t="s">
        <v>1060</v>
      </c>
      <c r="F213" s="2504" t="s">
        <v>2603</v>
      </c>
      <c r="G213" s="2504"/>
      <c r="H213" s="2504" t="s">
        <v>2604</v>
      </c>
      <c r="I213" s="2504" t="s">
        <v>2485</v>
      </c>
      <c r="J213" s="2832" t="s">
        <v>1586</v>
      </c>
      <c r="K213" s="2504" t="s">
        <v>2605</v>
      </c>
      <c r="L213" s="2838">
        <v>44.8</v>
      </c>
      <c r="M213" s="2504">
        <v>4</v>
      </c>
      <c r="N213" s="2504" t="s">
        <v>1259</v>
      </c>
      <c r="O213" s="2504"/>
      <c r="P213" s="2504" t="s">
        <v>1065</v>
      </c>
      <c r="Q213" s="2849">
        <v>320000</v>
      </c>
      <c r="R213" s="2508">
        <v>7143</v>
      </c>
      <c r="S213" s="2844">
        <v>26.79</v>
      </c>
      <c r="T213" s="2845">
        <v>267900</v>
      </c>
      <c r="U213" s="2504">
        <v>5982</v>
      </c>
      <c r="V213" s="2846">
        <v>0.05</v>
      </c>
      <c r="W213" s="2844">
        <v>25.45</v>
      </c>
      <c r="X213" s="2847">
        <v>254500</v>
      </c>
      <c r="Y213" s="2505">
        <v>2005</v>
      </c>
      <c r="Z213" s="2505">
        <v>8</v>
      </c>
      <c r="AA213" s="2505">
        <v>9</v>
      </c>
      <c r="AB213" s="2508">
        <v>9</v>
      </c>
      <c r="AC213" s="2504" t="s">
        <v>1605</v>
      </c>
      <c r="AD213" s="2504"/>
      <c r="AE213" s="2505" t="s">
        <v>179</v>
      </c>
      <c r="AF213" s="2504" t="s">
        <v>1068</v>
      </c>
      <c r="AG213" s="2504" t="s">
        <v>1069</v>
      </c>
      <c r="AH213" s="2504"/>
      <c r="AI213" s="2504" t="s">
        <v>1070</v>
      </c>
      <c r="AJ213" s="2863"/>
      <c r="AK213" s="2870" t="s">
        <v>1113</v>
      </c>
      <c r="AL213" s="2505">
        <v>67641700</v>
      </c>
      <c r="AN213" s="2504" t="s">
        <v>1088</v>
      </c>
      <c r="AP213" s="2505" t="s">
        <v>1515</v>
      </c>
      <c r="AQ213" s="2505" t="s">
        <v>1675</v>
      </c>
      <c r="AW213" s="2505" t="s">
        <v>1343</v>
      </c>
      <c r="AY213" s="2875"/>
      <c r="AZ213" s="2505" t="s">
        <v>2605</v>
      </c>
      <c r="BB213" s="2875"/>
      <c r="BD213" s="2876"/>
      <c r="BF213" s="2884"/>
      <c r="BG213" s="2873">
        <v>38558</v>
      </c>
      <c r="BI213" s="2504" t="s">
        <v>2338</v>
      </c>
      <c r="BJ213" s="2831">
        <v>38558</v>
      </c>
      <c r="BK213" s="2831"/>
      <c r="BL213" s="2504" t="s">
        <v>1092</v>
      </c>
      <c r="BM213" s="2505" t="s">
        <v>888</v>
      </c>
      <c r="BN213" s="2505" t="s">
        <v>1077</v>
      </c>
      <c r="BO213" s="2505" t="s">
        <v>1128</v>
      </c>
      <c r="BQ213" s="2505" t="e">
        <v>#DIV/0!</v>
      </c>
      <c r="BR213" s="2505" t="e">
        <v>#DIV/0!</v>
      </c>
      <c r="BS213" s="2504"/>
      <c r="BT213" s="2504"/>
      <c r="BU213" s="2504"/>
    </row>
    <row r="214" s="2504" customFormat="1" ht="12" hidden="1" spans="1:70">
      <c r="A214" s="2504" t="s">
        <v>2606</v>
      </c>
      <c r="B214" s="2504" t="s">
        <v>2607</v>
      </c>
      <c r="C214" s="2832" t="s">
        <v>2608</v>
      </c>
      <c r="D214" s="2504">
        <v>13671107999</v>
      </c>
      <c r="E214" s="2504" t="s">
        <v>1060</v>
      </c>
      <c r="F214" s="2504" t="s">
        <v>2555</v>
      </c>
      <c r="H214" s="2504" t="s">
        <v>1084</v>
      </c>
      <c r="I214" s="2504" t="s">
        <v>1381</v>
      </c>
      <c r="J214" s="2504" t="s">
        <v>1085</v>
      </c>
      <c r="L214" s="2838">
        <v>54.3</v>
      </c>
      <c r="M214" s="2504">
        <v>3</v>
      </c>
      <c r="N214" s="2504" t="s">
        <v>1064</v>
      </c>
      <c r="P214" s="2504" t="s">
        <v>1065</v>
      </c>
      <c r="Q214" s="2857">
        <v>393000</v>
      </c>
      <c r="R214" s="2504">
        <v>7238</v>
      </c>
      <c r="S214" s="2858">
        <v>31.98</v>
      </c>
      <c r="T214" s="2845">
        <v>319800</v>
      </c>
      <c r="U214" s="2857">
        <v>5890</v>
      </c>
      <c r="V214" s="2846">
        <v>0.05</v>
      </c>
      <c r="W214" s="2858">
        <v>30.38</v>
      </c>
      <c r="X214" s="2845">
        <v>303800</v>
      </c>
      <c r="Y214" s="2504">
        <v>2005</v>
      </c>
      <c r="Z214" s="2505">
        <v>8</v>
      </c>
      <c r="AA214" s="2504">
        <v>2</v>
      </c>
      <c r="AB214" s="2504">
        <v>955</v>
      </c>
      <c r="AC214" s="2504" t="s">
        <v>1605</v>
      </c>
      <c r="AE214" s="2505" t="s">
        <v>179</v>
      </c>
      <c r="AF214" s="2504" t="s">
        <v>1068</v>
      </c>
      <c r="AG214" s="2504" t="s">
        <v>1069</v>
      </c>
      <c r="AH214" s="2504" t="s">
        <v>1114</v>
      </c>
      <c r="AI214" s="2504" t="s">
        <v>1070</v>
      </c>
      <c r="AK214" s="2864" t="s">
        <v>1113</v>
      </c>
      <c r="AL214" s="2504">
        <v>67641700</v>
      </c>
      <c r="AN214" s="2504" t="s">
        <v>1087</v>
      </c>
      <c r="AP214" s="2504" t="s">
        <v>1515</v>
      </c>
      <c r="AQ214" s="2504" t="s">
        <v>1089</v>
      </c>
      <c r="AV214" s="2504" t="s">
        <v>1114</v>
      </c>
      <c r="AW214" s="2504" t="s">
        <v>1090</v>
      </c>
      <c r="AZ214" s="2504" t="s">
        <v>2609</v>
      </c>
      <c r="BG214" s="2863">
        <v>38559</v>
      </c>
      <c r="BH214" s="2504" t="s">
        <v>1174</v>
      </c>
      <c r="BI214" s="2504" t="s">
        <v>2140</v>
      </c>
      <c r="BJ214" s="2863">
        <v>38560</v>
      </c>
      <c r="BK214" s="2863"/>
      <c r="BL214" s="2504" t="s">
        <v>1092</v>
      </c>
      <c r="BM214" s="2504" t="s">
        <v>1127</v>
      </c>
      <c r="BN214" s="2504" t="s">
        <v>1077</v>
      </c>
      <c r="BO214" s="2504" t="s">
        <v>2610</v>
      </c>
      <c r="BQ214" s="2505" t="e">
        <v>#DIV/0!</v>
      </c>
      <c r="BR214" s="2505" t="e">
        <v>#DIV/0!</v>
      </c>
    </row>
    <row r="215" s="2504" customFormat="1" ht="12" hidden="1" spans="1:70">
      <c r="A215" s="2504" t="s">
        <v>2611</v>
      </c>
      <c r="B215" s="2504" t="s">
        <v>2612</v>
      </c>
      <c r="C215" s="2832" t="s">
        <v>2613</v>
      </c>
      <c r="D215" s="2832" t="s">
        <v>2614</v>
      </c>
      <c r="E215" s="2504" t="s">
        <v>1060</v>
      </c>
      <c r="F215" s="2833" t="s">
        <v>1560</v>
      </c>
      <c r="H215" s="2504" t="s">
        <v>1062</v>
      </c>
      <c r="I215" s="2504" t="s">
        <v>2249</v>
      </c>
      <c r="J215" s="2832" t="s">
        <v>2018</v>
      </c>
      <c r="L215" s="2504">
        <v>97.6</v>
      </c>
      <c r="M215" s="2832" t="s">
        <v>2019</v>
      </c>
      <c r="N215" s="2504" t="s">
        <v>1064</v>
      </c>
      <c r="P215" s="2504" t="s">
        <v>1065</v>
      </c>
      <c r="Q215" s="2843">
        <v>556320</v>
      </c>
      <c r="R215" s="2504">
        <v>5700</v>
      </c>
      <c r="S215" s="2844">
        <v>58.85</v>
      </c>
      <c r="T215" s="2845">
        <v>588500</v>
      </c>
      <c r="U215" s="2504">
        <v>6030</v>
      </c>
      <c r="V215" s="2846">
        <v>0.05</v>
      </c>
      <c r="W215" s="2844">
        <v>55.9</v>
      </c>
      <c r="X215" s="2847">
        <v>559000</v>
      </c>
      <c r="Y215" s="2504">
        <v>2005</v>
      </c>
      <c r="Z215" s="2504">
        <v>9</v>
      </c>
      <c r="AA215" s="2504">
        <v>5</v>
      </c>
      <c r="AB215" s="2504">
        <v>1500</v>
      </c>
      <c r="AC215" s="2504" t="s">
        <v>1605</v>
      </c>
      <c r="AE215" s="2505" t="s">
        <v>179</v>
      </c>
      <c r="AF215" s="2504" t="s">
        <v>1068</v>
      </c>
      <c r="AG215" s="2860" t="s">
        <v>1069</v>
      </c>
      <c r="AI215" s="2504" t="s">
        <v>1070</v>
      </c>
      <c r="AJ215" s="2863"/>
      <c r="AK215" s="2871">
        <v>9</v>
      </c>
      <c r="AL215" s="2504">
        <v>67641700</v>
      </c>
      <c r="AN215" s="2861" t="s">
        <v>1088</v>
      </c>
      <c r="AO215" s="2505"/>
      <c r="AP215" s="2504" t="s">
        <v>1515</v>
      </c>
      <c r="AQ215" s="2504" t="s">
        <v>1675</v>
      </c>
      <c r="AR215" s="2505"/>
      <c r="AS215" s="2505"/>
      <c r="AT215" s="2505"/>
      <c r="AU215" s="2505"/>
      <c r="AV215" s="2873"/>
      <c r="AW215" s="2504" t="s">
        <v>1075</v>
      </c>
      <c r="AX215" s="2505"/>
      <c r="AY215" s="2505"/>
      <c r="AZ215" s="2504" t="s">
        <v>2615</v>
      </c>
      <c r="BA215" s="2505"/>
      <c r="BB215" s="2505"/>
      <c r="BC215" s="2505"/>
      <c r="BD215" s="2505"/>
      <c r="BE215" s="2505"/>
      <c r="BF215" s="2505"/>
      <c r="BG215" s="2863"/>
      <c r="BH215" s="2505"/>
      <c r="BI215" s="2504" t="s">
        <v>2338</v>
      </c>
      <c r="BJ215" s="2831">
        <v>38561</v>
      </c>
      <c r="BK215" s="2831"/>
      <c r="BL215" s="2504" t="s">
        <v>1092</v>
      </c>
      <c r="BM215" s="2505" t="s">
        <v>2616</v>
      </c>
      <c r="BN215" s="2505" t="s">
        <v>1077</v>
      </c>
      <c r="BO215" s="2505" t="s">
        <v>1128</v>
      </c>
      <c r="BP215" s="2505"/>
      <c r="BQ215" s="2505" t="e">
        <v>#DIV/0!</v>
      </c>
      <c r="BR215" s="2505" t="e">
        <v>#DIV/0!</v>
      </c>
    </row>
    <row r="216" s="2505" customFormat="1" ht="12" hidden="1" spans="1:73">
      <c r="A216" s="2688" t="s">
        <v>2617</v>
      </c>
      <c r="B216" s="2688" t="s">
        <v>2618</v>
      </c>
      <c r="C216" s="2689" t="s">
        <v>2619</v>
      </c>
      <c r="D216" s="2689" t="s">
        <v>2620</v>
      </c>
      <c r="E216" s="2688" t="s">
        <v>1060</v>
      </c>
      <c r="F216" s="2688" t="s">
        <v>2621</v>
      </c>
      <c r="G216" s="2688"/>
      <c r="H216" s="2745"/>
      <c r="I216" s="2688" t="s">
        <v>1381</v>
      </c>
      <c r="J216" s="2689" t="s">
        <v>1223</v>
      </c>
      <c r="K216" s="2688" t="s">
        <v>2618</v>
      </c>
      <c r="L216" s="2702">
        <v>63.3</v>
      </c>
      <c r="M216" s="2688">
        <v>2</v>
      </c>
      <c r="N216" s="2688" t="s">
        <v>1064</v>
      </c>
      <c r="O216" s="2688"/>
      <c r="P216" s="2688" t="s">
        <v>1065</v>
      </c>
      <c r="Q216" s="2712">
        <v>380000</v>
      </c>
      <c r="R216" s="2688">
        <v>6003</v>
      </c>
      <c r="S216" s="2722">
        <v>36.89</v>
      </c>
      <c r="T216" s="2723">
        <v>368900</v>
      </c>
      <c r="U216" s="2688">
        <v>5829</v>
      </c>
      <c r="V216" s="2724">
        <v>0.05</v>
      </c>
      <c r="W216" s="2722">
        <v>35.04</v>
      </c>
      <c r="X216" s="2725">
        <v>350400</v>
      </c>
      <c r="Y216" s="2745">
        <v>2005</v>
      </c>
      <c r="Z216" s="2745">
        <v>8</v>
      </c>
      <c r="AA216" s="2745">
        <v>3</v>
      </c>
      <c r="AB216" s="2688">
        <v>1105</v>
      </c>
      <c r="AC216" s="2688" t="s">
        <v>1605</v>
      </c>
      <c r="AD216" s="2688"/>
      <c r="AE216" s="2688" t="s">
        <v>179</v>
      </c>
      <c r="AF216" s="2688" t="s">
        <v>1068</v>
      </c>
      <c r="AG216" s="2688" t="s">
        <v>1069</v>
      </c>
      <c r="AH216" s="2688"/>
      <c r="AI216" s="2688" t="s">
        <v>1070</v>
      </c>
      <c r="AJ216" s="2753"/>
      <c r="AK216" s="2754" t="s">
        <v>1113</v>
      </c>
      <c r="AL216" s="2745">
        <v>67641700</v>
      </c>
      <c r="AM216" s="2745"/>
      <c r="AN216" s="2745" t="s">
        <v>1087</v>
      </c>
      <c r="AO216" s="2745"/>
      <c r="AP216" s="2688" t="s">
        <v>1515</v>
      </c>
      <c r="AQ216" s="2688" t="s">
        <v>1074</v>
      </c>
      <c r="AR216" s="2745"/>
      <c r="AS216" s="2745"/>
      <c r="AT216" s="2745"/>
      <c r="AU216" s="2745"/>
      <c r="AV216" s="2745"/>
      <c r="AW216" s="2745" t="s">
        <v>1343</v>
      </c>
      <c r="AX216" s="2745"/>
      <c r="AY216" s="2769"/>
      <c r="AZ216" s="2745" t="s">
        <v>2622</v>
      </c>
      <c r="BA216" s="2745"/>
      <c r="BB216" s="2769"/>
      <c r="BC216" s="2745"/>
      <c r="BD216" s="2770"/>
      <c r="BE216" s="2745"/>
      <c r="BF216" s="2788"/>
      <c r="BG216" s="2790"/>
      <c r="BH216" s="2745" t="s">
        <v>2623</v>
      </c>
      <c r="BI216" s="2774" t="s">
        <v>1342</v>
      </c>
      <c r="BJ216" s="2789">
        <v>38561</v>
      </c>
      <c r="BK216" s="2789"/>
      <c r="BL216" s="2688"/>
      <c r="BM216" s="2745" t="s">
        <v>888</v>
      </c>
      <c r="BN216" s="2745" t="s">
        <v>1077</v>
      </c>
      <c r="BO216" s="2745" t="s">
        <v>1128</v>
      </c>
      <c r="BP216" s="2745"/>
      <c r="BQ216" s="2745" t="e">
        <v>#DIV/0!</v>
      </c>
      <c r="BR216" s="2745" t="e">
        <v>#DIV/0!</v>
      </c>
      <c r="BS216" s="2504"/>
      <c r="BT216" s="2504"/>
      <c r="BU216" s="2504"/>
    </row>
    <row r="217" s="2504" customFormat="1" ht="12" hidden="1" spans="1:70">
      <c r="A217" s="2688" t="s">
        <v>2624</v>
      </c>
      <c r="B217" s="2688" t="s">
        <v>2625</v>
      </c>
      <c r="C217" s="2689" t="s">
        <v>2626</v>
      </c>
      <c r="D217" s="2688">
        <v>13641196911</v>
      </c>
      <c r="E217" s="2688" t="s">
        <v>1060</v>
      </c>
      <c r="F217" s="2688" t="s">
        <v>2627</v>
      </c>
      <c r="G217" s="2688"/>
      <c r="H217" s="2688" t="s">
        <v>1647</v>
      </c>
      <c r="I217" s="2688" t="s">
        <v>1114</v>
      </c>
      <c r="J217" s="2688" t="s">
        <v>2628</v>
      </c>
      <c r="K217" s="2688"/>
      <c r="L217" s="2702">
        <v>94.9</v>
      </c>
      <c r="M217" s="2688">
        <v>3</v>
      </c>
      <c r="N217" s="2688" t="s">
        <v>1384</v>
      </c>
      <c r="O217" s="2688"/>
      <c r="P217" s="2688" t="s">
        <v>1065</v>
      </c>
      <c r="Q217" s="2688">
        <v>570000</v>
      </c>
      <c r="R217" s="2688">
        <v>6006</v>
      </c>
      <c r="S217" s="2722">
        <v>51.72</v>
      </c>
      <c r="T217" s="2723">
        <v>517200</v>
      </c>
      <c r="U217" s="2688">
        <v>5450</v>
      </c>
      <c r="V217" s="2727">
        <v>0.05</v>
      </c>
      <c r="W217" s="2722">
        <v>49.13</v>
      </c>
      <c r="X217" s="2725">
        <v>491300</v>
      </c>
      <c r="Y217" s="2688">
        <v>2005</v>
      </c>
      <c r="Z217" s="2688">
        <v>8</v>
      </c>
      <c r="AA217" s="2745">
        <v>5</v>
      </c>
      <c r="AB217" s="2688">
        <v>1500</v>
      </c>
      <c r="AC217" s="2688" t="s">
        <v>1605</v>
      </c>
      <c r="AD217" s="2688"/>
      <c r="AE217" s="2688" t="s">
        <v>1342</v>
      </c>
      <c r="AF217" s="2688" t="s">
        <v>1068</v>
      </c>
      <c r="AG217" s="2688" t="s">
        <v>1069</v>
      </c>
      <c r="AH217" s="2688"/>
      <c r="AI217" s="2691" t="s">
        <v>1070</v>
      </c>
      <c r="AJ217" s="2751"/>
      <c r="AK217" s="2688" t="s">
        <v>1113</v>
      </c>
      <c r="AL217" s="2745">
        <v>67641700</v>
      </c>
      <c r="AM217" s="2745"/>
      <c r="AN217" s="2688" t="s">
        <v>1087</v>
      </c>
      <c r="AO217" s="2688"/>
      <c r="AP217" s="2747" t="s">
        <v>1515</v>
      </c>
      <c r="AQ217" s="2745" t="s">
        <v>1074</v>
      </c>
      <c r="AR217" s="2688"/>
      <c r="AS217" s="2688"/>
      <c r="AT217" s="2688"/>
      <c r="AU217" s="2688"/>
      <c r="AV217" s="2688"/>
      <c r="AW217" s="2688" t="s">
        <v>1090</v>
      </c>
      <c r="AX217" s="2688"/>
      <c r="AY217" s="2689"/>
      <c r="AZ217" s="2688" t="s">
        <v>2629</v>
      </c>
      <c r="BA217" s="2688"/>
      <c r="BB217" s="2688"/>
      <c r="BC217" s="2688"/>
      <c r="BD217" s="2688"/>
      <c r="BE217" s="2688"/>
      <c r="BF217" s="2688" t="s">
        <v>1114</v>
      </c>
      <c r="BG217" s="2792"/>
      <c r="BH217" s="2688" t="s">
        <v>1174</v>
      </c>
      <c r="BI217" s="2688" t="s">
        <v>2140</v>
      </c>
      <c r="BJ217" s="2789">
        <v>38567</v>
      </c>
      <c r="BK217" s="2789"/>
      <c r="BL217" s="2688" t="s">
        <v>1092</v>
      </c>
      <c r="BM217" s="2688" t="s">
        <v>1127</v>
      </c>
      <c r="BN217" s="2688" t="s">
        <v>1148</v>
      </c>
      <c r="BO217" s="2688" t="s">
        <v>1128</v>
      </c>
      <c r="BP217" s="2688"/>
      <c r="BQ217" s="2745" t="e">
        <v>#DIV/0!</v>
      </c>
      <c r="BR217" s="2745" t="e">
        <v>#DIV/0!</v>
      </c>
    </row>
    <row r="218" s="2505" customFormat="1" ht="12" hidden="1" spans="1:73">
      <c r="A218" s="2688" t="s">
        <v>2630</v>
      </c>
      <c r="B218" s="2688" t="s">
        <v>2631</v>
      </c>
      <c r="C218" s="2689" t="s">
        <v>2632</v>
      </c>
      <c r="D218" s="2689" t="s">
        <v>2633</v>
      </c>
      <c r="E218" s="2688" t="s">
        <v>1979</v>
      </c>
      <c r="F218" s="2690" t="s">
        <v>1992</v>
      </c>
      <c r="G218" s="2688"/>
      <c r="H218" s="2688" t="s">
        <v>2114</v>
      </c>
      <c r="I218" s="2688"/>
      <c r="J218" s="2689" t="s">
        <v>2634</v>
      </c>
      <c r="K218" s="2688" t="s">
        <v>2631</v>
      </c>
      <c r="L218" s="2702">
        <v>84.7</v>
      </c>
      <c r="M218" s="2688">
        <v>16</v>
      </c>
      <c r="N218" s="2685" t="s">
        <v>1123</v>
      </c>
      <c r="O218" s="2688"/>
      <c r="P218" s="2688" t="s">
        <v>1065</v>
      </c>
      <c r="Q218" s="2712">
        <v>605000</v>
      </c>
      <c r="R218" s="2688">
        <v>7143</v>
      </c>
      <c r="S218" s="2722">
        <v>51.87</v>
      </c>
      <c r="T218" s="2723">
        <v>518700</v>
      </c>
      <c r="U218" s="2688">
        <v>6124</v>
      </c>
      <c r="V218" s="2724">
        <v>0.05</v>
      </c>
      <c r="W218" s="2722">
        <v>49.27</v>
      </c>
      <c r="X218" s="2725">
        <v>492700</v>
      </c>
      <c r="Y218" s="2745">
        <v>2005</v>
      </c>
      <c r="Z218" s="2745">
        <v>8</v>
      </c>
      <c r="AA218" s="2745">
        <v>9</v>
      </c>
      <c r="AB218" s="2688">
        <v>1500</v>
      </c>
      <c r="AC218" s="2685" t="s">
        <v>1605</v>
      </c>
      <c r="AD218" s="2688"/>
      <c r="AE218" s="2688" t="s">
        <v>1067</v>
      </c>
      <c r="AF218" s="2688" t="s">
        <v>1068</v>
      </c>
      <c r="AG218" s="2688" t="s">
        <v>1069</v>
      </c>
      <c r="AH218" s="2688"/>
      <c r="AI218" s="2691" t="s">
        <v>1070</v>
      </c>
      <c r="AJ218" s="2753"/>
      <c r="AK218" s="2754" t="s">
        <v>1113</v>
      </c>
      <c r="AL218" s="2745">
        <v>67641700</v>
      </c>
      <c r="AM218" s="2745"/>
      <c r="AN218" s="2745" t="s">
        <v>1088</v>
      </c>
      <c r="AO218" s="2745"/>
      <c r="AP218" s="2747" t="s">
        <v>1515</v>
      </c>
      <c r="AQ218" s="2745" t="s">
        <v>1074</v>
      </c>
      <c r="AR218" s="2745"/>
      <c r="AS218" s="2745"/>
      <c r="AT218" s="2745"/>
      <c r="AU218" s="2745"/>
      <c r="AV218" s="2745"/>
      <c r="AW218" s="2745"/>
      <c r="AX218" s="2745"/>
      <c r="AY218" s="2769"/>
      <c r="AZ218" s="2745" t="s">
        <v>2635</v>
      </c>
      <c r="BA218" s="2745"/>
      <c r="BB218" s="2769"/>
      <c r="BC218" s="2745"/>
      <c r="BD218" s="2770"/>
      <c r="BE218" s="2745"/>
      <c r="BF218" s="2788"/>
      <c r="BG218" s="2790">
        <v>38565</v>
      </c>
      <c r="BH218" s="2745"/>
      <c r="BI218" s="2688" t="s">
        <v>2140</v>
      </c>
      <c r="BJ218" s="2789">
        <v>38565</v>
      </c>
      <c r="BK218" s="2789"/>
      <c r="BL218" s="2688"/>
      <c r="BM218" s="2745" t="s">
        <v>888</v>
      </c>
      <c r="BN218" s="2745" t="s">
        <v>1148</v>
      </c>
      <c r="BO218" s="2745"/>
      <c r="BP218" s="2745"/>
      <c r="BQ218" s="2745" t="e">
        <v>#DIV/0!</v>
      </c>
      <c r="BR218" s="2745" t="e">
        <v>#DIV/0!</v>
      </c>
      <c r="BS218" s="2504"/>
      <c r="BT218" s="2504"/>
      <c r="BU218" s="2504"/>
    </row>
    <row r="219" s="2505" customFormat="1" ht="12" hidden="1" spans="1:73">
      <c r="A219" s="2688" t="s">
        <v>2636</v>
      </c>
      <c r="B219" s="2688" t="s">
        <v>2637</v>
      </c>
      <c r="C219" s="2689" t="s">
        <v>2638</v>
      </c>
      <c r="D219" s="2689" t="s">
        <v>2639</v>
      </c>
      <c r="E219" s="2691" t="s">
        <v>1060</v>
      </c>
      <c r="F219" s="2691" t="s">
        <v>2640</v>
      </c>
      <c r="G219" s="2688"/>
      <c r="H219" s="2688" t="s">
        <v>1084</v>
      </c>
      <c r="I219" s="2691" t="s">
        <v>1134</v>
      </c>
      <c r="J219" s="2688" t="s">
        <v>2536</v>
      </c>
      <c r="K219" s="2691"/>
      <c r="L219" s="2688">
        <v>65.3</v>
      </c>
      <c r="M219" s="2688">
        <v>4</v>
      </c>
      <c r="N219" s="2691" t="s">
        <v>1064</v>
      </c>
      <c r="O219" s="2688" t="s">
        <v>1114</v>
      </c>
      <c r="P219" s="2688" t="s">
        <v>1065</v>
      </c>
      <c r="Q219" s="2712">
        <v>450000</v>
      </c>
      <c r="R219" s="2688">
        <v>6891</v>
      </c>
      <c r="S219" s="2722">
        <v>39.52</v>
      </c>
      <c r="T219" s="2723">
        <v>395200</v>
      </c>
      <c r="U219" s="2688">
        <v>6053</v>
      </c>
      <c r="V219" s="2724">
        <v>0.05</v>
      </c>
      <c r="W219" s="2722">
        <v>37.54</v>
      </c>
      <c r="X219" s="2725">
        <v>375400</v>
      </c>
      <c r="Y219" s="2745">
        <v>2005</v>
      </c>
      <c r="Z219" s="2745">
        <v>9</v>
      </c>
      <c r="AA219" s="2745">
        <v>7</v>
      </c>
      <c r="AB219" s="2688">
        <v>1185</v>
      </c>
      <c r="AC219" s="2688" t="s">
        <v>1605</v>
      </c>
      <c r="AD219" s="2688"/>
      <c r="AE219" s="2688" t="s">
        <v>175</v>
      </c>
      <c r="AF219" s="2691" t="s">
        <v>1068</v>
      </c>
      <c r="AG219" s="2747" t="s">
        <v>1069</v>
      </c>
      <c r="AH219" s="2688"/>
      <c r="AI219" s="2747" t="s">
        <v>2138</v>
      </c>
      <c r="AJ219" s="2753"/>
      <c r="AK219" s="2755">
        <v>9</v>
      </c>
      <c r="AL219" s="2688">
        <v>67641700</v>
      </c>
      <c r="AM219" s="2745"/>
      <c r="AN219" s="2747" t="s">
        <v>1088</v>
      </c>
      <c r="AO219" s="2688"/>
      <c r="AP219" s="2747" t="s">
        <v>1515</v>
      </c>
      <c r="AQ219" s="2688" t="s">
        <v>1089</v>
      </c>
      <c r="AR219" s="2745"/>
      <c r="AS219" s="2745"/>
      <c r="AT219" s="2745"/>
      <c r="AU219" s="2745"/>
      <c r="AV219" s="2745"/>
      <c r="AW219" s="2745" t="s">
        <v>1075</v>
      </c>
      <c r="AX219" s="2745"/>
      <c r="AY219" s="2769"/>
      <c r="AZ219" s="2688" t="s">
        <v>2641</v>
      </c>
      <c r="BA219" s="2774"/>
      <c r="BB219" s="2775"/>
      <c r="BC219" s="2774"/>
      <c r="BD219" s="2776"/>
      <c r="BE219" s="2745"/>
      <c r="BF219" s="2788"/>
      <c r="BG219" s="2798"/>
      <c r="BH219" s="2789" t="s">
        <v>1174</v>
      </c>
      <c r="BI219" s="2688" t="s">
        <v>2140</v>
      </c>
      <c r="BJ219" s="2789">
        <v>38569</v>
      </c>
      <c r="BK219" s="2789"/>
      <c r="BL219" s="2688" t="s">
        <v>1092</v>
      </c>
      <c r="BM219" s="2745" t="s">
        <v>888</v>
      </c>
      <c r="BN219" s="2688" t="s">
        <v>1077</v>
      </c>
      <c r="BO219" s="2745" t="s">
        <v>1128</v>
      </c>
      <c r="BP219" s="2745"/>
      <c r="BQ219" s="2745" t="e">
        <v>#VALUE!</v>
      </c>
      <c r="BR219" s="2745" t="e">
        <v>#VALUE!</v>
      </c>
      <c r="BS219" s="2504"/>
      <c r="BT219" s="2504"/>
      <c r="BU219" s="2504"/>
    </row>
    <row r="220" s="2505" customFormat="1" ht="12" hidden="1" spans="1:73">
      <c r="A220" s="2688" t="s">
        <v>2642</v>
      </c>
      <c r="B220" s="2688" t="s">
        <v>2643</v>
      </c>
      <c r="C220" s="2689" t="s">
        <v>2644</v>
      </c>
      <c r="D220" s="2689" t="s">
        <v>2645</v>
      </c>
      <c r="E220" s="2688" t="s">
        <v>1060</v>
      </c>
      <c r="F220" s="2690" t="s">
        <v>2646</v>
      </c>
      <c r="G220" s="2688"/>
      <c r="H220" s="2688"/>
      <c r="I220" s="2688" t="s">
        <v>1222</v>
      </c>
      <c r="J220" s="2689" t="s">
        <v>2647</v>
      </c>
      <c r="K220" s="2688"/>
      <c r="L220" s="2702">
        <v>70.3</v>
      </c>
      <c r="M220" s="2688">
        <v>6</v>
      </c>
      <c r="N220" s="2688" t="s">
        <v>1123</v>
      </c>
      <c r="O220" s="2688"/>
      <c r="P220" s="2688" t="s">
        <v>1065</v>
      </c>
      <c r="Q220" s="2712">
        <v>443000</v>
      </c>
      <c r="R220" s="2688">
        <v>6302</v>
      </c>
      <c r="S220" s="2722">
        <v>40.07</v>
      </c>
      <c r="T220" s="2723">
        <v>400700</v>
      </c>
      <c r="U220" s="2688">
        <v>5700</v>
      </c>
      <c r="V220" s="2724">
        <v>0.05</v>
      </c>
      <c r="W220" s="2722">
        <v>38.06</v>
      </c>
      <c r="X220" s="2725">
        <v>380600</v>
      </c>
      <c r="Y220" s="2745">
        <v>2005</v>
      </c>
      <c r="Z220" s="2745">
        <v>8</v>
      </c>
      <c r="AA220" s="2745">
        <v>22</v>
      </c>
      <c r="AB220" s="2688">
        <v>1200</v>
      </c>
      <c r="AC220" s="2688" t="s">
        <v>1605</v>
      </c>
      <c r="AD220" s="2688"/>
      <c r="AE220" s="2688" t="s">
        <v>1067</v>
      </c>
      <c r="AF220" s="2688" t="s">
        <v>1068</v>
      </c>
      <c r="AG220" s="2688" t="s">
        <v>1069</v>
      </c>
      <c r="AH220" s="2688"/>
      <c r="AI220" s="2688" t="s">
        <v>1070</v>
      </c>
      <c r="AJ220" s="2753"/>
      <c r="AK220" s="2754" t="s">
        <v>1113</v>
      </c>
      <c r="AL220" s="2745">
        <v>67641700</v>
      </c>
      <c r="AM220" s="2745"/>
      <c r="AN220" s="2745" t="s">
        <v>1182</v>
      </c>
      <c r="AO220" s="2745"/>
      <c r="AP220" s="2745" t="s">
        <v>1515</v>
      </c>
      <c r="AQ220" s="2745" t="s">
        <v>1089</v>
      </c>
      <c r="AR220" s="2745"/>
      <c r="AS220" s="2745"/>
      <c r="AT220" s="2745"/>
      <c r="AU220" s="2745"/>
      <c r="AV220" s="2745"/>
      <c r="AW220" s="2691" t="s">
        <v>1075</v>
      </c>
      <c r="AX220" s="2745"/>
      <c r="AY220" s="2769"/>
      <c r="AZ220" s="2745" t="s">
        <v>2648</v>
      </c>
      <c r="BA220" s="2745"/>
      <c r="BB220" s="2769"/>
      <c r="BC220" s="2745"/>
      <c r="BD220" s="2770"/>
      <c r="BE220" s="2745"/>
      <c r="BF220" s="2788"/>
      <c r="BG220" s="2790">
        <v>38574</v>
      </c>
      <c r="BH220" s="2745"/>
      <c r="BI220" s="2691" t="s">
        <v>2140</v>
      </c>
      <c r="BJ220" s="2789">
        <v>38575</v>
      </c>
      <c r="BK220" s="2789"/>
      <c r="BL220" s="2688"/>
      <c r="BM220" s="2745" t="s">
        <v>888</v>
      </c>
      <c r="BN220" s="2745" t="s">
        <v>1077</v>
      </c>
      <c r="BO220" s="2745" t="s">
        <v>1128</v>
      </c>
      <c r="BP220" s="2745"/>
      <c r="BQ220" s="2745" t="e">
        <v>#DIV/0!</v>
      </c>
      <c r="BR220" s="2745" t="e">
        <v>#DIV/0!</v>
      </c>
      <c r="BS220" s="2504"/>
      <c r="BT220" s="2504"/>
      <c r="BU220" s="2504"/>
    </row>
    <row r="221" s="2505" customFormat="1" ht="12" hidden="1" spans="1:73">
      <c r="A221" s="2691" t="s">
        <v>2649</v>
      </c>
      <c r="B221" s="2688" t="s">
        <v>2650</v>
      </c>
      <c r="C221" s="2689" t="s">
        <v>2651</v>
      </c>
      <c r="D221" s="2691">
        <v>13601301450</v>
      </c>
      <c r="E221" s="2688" t="s">
        <v>1060</v>
      </c>
      <c r="F221" s="2688" t="s">
        <v>1274</v>
      </c>
      <c r="G221" s="2688"/>
      <c r="H221" s="2688" t="s">
        <v>1084</v>
      </c>
      <c r="I221" s="2688" t="s">
        <v>1591</v>
      </c>
      <c r="J221" s="2688" t="s">
        <v>2652</v>
      </c>
      <c r="K221" s="2688" t="s">
        <v>2650</v>
      </c>
      <c r="L221" s="2702">
        <v>85.18</v>
      </c>
      <c r="M221" s="2688">
        <v>4</v>
      </c>
      <c r="N221" s="2691" t="s">
        <v>1064</v>
      </c>
      <c r="O221" s="2688"/>
      <c r="P221" s="2688" t="s">
        <v>1065</v>
      </c>
      <c r="Q221" s="2726">
        <v>500000</v>
      </c>
      <c r="R221" s="2688">
        <v>5870</v>
      </c>
      <c r="S221" s="2722">
        <v>45.31</v>
      </c>
      <c r="T221" s="2723">
        <v>453100</v>
      </c>
      <c r="U221" s="2726">
        <v>5320</v>
      </c>
      <c r="V221" s="2724">
        <v>0.05</v>
      </c>
      <c r="W221" s="2722">
        <v>43.04</v>
      </c>
      <c r="X221" s="2725">
        <v>430400</v>
      </c>
      <c r="Y221" s="2745">
        <v>2005</v>
      </c>
      <c r="Z221" s="2745">
        <v>8</v>
      </c>
      <c r="AA221" s="2688">
        <v>16</v>
      </c>
      <c r="AB221" s="2688">
        <v>1355</v>
      </c>
      <c r="AC221" s="2688" t="s">
        <v>1605</v>
      </c>
      <c r="AD221" s="2688"/>
      <c r="AE221" s="2688" t="s">
        <v>1342</v>
      </c>
      <c r="AF221" s="2688" t="s">
        <v>1068</v>
      </c>
      <c r="AG221" s="2747" t="s">
        <v>1069</v>
      </c>
      <c r="AH221" s="2688"/>
      <c r="AI221" s="2688" t="s">
        <v>1070</v>
      </c>
      <c r="AJ221" s="2760"/>
      <c r="AK221" s="2755" t="s">
        <v>1113</v>
      </c>
      <c r="AL221" s="2688">
        <v>67641700</v>
      </c>
      <c r="AM221" s="2688"/>
      <c r="AN221" s="2747" t="s">
        <v>1072</v>
      </c>
      <c r="AO221" s="2688"/>
      <c r="AP221" s="2688" t="s">
        <v>1515</v>
      </c>
      <c r="AQ221" s="2688" t="s">
        <v>1074</v>
      </c>
      <c r="AR221" s="2688"/>
      <c r="AS221" s="2688"/>
      <c r="AT221" s="2688"/>
      <c r="AU221" s="2688"/>
      <c r="AV221" s="2688" t="s">
        <v>1114</v>
      </c>
      <c r="AW221" s="2688" t="s">
        <v>1343</v>
      </c>
      <c r="AX221" s="2688"/>
      <c r="AY221" s="2689"/>
      <c r="AZ221" s="2688" t="s">
        <v>2653</v>
      </c>
      <c r="BA221" s="2688"/>
      <c r="BB221" s="2689"/>
      <c r="BC221" s="2688"/>
      <c r="BD221" s="2771"/>
      <c r="BE221" s="2688"/>
      <c r="BF221" s="2793"/>
      <c r="BG221" s="2760"/>
      <c r="BH221" s="2688"/>
      <c r="BI221" s="2747" t="s">
        <v>2140</v>
      </c>
      <c r="BJ221" s="2753">
        <v>38575</v>
      </c>
      <c r="BK221" s="2794"/>
      <c r="BL221" s="2688"/>
      <c r="BM221" s="2745" t="s">
        <v>888</v>
      </c>
      <c r="BN221" s="2745" t="s">
        <v>1077</v>
      </c>
      <c r="BO221" s="2745" t="s">
        <v>1721</v>
      </c>
      <c r="BP221" s="2745"/>
      <c r="BQ221" s="2745" t="e">
        <v>#DIV/0!</v>
      </c>
      <c r="BR221" s="2745" t="e">
        <v>#DIV/0!</v>
      </c>
      <c r="BS221" s="2504"/>
      <c r="BT221" s="2504"/>
      <c r="BU221" s="2504"/>
    </row>
    <row r="222" s="2504" customFormat="1" ht="12" hidden="1" spans="1:70">
      <c r="A222" s="2688" t="s">
        <v>2654</v>
      </c>
      <c r="B222" s="2688" t="s">
        <v>2655</v>
      </c>
      <c r="C222" s="2689" t="s">
        <v>2656</v>
      </c>
      <c r="D222" s="2691">
        <v>13683550983</v>
      </c>
      <c r="E222" s="2688" t="s">
        <v>1060</v>
      </c>
      <c r="F222" s="2688" t="s">
        <v>1400</v>
      </c>
      <c r="G222" s="2688"/>
      <c r="H222" s="2697" t="s">
        <v>1084</v>
      </c>
      <c r="I222" s="2691" t="s">
        <v>1099</v>
      </c>
      <c r="J222" s="2697" t="s">
        <v>2657</v>
      </c>
      <c r="K222" s="2688" t="s">
        <v>2655</v>
      </c>
      <c r="L222" s="2702">
        <v>133.7</v>
      </c>
      <c r="M222" s="2810" t="s">
        <v>2658</v>
      </c>
      <c r="N222" s="2688" t="s">
        <v>2659</v>
      </c>
      <c r="O222" s="2688" t="s">
        <v>1114</v>
      </c>
      <c r="P222" s="2688" t="s">
        <v>1065</v>
      </c>
      <c r="Q222" s="2726">
        <v>800000</v>
      </c>
      <c r="R222" s="2688">
        <v>5984</v>
      </c>
      <c r="S222" s="2722">
        <v>78.7</v>
      </c>
      <c r="T222" s="2723">
        <v>787000</v>
      </c>
      <c r="U222" s="2726">
        <v>5887</v>
      </c>
      <c r="V222" s="2724">
        <v>0.05</v>
      </c>
      <c r="W222" s="2722">
        <v>74.76</v>
      </c>
      <c r="X222" s="2725">
        <v>747600</v>
      </c>
      <c r="Y222" s="2688">
        <v>2005</v>
      </c>
      <c r="Z222" s="2688">
        <v>9</v>
      </c>
      <c r="AA222" s="2688">
        <v>1</v>
      </c>
      <c r="AB222" s="2688">
        <v>1500</v>
      </c>
      <c r="AC222" s="2688" t="s">
        <v>1605</v>
      </c>
      <c r="AD222" s="2688"/>
      <c r="AE222" s="2745" t="s">
        <v>1342</v>
      </c>
      <c r="AF222" s="2688" t="s">
        <v>1068</v>
      </c>
      <c r="AG222" s="2688" t="s">
        <v>1069</v>
      </c>
      <c r="AH222" s="2688" t="s">
        <v>1114</v>
      </c>
      <c r="AI222" s="2747" t="s">
        <v>2138</v>
      </c>
      <c r="AJ222" s="2753"/>
      <c r="AK222" s="2688" t="s">
        <v>1124</v>
      </c>
      <c r="AL222" s="2688">
        <v>67641700</v>
      </c>
      <c r="AM222" s="2688"/>
      <c r="AN222" s="2688" t="s">
        <v>1087</v>
      </c>
      <c r="AO222" s="2688"/>
      <c r="AP222" s="2747" t="s">
        <v>1515</v>
      </c>
      <c r="AQ222" s="2745" t="s">
        <v>1089</v>
      </c>
      <c r="AR222" s="2688"/>
      <c r="AS222" s="2688"/>
      <c r="AT222" s="2688"/>
      <c r="AU222" s="2688"/>
      <c r="AV222" s="2688" t="s">
        <v>1114</v>
      </c>
      <c r="AW222" s="2688" t="s">
        <v>1075</v>
      </c>
      <c r="AX222" s="2688"/>
      <c r="AY222" s="2747"/>
      <c r="AZ222" s="2688" t="s">
        <v>2660</v>
      </c>
      <c r="BA222" s="2688"/>
      <c r="BB222" s="2688"/>
      <c r="BC222" s="2688"/>
      <c r="BD222" s="2688"/>
      <c r="BE222" s="2688"/>
      <c r="BF222" s="2688"/>
      <c r="BG222" s="2760">
        <v>38574</v>
      </c>
      <c r="BH222" s="2688" t="s">
        <v>1174</v>
      </c>
      <c r="BI222" s="2688" t="s">
        <v>2140</v>
      </c>
      <c r="BJ222" s="2753">
        <v>38579</v>
      </c>
      <c r="BK222" s="2753"/>
      <c r="BL222" s="2688" t="s">
        <v>1092</v>
      </c>
      <c r="BM222" s="2688" t="s">
        <v>888</v>
      </c>
      <c r="BN222" s="2688" t="s">
        <v>1077</v>
      </c>
      <c r="BO222" s="2688" t="s">
        <v>1128</v>
      </c>
      <c r="BP222" s="2688"/>
      <c r="BQ222" s="2688" t="e">
        <v>#VALUE!</v>
      </c>
      <c r="BR222" s="2688" t="e">
        <v>#VALUE!</v>
      </c>
    </row>
    <row r="223" s="2504" customFormat="1" ht="12" hidden="1" spans="1:70">
      <c r="A223" s="2688" t="s">
        <v>2661</v>
      </c>
      <c r="B223" s="2688" t="s">
        <v>2662</v>
      </c>
      <c r="C223" s="2689" t="s">
        <v>2663</v>
      </c>
      <c r="D223" s="2691">
        <v>13391731409</v>
      </c>
      <c r="E223" s="2688" t="s">
        <v>1060</v>
      </c>
      <c r="F223" s="2688" t="s">
        <v>2664</v>
      </c>
      <c r="G223" s="2688" t="s">
        <v>2665</v>
      </c>
      <c r="H223" s="2697" t="s">
        <v>1084</v>
      </c>
      <c r="I223" s="2691"/>
      <c r="J223" s="2697" t="s">
        <v>2666</v>
      </c>
      <c r="K223" s="2688"/>
      <c r="L223" s="2702">
        <v>68.89</v>
      </c>
      <c r="M223" s="2810" t="s">
        <v>743</v>
      </c>
      <c r="N223" s="2688" t="s">
        <v>1259</v>
      </c>
      <c r="O223" s="2688" t="s">
        <v>1114</v>
      </c>
      <c r="P223" s="2688" t="s">
        <v>1065</v>
      </c>
      <c r="Q223" s="2726">
        <v>400000</v>
      </c>
      <c r="R223" s="2688">
        <v>5806</v>
      </c>
      <c r="S223" s="2722">
        <v>40.06</v>
      </c>
      <c r="T223" s="2723">
        <v>400600</v>
      </c>
      <c r="U223" s="2726">
        <v>5816</v>
      </c>
      <c r="V223" s="2724">
        <v>0.05</v>
      </c>
      <c r="W223" s="2722">
        <v>38.05</v>
      </c>
      <c r="X223" s="2725">
        <v>380500</v>
      </c>
      <c r="Y223" s="2688">
        <v>2005</v>
      </c>
      <c r="Z223" s="2688">
        <v>8</v>
      </c>
      <c r="AA223" s="2688">
        <v>30</v>
      </c>
      <c r="AB223" s="2688">
        <v>1200</v>
      </c>
      <c r="AC223" s="2688" t="s">
        <v>1605</v>
      </c>
      <c r="AD223" s="2688"/>
      <c r="AE223" s="2745" t="s">
        <v>1342</v>
      </c>
      <c r="AF223" s="2688" t="s">
        <v>1068</v>
      </c>
      <c r="AG223" s="2688" t="s">
        <v>1069</v>
      </c>
      <c r="AH223" s="2688" t="s">
        <v>1114</v>
      </c>
      <c r="AI223" s="2747" t="s">
        <v>1070</v>
      </c>
      <c r="AJ223" s="2753"/>
      <c r="AK223" s="2688" t="s">
        <v>1113</v>
      </c>
      <c r="AL223" s="2688">
        <v>67641700</v>
      </c>
      <c r="AM223" s="2688"/>
      <c r="AN223" s="2688" t="s">
        <v>1071</v>
      </c>
      <c r="AO223" s="2688"/>
      <c r="AP223" s="2747" t="s">
        <v>1515</v>
      </c>
      <c r="AQ223" s="2688" t="s">
        <v>1089</v>
      </c>
      <c r="AR223" s="2688"/>
      <c r="AS223" s="2688"/>
      <c r="AT223" s="2688"/>
      <c r="AU223" s="2688"/>
      <c r="AV223" s="2688" t="s">
        <v>1114</v>
      </c>
      <c r="AW223" s="2688" t="s">
        <v>1075</v>
      </c>
      <c r="AX223" s="2688"/>
      <c r="AY223" s="2747"/>
      <c r="AZ223" s="2688" t="s">
        <v>2667</v>
      </c>
      <c r="BA223" s="2688"/>
      <c r="BB223" s="2688"/>
      <c r="BC223" s="2688"/>
      <c r="BD223" s="2688"/>
      <c r="BE223" s="2688"/>
      <c r="BF223" s="2688"/>
      <c r="BG223" s="2760">
        <v>38576</v>
      </c>
      <c r="BH223" s="2688" t="s">
        <v>1174</v>
      </c>
      <c r="BI223" s="2688" t="s">
        <v>2140</v>
      </c>
      <c r="BJ223" s="2753">
        <v>38580</v>
      </c>
      <c r="BK223" s="2753"/>
      <c r="BL223" s="2688" t="s">
        <v>1092</v>
      </c>
      <c r="BM223" s="2688" t="s">
        <v>888</v>
      </c>
      <c r="BN223" s="2688" t="s">
        <v>1148</v>
      </c>
      <c r="BO223" s="2688" t="s">
        <v>1709</v>
      </c>
      <c r="BP223" s="2688"/>
      <c r="BQ223" s="2688" t="e">
        <v>#VALUE!</v>
      </c>
      <c r="BR223" s="2688" t="e">
        <v>#VALUE!</v>
      </c>
    </row>
    <row r="224" s="2504" customFormat="1" ht="12" hidden="1" spans="1:70">
      <c r="A224" s="2688" t="s">
        <v>2668</v>
      </c>
      <c r="B224" s="2688" t="s">
        <v>2669</v>
      </c>
      <c r="C224" s="2689" t="s">
        <v>2670</v>
      </c>
      <c r="D224" s="2691" t="s">
        <v>2671</v>
      </c>
      <c r="E224" s="2688" t="s">
        <v>1060</v>
      </c>
      <c r="F224" s="2688" t="s">
        <v>2672</v>
      </c>
      <c r="G224" s="2688"/>
      <c r="H224" s="2697" t="s">
        <v>1180</v>
      </c>
      <c r="I224" s="2691"/>
      <c r="J224" s="2697" t="s">
        <v>2673</v>
      </c>
      <c r="K224" s="2688" t="s">
        <v>2669</v>
      </c>
      <c r="L224" s="2702">
        <v>96.51</v>
      </c>
      <c r="M224" s="2810" t="s">
        <v>2674</v>
      </c>
      <c r="N224" s="2688" t="s">
        <v>1290</v>
      </c>
      <c r="O224" s="2688" t="s">
        <v>1114</v>
      </c>
      <c r="P224" s="2688" t="s">
        <v>1065</v>
      </c>
      <c r="Q224" s="2726">
        <v>760000</v>
      </c>
      <c r="R224" s="2688">
        <v>7875</v>
      </c>
      <c r="S224" s="2722">
        <v>66.2</v>
      </c>
      <c r="T224" s="2723">
        <v>662000</v>
      </c>
      <c r="U224" s="2726">
        <v>6860</v>
      </c>
      <c r="V224" s="2724">
        <v>0.05</v>
      </c>
      <c r="W224" s="2722">
        <v>62.89</v>
      </c>
      <c r="X224" s="2725">
        <v>628900</v>
      </c>
      <c r="Y224" s="2688">
        <v>2005</v>
      </c>
      <c r="Z224" s="2688">
        <v>8</v>
      </c>
      <c r="AA224" s="2688">
        <v>24</v>
      </c>
      <c r="AB224" s="2688">
        <v>1500</v>
      </c>
      <c r="AC224" s="2688" t="s">
        <v>1605</v>
      </c>
      <c r="AD224" s="2688"/>
      <c r="AE224" s="2744" t="s">
        <v>1067</v>
      </c>
      <c r="AF224" s="2688" t="s">
        <v>1068</v>
      </c>
      <c r="AG224" s="2688" t="s">
        <v>1069</v>
      </c>
      <c r="AH224" s="2688" t="s">
        <v>1114</v>
      </c>
      <c r="AI224" s="2688" t="s">
        <v>1070</v>
      </c>
      <c r="AJ224" s="2753"/>
      <c r="AK224" s="2688" t="s">
        <v>1113</v>
      </c>
      <c r="AL224" s="2688">
        <v>67641700</v>
      </c>
      <c r="AM224" s="2688"/>
      <c r="AN224" s="2688" t="s">
        <v>1182</v>
      </c>
      <c r="AO224" s="2688"/>
      <c r="AP224" s="2688" t="s">
        <v>1515</v>
      </c>
      <c r="AQ224" s="2688" t="s">
        <v>1089</v>
      </c>
      <c r="AR224" s="2688"/>
      <c r="AS224" s="2688"/>
      <c r="AT224" s="2688"/>
      <c r="AU224" s="2688"/>
      <c r="AV224" s="2688" t="s">
        <v>1114</v>
      </c>
      <c r="AW224" s="2688" t="s">
        <v>1250</v>
      </c>
      <c r="AX224" s="2688"/>
      <c r="AY224" s="2747"/>
      <c r="AZ224" s="2688" t="s">
        <v>2675</v>
      </c>
      <c r="BA224" s="2688"/>
      <c r="BB224" s="2688"/>
      <c r="BC224" s="2688"/>
      <c r="BD224" s="2688"/>
      <c r="BE224" s="2688"/>
      <c r="BF224" s="2688"/>
      <c r="BG224" s="2760"/>
      <c r="BH224" s="2688" t="s">
        <v>1174</v>
      </c>
      <c r="BI224" s="2688" t="s">
        <v>2140</v>
      </c>
      <c r="BJ224" s="2753">
        <v>38581</v>
      </c>
      <c r="BK224" s="2753"/>
      <c r="BL224" s="2688" t="s">
        <v>1092</v>
      </c>
      <c r="BM224" s="2688" t="s">
        <v>888</v>
      </c>
      <c r="BN224" s="2688" t="s">
        <v>1148</v>
      </c>
      <c r="BO224" s="2688" t="s">
        <v>1128</v>
      </c>
      <c r="BP224" s="2688"/>
      <c r="BQ224" s="2688" t="e">
        <v>#VALUE!</v>
      </c>
      <c r="BR224" s="2688" t="e">
        <v>#VALUE!</v>
      </c>
    </row>
    <row r="225" s="2506" customFormat="1" ht="12" hidden="1" spans="1:73">
      <c r="A225" s="2688" t="s">
        <v>2676</v>
      </c>
      <c r="B225" s="2685" t="s">
        <v>2677</v>
      </c>
      <c r="C225" s="2686" t="s">
        <v>2678</v>
      </c>
      <c r="D225" s="2686" t="s">
        <v>2679</v>
      </c>
      <c r="E225" s="2685" t="s">
        <v>1060</v>
      </c>
      <c r="F225" s="2687" t="s">
        <v>2680</v>
      </c>
      <c r="G225" s="2685"/>
      <c r="H225" s="2685" t="s">
        <v>2681</v>
      </c>
      <c r="I225" s="2685"/>
      <c r="J225" s="2686" t="s">
        <v>2682</v>
      </c>
      <c r="K225" s="2685" t="s">
        <v>2677</v>
      </c>
      <c r="L225" s="2704">
        <v>69.8</v>
      </c>
      <c r="M225" s="2685">
        <v>5</v>
      </c>
      <c r="N225" s="2685" t="s">
        <v>1064</v>
      </c>
      <c r="O225" s="2685"/>
      <c r="P225" s="2685" t="s">
        <v>1065</v>
      </c>
      <c r="Q225" s="2716">
        <v>530000</v>
      </c>
      <c r="R225" s="2685">
        <v>7593</v>
      </c>
      <c r="S225" s="2717">
        <v>42.57</v>
      </c>
      <c r="T225" s="2718">
        <v>425700</v>
      </c>
      <c r="U225" s="2685">
        <v>6100</v>
      </c>
      <c r="V225" s="2719">
        <v>0.05</v>
      </c>
      <c r="W225" s="2717">
        <v>40.44</v>
      </c>
      <c r="X225" s="2720">
        <v>404400</v>
      </c>
      <c r="Y225" s="2744">
        <v>2005</v>
      </c>
      <c r="Z225" s="2744">
        <v>8</v>
      </c>
      <c r="AA225" s="2744">
        <v>22</v>
      </c>
      <c r="AB225" s="2685">
        <v>1275</v>
      </c>
      <c r="AC225" s="2685" t="s">
        <v>1605</v>
      </c>
      <c r="AD225" s="2685"/>
      <c r="AE225" s="2744" t="s">
        <v>1067</v>
      </c>
      <c r="AF225" s="2685" t="s">
        <v>1068</v>
      </c>
      <c r="AG225" s="2685" t="s">
        <v>1069</v>
      </c>
      <c r="AH225" s="2685"/>
      <c r="AI225" s="2688" t="s">
        <v>1070</v>
      </c>
      <c r="AJ225" s="2751"/>
      <c r="AK225" s="2756" t="s">
        <v>1113</v>
      </c>
      <c r="AL225" s="2744">
        <v>67641700</v>
      </c>
      <c r="AM225" s="2744"/>
      <c r="AN225" s="2744" t="s">
        <v>1182</v>
      </c>
      <c r="AO225" s="2744"/>
      <c r="AP225" s="2688" t="s">
        <v>1515</v>
      </c>
      <c r="AQ225" s="2744" t="s">
        <v>1074</v>
      </c>
      <c r="AR225" s="2744"/>
      <c r="AS225" s="2744"/>
      <c r="AT225" s="2744"/>
      <c r="AU225" s="2744"/>
      <c r="AV225" s="2744"/>
      <c r="AW225" s="2744"/>
      <c r="AX225" s="2744"/>
      <c r="AY225" s="2767"/>
      <c r="AZ225" s="2744" t="s">
        <v>2683</v>
      </c>
      <c r="BA225" s="2744"/>
      <c r="BB225" s="2767"/>
      <c r="BC225" s="2744"/>
      <c r="BD225" s="2768"/>
      <c r="BE225" s="2744"/>
      <c r="BF225" s="2784"/>
      <c r="BG225" s="2785"/>
      <c r="BH225" s="2744"/>
      <c r="BI225" s="2744" t="s">
        <v>2140</v>
      </c>
      <c r="BJ225" s="2787">
        <v>38581</v>
      </c>
      <c r="BK225" s="2787"/>
      <c r="BL225" s="2685"/>
      <c r="BM225" s="2744" t="s">
        <v>888</v>
      </c>
      <c r="BN225" s="2744" t="s">
        <v>1148</v>
      </c>
      <c r="BO225" s="2744" t="s">
        <v>1128</v>
      </c>
      <c r="BP225" s="2744"/>
      <c r="BQ225" s="2744" t="e">
        <v>#DIV/0!</v>
      </c>
      <c r="BR225" s="2744" t="e">
        <v>#DIV/0!</v>
      </c>
      <c r="BS225" s="2504"/>
      <c r="BT225" s="2504"/>
      <c r="BU225" s="2504"/>
    </row>
    <row r="226" s="2504" customFormat="1" ht="12" hidden="1" spans="1:70">
      <c r="A226" s="2688" t="s">
        <v>2684</v>
      </c>
      <c r="B226" s="2688" t="s">
        <v>2685</v>
      </c>
      <c r="C226" s="2689" t="s">
        <v>2686</v>
      </c>
      <c r="D226" s="2689" t="s">
        <v>2687</v>
      </c>
      <c r="E226" s="2691" t="s">
        <v>1060</v>
      </c>
      <c r="F226" s="2691" t="s">
        <v>1548</v>
      </c>
      <c r="G226" s="2688"/>
      <c r="H226" s="2691" t="s">
        <v>2688</v>
      </c>
      <c r="I226" s="2691" t="s">
        <v>1143</v>
      </c>
      <c r="J226" s="2688" t="s">
        <v>1463</v>
      </c>
      <c r="K226" s="2688" t="s">
        <v>2685</v>
      </c>
      <c r="L226" s="2688">
        <v>75.18</v>
      </c>
      <c r="M226" s="2688">
        <v>3</v>
      </c>
      <c r="N226" s="2688" t="s">
        <v>1123</v>
      </c>
      <c r="O226" s="2688"/>
      <c r="P226" s="2688" t="s">
        <v>1065</v>
      </c>
      <c r="Q226" s="2712">
        <v>528000</v>
      </c>
      <c r="R226" s="2688">
        <v>7023</v>
      </c>
      <c r="S226" s="2722">
        <v>43</v>
      </c>
      <c r="T226" s="2723">
        <v>430000</v>
      </c>
      <c r="U226" s="2688">
        <v>5720</v>
      </c>
      <c r="V226" s="2724">
        <v>0.05</v>
      </c>
      <c r="W226" s="2722">
        <v>40.85</v>
      </c>
      <c r="X226" s="2725">
        <v>408500</v>
      </c>
      <c r="Y226" s="2745">
        <v>2005</v>
      </c>
      <c r="Z226" s="2745">
        <v>9</v>
      </c>
      <c r="AA226" s="2745">
        <v>12</v>
      </c>
      <c r="AB226" s="2688">
        <v>1290</v>
      </c>
      <c r="AC226" s="2688" t="s">
        <v>1605</v>
      </c>
      <c r="AD226" s="2688"/>
      <c r="AE226" s="2747" t="s">
        <v>175</v>
      </c>
      <c r="AF226" s="2691" t="s">
        <v>1068</v>
      </c>
      <c r="AG226" s="2747" t="s">
        <v>1069</v>
      </c>
      <c r="AH226" s="2688"/>
      <c r="AI226" s="2747" t="s">
        <v>2138</v>
      </c>
      <c r="AJ226" s="2753"/>
      <c r="AK226" s="2755">
        <v>9</v>
      </c>
      <c r="AL226" s="2745">
        <v>67641700</v>
      </c>
      <c r="AM226" s="2745"/>
      <c r="AN226" s="2747" t="s">
        <v>1072</v>
      </c>
      <c r="AO226" s="2688"/>
      <c r="AP226" s="2747" t="s">
        <v>1515</v>
      </c>
      <c r="AQ226" s="2745" t="s">
        <v>1607</v>
      </c>
      <c r="AR226" s="2745"/>
      <c r="AS226" s="2745"/>
      <c r="AT226" s="2745"/>
      <c r="AU226" s="2745"/>
      <c r="AV226" s="2745" t="s">
        <v>1114</v>
      </c>
      <c r="AW226" s="2745" t="s">
        <v>1075</v>
      </c>
      <c r="AX226" s="2745"/>
      <c r="AY226" s="2769"/>
      <c r="AZ226" s="2688" t="s">
        <v>2689</v>
      </c>
      <c r="BA226" s="2774"/>
      <c r="BB226" s="2775"/>
      <c r="BC226" s="2774"/>
      <c r="BD226" s="2776"/>
      <c r="BE226" s="2745"/>
      <c r="BF226" s="2788"/>
      <c r="BG226" s="2798">
        <v>38560</v>
      </c>
      <c r="BH226" s="2688" t="s">
        <v>1174</v>
      </c>
      <c r="BI226" s="2748" t="s">
        <v>1515</v>
      </c>
      <c r="BJ226" s="2789">
        <v>38582</v>
      </c>
      <c r="BK226" s="2789"/>
      <c r="BL226" s="2688" t="s">
        <v>1092</v>
      </c>
      <c r="BM226" s="2745" t="s">
        <v>1270</v>
      </c>
      <c r="BN226" s="2745" t="s">
        <v>1077</v>
      </c>
      <c r="BO226" s="2745" t="s">
        <v>1234</v>
      </c>
      <c r="BP226" s="2745"/>
      <c r="BQ226" s="2745" t="e">
        <v>#DIV/0!</v>
      </c>
      <c r="BR226" s="2745" t="e">
        <v>#DIV/0!</v>
      </c>
    </row>
    <row r="227" s="2504" customFormat="1" ht="12" hidden="1" spans="1:70">
      <c r="A227" s="2688" t="s">
        <v>2690</v>
      </c>
      <c r="B227" s="2688" t="s">
        <v>2691</v>
      </c>
      <c r="C227" s="2689" t="s">
        <v>2692</v>
      </c>
      <c r="D227" s="2689" t="s">
        <v>2693</v>
      </c>
      <c r="E227" s="2691" t="s">
        <v>1060</v>
      </c>
      <c r="F227" s="2691" t="s">
        <v>1704</v>
      </c>
      <c r="G227" s="2688"/>
      <c r="H227" s="2691" t="s">
        <v>1647</v>
      </c>
      <c r="I227" s="2691" t="s">
        <v>1222</v>
      </c>
      <c r="J227" s="2688" t="s">
        <v>1382</v>
      </c>
      <c r="K227" s="2688" t="s">
        <v>2691</v>
      </c>
      <c r="L227" s="2688">
        <v>138.82</v>
      </c>
      <c r="M227" s="2688">
        <v>2</v>
      </c>
      <c r="N227" s="2688" t="s">
        <v>1299</v>
      </c>
      <c r="O227" s="2688"/>
      <c r="P227" s="2688" t="s">
        <v>1065</v>
      </c>
      <c r="Q227" s="2712">
        <v>850000</v>
      </c>
      <c r="R227" s="2688">
        <v>6123</v>
      </c>
      <c r="S227" s="2722">
        <v>76.76</v>
      </c>
      <c r="T227" s="2723">
        <v>767600</v>
      </c>
      <c r="U227" s="2688">
        <v>5530</v>
      </c>
      <c r="V227" s="2724">
        <v>0.05</v>
      </c>
      <c r="W227" s="2722">
        <v>72.92</v>
      </c>
      <c r="X227" s="2725">
        <v>729200</v>
      </c>
      <c r="Y227" s="2745">
        <v>2005</v>
      </c>
      <c r="Z227" s="2745">
        <v>9</v>
      </c>
      <c r="AA227" s="2745">
        <v>8</v>
      </c>
      <c r="AB227" s="2688">
        <v>1500</v>
      </c>
      <c r="AC227" s="2688" t="s">
        <v>1605</v>
      </c>
      <c r="AD227" s="2688"/>
      <c r="AE227" s="2747" t="s">
        <v>1342</v>
      </c>
      <c r="AF227" s="2691" t="s">
        <v>1068</v>
      </c>
      <c r="AG227" s="2747" t="s">
        <v>1069</v>
      </c>
      <c r="AH227" s="2688"/>
      <c r="AI227" s="2747" t="s">
        <v>2138</v>
      </c>
      <c r="AJ227" s="2753"/>
      <c r="AK227" s="2755">
        <v>9</v>
      </c>
      <c r="AL227" s="2745">
        <v>67641700</v>
      </c>
      <c r="AM227" s="2745"/>
      <c r="AN227" s="2747" t="s">
        <v>1088</v>
      </c>
      <c r="AO227" s="2688"/>
      <c r="AP227" s="2747" t="s">
        <v>1515</v>
      </c>
      <c r="AQ227" s="2745" t="s">
        <v>1089</v>
      </c>
      <c r="AR227" s="2745"/>
      <c r="AS227" s="2745"/>
      <c r="AT227" s="2745"/>
      <c r="AU227" s="2745"/>
      <c r="AV227" s="2745"/>
      <c r="AW227" s="2745" t="s">
        <v>1075</v>
      </c>
      <c r="AX227" s="2745"/>
      <c r="AY227" s="2769"/>
      <c r="AZ227" s="2688" t="s">
        <v>2694</v>
      </c>
      <c r="BA227" s="2774"/>
      <c r="BB227" s="2775"/>
      <c r="BC227" s="2774"/>
      <c r="BD227" s="2776"/>
      <c r="BE227" s="2745"/>
      <c r="BF227" s="2788"/>
      <c r="BG227" s="2798">
        <v>38586</v>
      </c>
      <c r="BH227" s="2688" t="s">
        <v>1174</v>
      </c>
      <c r="BI227" s="2688" t="s">
        <v>2140</v>
      </c>
      <c r="BJ227" s="2789">
        <v>38587</v>
      </c>
      <c r="BK227" s="2789"/>
      <c r="BL227" s="2688" t="s">
        <v>1068</v>
      </c>
      <c r="BM227" s="2745" t="s">
        <v>888</v>
      </c>
      <c r="BN227" s="2745" t="s">
        <v>1077</v>
      </c>
      <c r="BO227" s="2745" t="s">
        <v>1709</v>
      </c>
      <c r="BP227" s="2745"/>
      <c r="BQ227" s="2745" t="e">
        <v>#DIV/0!</v>
      </c>
      <c r="BR227" s="2745" t="e">
        <v>#DIV/0!</v>
      </c>
    </row>
    <row r="228" s="2510" customFormat="1" ht="12" hidden="1" spans="1:70">
      <c r="A228" s="2693" t="s">
        <v>2695</v>
      </c>
      <c r="B228" s="2693" t="s">
        <v>2696</v>
      </c>
      <c r="C228" s="2694" t="s">
        <v>2697</v>
      </c>
      <c r="D228" s="2710">
        <v>13701058087</v>
      </c>
      <c r="E228" s="2693" t="s">
        <v>1060</v>
      </c>
      <c r="F228" s="2693" t="s">
        <v>2698</v>
      </c>
      <c r="G228" s="2693"/>
      <c r="H228" s="2693" t="s">
        <v>1248</v>
      </c>
      <c r="I228" s="2693" t="s">
        <v>1591</v>
      </c>
      <c r="J228" s="2693" t="s">
        <v>1249</v>
      </c>
      <c r="K228" s="2693" t="s">
        <v>2696</v>
      </c>
      <c r="L228" s="2693">
        <v>66.48</v>
      </c>
      <c r="M228" s="2693">
        <v>5</v>
      </c>
      <c r="N228" s="2807" t="s">
        <v>1064</v>
      </c>
      <c r="O228" s="2693"/>
      <c r="P228" s="2693" t="s">
        <v>1065</v>
      </c>
      <c r="Q228" s="2728">
        <v>382000</v>
      </c>
      <c r="R228" s="2693">
        <v>5746</v>
      </c>
      <c r="S228" s="2730">
        <v>34.56</v>
      </c>
      <c r="T228" s="2731">
        <v>345600</v>
      </c>
      <c r="U228" s="2698">
        <v>5200</v>
      </c>
      <c r="V228" s="2732">
        <v>0.05</v>
      </c>
      <c r="W228" s="2730">
        <v>32.83</v>
      </c>
      <c r="X228" s="2731">
        <v>328300</v>
      </c>
      <c r="Y228" s="2706">
        <v>2005</v>
      </c>
      <c r="Z228" s="2706">
        <v>9</v>
      </c>
      <c r="AA228" s="2693">
        <v>1</v>
      </c>
      <c r="AB228" s="2693">
        <v>1035</v>
      </c>
      <c r="AC228" s="2693" t="s">
        <v>1697</v>
      </c>
      <c r="AD228" s="2693"/>
      <c r="AE228" s="2706" t="s">
        <v>175</v>
      </c>
      <c r="AF228" s="2693" t="s">
        <v>1068</v>
      </c>
      <c r="AG228" s="2757" t="s">
        <v>1069</v>
      </c>
      <c r="AH228" s="2693"/>
      <c r="AI228" s="2757" t="s">
        <v>2138</v>
      </c>
      <c r="AJ228" s="2758"/>
      <c r="AK228" s="2759" t="s">
        <v>1124</v>
      </c>
      <c r="AL228" s="2693">
        <v>67641700</v>
      </c>
      <c r="AM228" s="2693"/>
      <c r="AN228" s="2757" t="s">
        <v>1087</v>
      </c>
      <c r="AO228" s="2693"/>
      <c r="AP228" s="2693" t="s">
        <v>1515</v>
      </c>
      <c r="AQ228" s="2706" t="s">
        <v>1089</v>
      </c>
      <c r="AR228" s="2693"/>
      <c r="AS228" s="2693"/>
      <c r="AT228" s="2693"/>
      <c r="AU228" s="2693"/>
      <c r="AV228" s="2693"/>
      <c r="AW228" s="2693" t="s">
        <v>1075</v>
      </c>
      <c r="AX228" s="2693"/>
      <c r="AY228" s="2694"/>
      <c r="AZ228" s="2693" t="s">
        <v>2699</v>
      </c>
      <c r="BA228" s="2693"/>
      <c r="BB228" s="2694"/>
      <c r="BC228" s="2693"/>
      <c r="BD228" s="2826"/>
      <c r="BE228" s="2693"/>
      <c r="BF228" s="2828"/>
      <c r="BG228" s="2758">
        <v>38565</v>
      </c>
      <c r="BH228" s="2693"/>
      <c r="BI228" s="2710" t="s">
        <v>2140</v>
      </c>
      <c r="BJ228" s="2758">
        <v>38588</v>
      </c>
      <c r="BK228" s="2830"/>
      <c r="BL228" s="2693" t="s">
        <v>1092</v>
      </c>
      <c r="BM228" s="2706" t="s">
        <v>888</v>
      </c>
      <c r="BN228" s="2706" t="s">
        <v>1077</v>
      </c>
      <c r="BO228" s="2706" t="s">
        <v>1128</v>
      </c>
      <c r="BP228" s="2706"/>
      <c r="BQ228" s="2706" t="e">
        <v>#DIV/0!</v>
      </c>
      <c r="BR228" s="2706" t="e">
        <v>#DIV/0!</v>
      </c>
    </row>
    <row r="229" s="2504" customFormat="1" ht="12" hidden="1" spans="1:70">
      <c r="A229" s="2688" t="s">
        <v>2700</v>
      </c>
      <c r="B229" s="2688" t="s">
        <v>2701</v>
      </c>
      <c r="C229" s="2689" t="s">
        <v>2702</v>
      </c>
      <c r="D229" s="2689" t="s">
        <v>2703</v>
      </c>
      <c r="E229" s="2691" t="s">
        <v>1060</v>
      </c>
      <c r="F229" s="2691" t="s">
        <v>2704</v>
      </c>
      <c r="G229" s="2688"/>
      <c r="H229" s="2691" t="s">
        <v>1062</v>
      </c>
      <c r="I229" s="2691" t="s">
        <v>1591</v>
      </c>
      <c r="J229" s="2688" t="s">
        <v>1135</v>
      </c>
      <c r="K229" s="2688" t="s">
        <v>2701</v>
      </c>
      <c r="L229" s="2702">
        <v>51.43</v>
      </c>
      <c r="M229" s="2688">
        <v>1</v>
      </c>
      <c r="N229" s="2688" t="s">
        <v>1064</v>
      </c>
      <c r="O229" s="2688"/>
      <c r="P229" s="2688" t="s">
        <v>1065</v>
      </c>
      <c r="Q229" s="2712">
        <v>430000</v>
      </c>
      <c r="R229" s="2688">
        <v>8361</v>
      </c>
      <c r="S229" s="2722">
        <v>30.08</v>
      </c>
      <c r="T229" s="2723">
        <v>300800</v>
      </c>
      <c r="U229" s="2688">
        <v>5850</v>
      </c>
      <c r="V229" s="2724">
        <v>0.05</v>
      </c>
      <c r="W229" s="2722">
        <v>28.57</v>
      </c>
      <c r="X229" s="2725">
        <v>285700</v>
      </c>
      <c r="Y229" s="2745">
        <v>2005</v>
      </c>
      <c r="Z229" s="2745">
        <v>8</v>
      </c>
      <c r="AA229" s="2745">
        <v>29</v>
      </c>
      <c r="AB229" s="2688">
        <v>900</v>
      </c>
      <c r="AC229" s="2688" t="s">
        <v>1605</v>
      </c>
      <c r="AD229" s="2688"/>
      <c r="AE229" s="2747" t="s">
        <v>1342</v>
      </c>
      <c r="AF229" s="2691" t="s">
        <v>1068</v>
      </c>
      <c r="AG229" s="2747" t="s">
        <v>1069</v>
      </c>
      <c r="AH229" s="2688"/>
      <c r="AI229" s="2747" t="s">
        <v>2138</v>
      </c>
      <c r="AJ229" s="2753"/>
      <c r="AK229" s="2755">
        <v>8</v>
      </c>
      <c r="AL229" s="2745">
        <v>67641700</v>
      </c>
      <c r="AM229" s="2745"/>
      <c r="AN229" s="2747" t="s">
        <v>1071</v>
      </c>
      <c r="AO229" s="2688"/>
      <c r="AP229" s="2747" t="s">
        <v>1515</v>
      </c>
      <c r="AQ229" s="2745" t="s">
        <v>1074</v>
      </c>
      <c r="AR229" s="2745"/>
      <c r="AS229" s="2745"/>
      <c r="AT229" s="2745"/>
      <c r="AU229" s="2745"/>
      <c r="AV229" s="2745"/>
      <c r="AW229" s="2745" t="s">
        <v>1075</v>
      </c>
      <c r="AX229" s="2745"/>
      <c r="AY229" s="2769"/>
      <c r="AZ229" s="2688" t="s">
        <v>2705</v>
      </c>
      <c r="BA229" s="2774"/>
      <c r="BB229" s="2775"/>
      <c r="BC229" s="2774"/>
      <c r="BD229" s="2776"/>
      <c r="BE229" s="2745"/>
      <c r="BF229" s="2788"/>
      <c r="BG229" s="2798">
        <v>38576</v>
      </c>
      <c r="BH229" s="2688" t="s">
        <v>1174</v>
      </c>
      <c r="BI229" s="2691" t="s">
        <v>1515</v>
      </c>
      <c r="BJ229" s="2789">
        <v>38588</v>
      </c>
      <c r="BK229" s="2789"/>
      <c r="BL229" s="2688" t="s">
        <v>1068</v>
      </c>
      <c r="BM229" s="2745" t="s">
        <v>1114</v>
      </c>
      <c r="BN229" s="2745" t="s">
        <v>1114</v>
      </c>
      <c r="BO229" s="2745" t="s">
        <v>1114</v>
      </c>
      <c r="BP229" s="2745"/>
      <c r="BQ229" s="2745" t="e">
        <v>#DIV/0!</v>
      </c>
      <c r="BR229" s="2745" t="e">
        <v>#DIV/0!</v>
      </c>
    </row>
    <row r="230" s="2504" customFormat="1" ht="12" hidden="1" spans="1:70">
      <c r="A230" s="2688" t="s">
        <v>2706</v>
      </c>
      <c r="B230" s="2688" t="s">
        <v>2707</v>
      </c>
      <c r="C230" s="2689" t="s">
        <v>2708</v>
      </c>
      <c r="D230" s="2689" t="s">
        <v>2709</v>
      </c>
      <c r="E230" s="2691" t="s">
        <v>1060</v>
      </c>
      <c r="F230" s="2691" t="s">
        <v>2710</v>
      </c>
      <c r="G230" s="2688" t="s">
        <v>1114</v>
      </c>
      <c r="H230" s="2691" t="s">
        <v>1239</v>
      </c>
      <c r="I230" s="2691"/>
      <c r="J230" s="2688" t="s">
        <v>2711</v>
      </c>
      <c r="K230" s="2688" t="s">
        <v>2712</v>
      </c>
      <c r="L230" s="2688">
        <v>87.6</v>
      </c>
      <c r="M230" s="2688">
        <v>6</v>
      </c>
      <c r="N230" s="2688" t="s">
        <v>1513</v>
      </c>
      <c r="O230" s="2688"/>
      <c r="P230" s="2688" t="s">
        <v>1065</v>
      </c>
      <c r="Q230" s="2712">
        <v>400000</v>
      </c>
      <c r="R230" s="2688">
        <v>4566</v>
      </c>
      <c r="S230" s="2722">
        <v>39.67</v>
      </c>
      <c r="T230" s="2723">
        <v>396700</v>
      </c>
      <c r="U230" s="2688">
        <v>4529</v>
      </c>
      <c r="V230" s="2724">
        <v>0.05</v>
      </c>
      <c r="W230" s="2722">
        <v>37.68</v>
      </c>
      <c r="X230" s="2725">
        <v>376800</v>
      </c>
      <c r="Y230" s="2745">
        <v>2005</v>
      </c>
      <c r="Z230" s="2745">
        <v>9</v>
      </c>
      <c r="AA230" s="2745">
        <v>5</v>
      </c>
      <c r="AB230" s="2688">
        <v>1190</v>
      </c>
      <c r="AC230" s="2688" t="s">
        <v>1605</v>
      </c>
      <c r="AD230" s="2688"/>
      <c r="AE230" s="2747" t="s">
        <v>179</v>
      </c>
      <c r="AF230" s="2691" t="s">
        <v>1068</v>
      </c>
      <c r="AG230" s="2747" t="s">
        <v>1069</v>
      </c>
      <c r="AH230" s="2688"/>
      <c r="AI230" s="2747" t="s">
        <v>1070</v>
      </c>
      <c r="AJ230" s="2753"/>
      <c r="AK230" s="2755">
        <v>9</v>
      </c>
      <c r="AL230" s="2745">
        <v>67641700</v>
      </c>
      <c r="AM230" s="2745"/>
      <c r="AN230" s="2747" t="s">
        <v>1087</v>
      </c>
      <c r="AO230" s="2688" t="s">
        <v>1114</v>
      </c>
      <c r="AP230" s="2747" t="s">
        <v>1515</v>
      </c>
      <c r="AQ230" s="2745" t="s">
        <v>1074</v>
      </c>
      <c r="AR230" s="2745" t="s">
        <v>1114</v>
      </c>
      <c r="AS230" s="2745" t="s">
        <v>1114</v>
      </c>
      <c r="AT230" s="2745" t="s">
        <v>1114</v>
      </c>
      <c r="AU230" s="2745"/>
      <c r="AV230" s="2745"/>
      <c r="AW230" s="2745" t="s">
        <v>1090</v>
      </c>
      <c r="AX230" s="2745"/>
      <c r="AY230" s="2769"/>
      <c r="AZ230" s="2688" t="s">
        <v>2712</v>
      </c>
      <c r="BA230" s="2774"/>
      <c r="BB230" s="2775"/>
      <c r="BC230" s="2774"/>
      <c r="BD230" s="2776"/>
      <c r="BE230" s="2745">
        <v>81992524</v>
      </c>
      <c r="BF230" s="2788"/>
      <c r="BG230" s="2798">
        <v>38588</v>
      </c>
      <c r="BH230" s="2688"/>
      <c r="BI230" s="2748" t="s">
        <v>2044</v>
      </c>
      <c r="BJ230" s="2789">
        <v>38588</v>
      </c>
      <c r="BK230" s="2789"/>
      <c r="BL230" s="2688" t="s">
        <v>1759</v>
      </c>
      <c r="BM230" s="2745" t="s">
        <v>888</v>
      </c>
      <c r="BN230" s="2745" t="s">
        <v>1148</v>
      </c>
      <c r="BO230" s="2745" t="s">
        <v>1128</v>
      </c>
      <c r="BP230" s="2745"/>
      <c r="BQ230" s="2745" t="e">
        <v>#DIV/0!</v>
      </c>
      <c r="BR230" s="2745" t="e">
        <v>#DIV/0!</v>
      </c>
    </row>
    <row r="231" s="2504" customFormat="1" ht="12" hidden="1" spans="1:70">
      <c r="A231" s="2688" t="s">
        <v>2713</v>
      </c>
      <c r="B231" s="2688" t="s">
        <v>2714</v>
      </c>
      <c r="C231" s="2689" t="s">
        <v>2715</v>
      </c>
      <c r="D231" s="2689" t="s">
        <v>2716</v>
      </c>
      <c r="E231" s="2688" t="s">
        <v>1060</v>
      </c>
      <c r="F231" s="2688" t="s">
        <v>2717</v>
      </c>
      <c r="G231" s="2688"/>
      <c r="H231" s="2688"/>
      <c r="I231" s="2688"/>
      <c r="J231" s="2689" t="s">
        <v>1085</v>
      </c>
      <c r="K231" s="2688" t="s">
        <v>2714</v>
      </c>
      <c r="L231" s="2702">
        <v>64.2</v>
      </c>
      <c r="M231" s="2688">
        <v>4</v>
      </c>
      <c r="N231" s="2688" t="s">
        <v>2718</v>
      </c>
      <c r="O231" s="2688"/>
      <c r="P231" s="2688" t="s">
        <v>1065</v>
      </c>
      <c r="Q231" s="2726">
        <v>480000</v>
      </c>
      <c r="R231" s="2688">
        <v>7477</v>
      </c>
      <c r="S231" s="2722">
        <v>38.05</v>
      </c>
      <c r="T231" s="2723">
        <v>380500</v>
      </c>
      <c r="U231" s="2688">
        <v>5927</v>
      </c>
      <c r="V231" s="2724">
        <v>0.05</v>
      </c>
      <c r="W231" s="2722">
        <v>36.14</v>
      </c>
      <c r="X231" s="2725">
        <v>361400</v>
      </c>
      <c r="Y231" s="2745">
        <v>2005</v>
      </c>
      <c r="Z231" s="2745">
        <v>10</v>
      </c>
      <c r="AA231" s="2745">
        <v>25</v>
      </c>
      <c r="AB231" s="2688">
        <v>1140</v>
      </c>
      <c r="AC231" s="2688" t="s">
        <v>1605</v>
      </c>
      <c r="AD231" s="2688"/>
      <c r="AE231" s="2747" t="s">
        <v>1070</v>
      </c>
      <c r="AF231" s="2691" t="s">
        <v>1068</v>
      </c>
      <c r="AG231" s="2688" t="s">
        <v>1069</v>
      </c>
      <c r="AH231" s="2688" t="s">
        <v>1114</v>
      </c>
      <c r="AI231" s="2747" t="s">
        <v>2138</v>
      </c>
      <c r="AJ231" s="2760"/>
      <c r="AK231" s="2755" t="s">
        <v>1423</v>
      </c>
      <c r="AL231" s="2745">
        <v>67641700</v>
      </c>
      <c r="AM231" s="2745"/>
      <c r="AN231" s="2747" t="s">
        <v>1072</v>
      </c>
      <c r="AO231" s="2688" t="s">
        <v>1114</v>
      </c>
      <c r="AP231" s="2747" t="s">
        <v>1515</v>
      </c>
      <c r="AQ231" s="2747" t="s">
        <v>1607</v>
      </c>
      <c r="AR231" s="2688"/>
      <c r="AS231" s="2688"/>
      <c r="AT231" s="2688"/>
      <c r="AU231" s="2688"/>
      <c r="AV231" s="2745" t="s">
        <v>1114</v>
      </c>
      <c r="AW231" s="2745" t="s">
        <v>1250</v>
      </c>
      <c r="AX231" s="2745"/>
      <c r="AY231" s="2769"/>
      <c r="AZ231" s="2745" t="s">
        <v>2719</v>
      </c>
      <c r="BA231" s="2745"/>
      <c r="BB231" s="2769"/>
      <c r="BC231" s="2745"/>
      <c r="BD231" s="2770"/>
      <c r="BE231" s="2769">
        <v>13901118407</v>
      </c>
      <c r="BF231" s="2788"/>
      <c r="BG231" s="2798">
        <v>38589</v>
      </c>
      <c r="BH231" s="2745" t="s">
        <v>1174</v>
      </c>
      <c r="BI231" s="2748" t="s">
        <v>1515</v>
      </c>
      <c r="BJ231" s="2789">
        <v>38589</v>
      </c>
      <c r="BK231" s="2790"/>
      <c r="BL231" s="2745" t="s">
        <v>1092</v>
      </c>
      <c r="BM231" s="2745" t="s">
        <v>888</v>
      </c>
      <c r="BN231" s="2688" t="s">
        <v>1077</v>
      </c>
      <c r="BO231" s="2745" t="s">
        <v>2610</v>
      </c>
      <c r="BP231" s="2745"/>
      <c r="BQ231" s="2745" t="e">
        <v>#DIV/0!</v>
      </c>
      <c r="BR231" s="2745" t="e">
        <v>#DIV/0!</v>
      </c>
    </row>
    <row r="232" s="2505" customFormat="1" ht="12" hidden="1" spans="1:73">
      <c r="A232" s="2688" t="s">
        <v>2720</v>
      </c>
      <c r="B232" s="2688" t="s">
        <v>2721</v>
      </c>
      <c r="C232" s="2689" t="s">
        <v>2722</v>
      </c>
      <c r="D232" s="2689" t="s">
        <v>2723</v>
      </c>
      <c r="E232" s="2688" t="s">
        <v>1060</v>
      </c>
      <c r="F232" s="2690" t="s">
        <v>1646</v>
      </c>
      <c r="G232" s="2688"/>
      <c r="H232" s="2688" t="s">
        <v>1934</v>
      </c>
      <c r="I232" s="2688" t="s">
        <v>1143</v>
      </c>
      <c r="J232" s="2689" t="s">
        <v>2082</v>
      </c>
      <c r="K232" s="2688" t="s">
        <v>2721</v>
      </c>
      <c r="L232" s="2688">
        <v>61.3</v>
      </c>
      <c r="M232" s="2688">
        <v>5</v>
      </c>
      <c r="N232" s="2688" t="s">
        <v>1064</v>
      </c>
      <c r="O232" s="2688"/>
      <c r="P232" s="2688" t="s">
        <v>1065</v>
      </c>
      <c r="Q232" s="2712">
        <v>500000</v>
      </c>
      <c r="R232" s="2688">
        <v>8157</v>
      </c>
      <c r="S232" s="2722">
        <v>38.61</v>
      </c>
      <c r="T232" s="2723">
        <v>386100</v>
      </c>
      <c r="U232" s="2688">
        <v>6300</v>
      </c>
      <c r="V232" s="2724">
        <v>0.05</v>
      </c>
      <c r="W232" s="2722">
        <v>36.67</v>
      </c>
      <c r="X232" s="2725">
        <v>366700</v>
      </c>
      <c r="Y232" s="2745">
        <v>2005</v>
      </c>
      <c r="Z232" s="2745">
        <v>9</v>
      </c>
      <c r="AA232" s="2745">
        <v>7</v>
      </c>
      <c r="AB232" s="2688">
        <v>1155</v>
      </c>
      <c r="AC232" s="2688" t="s">
        <v>1605</v>
      </c>
      <c r="AD232" s="2688"/>
      <c r="AE232" s="2745" t="s">
        <v>1067</v>
      </c>
      <c r="AF232" s="2688" t="s">
        <v>1068</v>
      </c>
      <c r="AG232" s="2747" t="s">
        <v>1069</v>
      </c>
      <c r="AH232" s="2688"/>
      <c r="AI232" s="2747" t="s">
        <v>2138</v>
      </c>
      <c r="AJ232" s="2753"/>
      <c r="AK232" s="2754" t="s">
        <v>1124</v>
      </c>
      <c r="AL232" s="2745">
        <v>67641700</v>
      </c>
      <c r="AM232" s="2745"/>
      <c r="AN232" s="2745" t="s">
        <v>1088</v>
      </c>
      <c r="AO232" s="2745"/>
      <c r="AP232" s="2747" t="s">
        <v>1515</v>
      </c>
      <c r="AQ232" s="2745" t="s">
        <v>1089</v>
      </c>
      <c r="AR232" s="2745"/>
      <c r="AS232" s="2745"/>
      <c r="AT232" s="2745"/>
      <c r="AU232" s="2745"/>
      <c r="AV232" s="2745"/>
      <c r="AW232" s="2745"/>
      <c r="AX232" s="2745"/>
      <c r="AY232" s="2769"/>
      <c r="AZ232" s="2745"/>
      <c r="BA232" s="2745"/>
      <c r="BB232" s="2769"/>
      <c r="BC232" s="2745"/>
      <c r="BD232" s="2770"/>
      <c r="BE232" s="2745"/>
      <c r="BF232" s="2788"/>
      <c r="BG232" s="2790">
        <v>38594</v>
      </c>
      <c r="BH232" s="2745"/>
      <c r="BI232" s="2691" t="s">
        <v>2140</v>
      </c>
      <c r="BJ232" s="2789">
        <v>38594</v>
      </c>
      <c r="BK232" s="2789"/>
      <c r="BL232" s="2688"/>
      <c r="BM232" s="2745" t="s">
        <v>888</v>
      </c>
      <c r="BN232" s="2745" t="s">
        <v>1148</v>
      </c>
      <c r="BO232" s="2745" t="s">
        <v>1344</v>
      </c>
      <c r="BP232" s="2745"/>
      <c r="BQ232" s="2745" t="e">
        <v>#DIV/0!</v>
      </c>
      <c r="BR232" s="2745" t="e">
        <v>#DIV/0!</v>
      </c>
      <c r="BS232" s="2504"/>
      <c r="BT232" s="2504"/>
      <c r="BU232" s="2504"/>
    </row>
    <row r="233" s="2505" customFormat="1" ht="12" hidden="1" spans="1:73">
      <c r="A233" s="2688" t="s">
        <v>2724</v>
      </c>
      <c r="B233" s="2688" t="s">
        <v>2725</v>
      </c>
      <c r="C233" s="2689" t="s">
        <v>2726</v>
      </c>
      <c r="D233" s="2689" t="s">
        <v>2727</v>
      </c>
      <c r="E233" s="2688" t="s">
        <v>1060</v>
      </c>
      <c r="F233" s="2690" t="s">
        <v>2313</v>
      </c>
      <c r="G233" s="2688"/>
      <c r="H233" s="2688" t="s">
        <v>1062</v>
      </c>
      <c r="I233" s="2688" t="s">
        <v>2728</v>
      </c>
      <c r="J233" s="2689" t="s">
        <v>2729</v>
      </c>
      <c r="K233" s="2688" t="s">
        <v>2725</v>
      </c>
      <c r="L233" s="2688">
        <v>51.4</v>
      </c>
      <c r="M233" s="2688">
        <v>5</v>
      </c>
      <c r="N233" s="2688" t="s">
        <v>1064</v>
      </c>
      <c r="O233" s="2688"/>
      <c r="P233" s="2688" t="s">
        <v>1065</v>
      </c>
      <c r="Q233" s="2712">
        <v>385500</v>
      </c>
      <c r="R233" s="2688">
        <v>7500</v>
      </c>
      <c r="S233" s="2722">
        <v>31.61</v>
      </c>
      <c r="T233" s="2723">
        <v>316100</v>
      </c>
      <c r="U233" s="2688">
        <v>6150</v>
      </c>
      <c r="V233" s="2724">
        <v>0.05</v>
      </c>
      <c r="W233" s="2722">
        <v>30.02</v>
      </c>
      <c r="X233" s="2725">
        <v>300200</v>
      </c>
      <c r="Y233" s="2745">
        <v>2005</v>
      </c>
      <c r="Z233" s="2745">
        <v>9</v>
      </c>
      <c r="AA233" s="2745">
        <v>2</v>
      </c>
      <c r="AB233" s="2688">
        <v>945</v>
      </c>
      <c r="AC233" s="2688" t="s">
        <v>1605</v>
      </c>
      <c r="AD233" s="2688"/>
      <c r="AE233" s="2745" t="s">
        <v>1067</v>
      </c>
      <c r="AF233" s="2688" t="s">
        <v>1068</v>
      </c>
      <c r="AG233" s="2747" t="s">
        <v>1069</v>
      </c>
      <c r="AH233" s="2688"/>
      <c r="AI233" s="2747" t="s">
        <v>2138</v>
      </c>
      <c r="AJ233" s="2753"/>
      <c r="AK233" s="2754" t="s">
        <v>1124</v>
      </c>
      <c r="AL233" s="2745">
        <v>67641700</v>
      </c>
      <c r="AM233" s="2745"/>
      <c r="AN233" s="2745" t="s">
        <v>1087</v>
      </c>
      <c r="AO233" s="2745"/>
      <c r="AP233" s="2747" t="s">
        <v>1515</v>
      </c>
      <c r="AQ233" s="2745" t="s">
        <v>1074</v>
      </c>
      <c r="AR233" s="2745"/>
      <c r="AS233" s="2745"/>
      <c r="AT233" s="2745"/>
      <c r="AU233" s="2745"/>
      <c r="AV233" s="2745"/>
      <c r="AW233" s="2745"/>
      <c r="AX233" s="2745"/>
      <c r="AY233" s="2769"/>
      <c r="AZ233" s="2745"/>
      <c r="BA233" s="2745"/>
      <c r="BB233" s="2769"/>
      <c r="BC233" s="2745"/>
      <c r="BD233" s="2770"/>
      <c r="BE233" s="2745"/>
      <c r="BF233" s="2788"/>
      <c r="BG233" s="2790">
        <v>38565</v>
      </c>
      <c r="BH233" s="2745"/>
      <c r="BI233" s="2691" t="s">
        <v>2140</v>
      </c>
      <c r="BJ233" s="2789">
        <v>38594</v>
      </c>
      <c r="BK233" s="2789"/>
      <c r="BL233" s="2688"/>
      <c r="BM233" s="2745" t="s">
        <v>888</v>
      </c>
      <c r="BN233" s="2745" t="s">
        <v>1148</v>
      </c>
      <c r="BO233" s="2745" t="s">
        <v>1344</v>
      </c>
      <c r="BP233" s="2745"/>
      <c r="BQ233" s="2745" t="e">
        <v>#DIV/0!</v>
      </c>
      <c r="BR233" s="2745" t="e">
        <v>#DIV/0!</v>
      </c>
      <c r="BS233" s="2504"/>
      <c r="BT233" s="2504"/>
      <c r="BU233" s="2504"/>
    </row>
    <row r="234" s="2505" customFormat="1" ht="12" hidden="1" spans="1:73">
      <c r="A234" s="2688" t="s">
        <v>2730</v>
      </c>
      <c r="B234" s="2688" t="s">
        <v>2731</v>
      </c>
      <c r="C234" s="2689" t="s">
        <v>2732</v>
      </c>
      <c r="D234" s="2689" t="s">
        <v>2733</v>
      </c>
      <c r="E234" s="2688" t="s">
        <v>1060</v>
      </c>
      <c r="F234" s="2688" t="s">
        <v>2734</v>
      </c>
      <c r="G234" s="2688"/>
      <c r="H234" s="2688" t="s">
        <v>1180</v>
      </c>
      <c r="I234" s="2688"/>
      <c r="J234" s="2689" t="s">
        <v>2735</v>
      </c>
      <c r="K234" s="2688"/>
      <c r="L234" s="2688">
        <v>71.04</v>
      </c>
      <c r="M234" s="2688">
        <v>9</v>
      </c>
      <c r="N234" s="2688" t="s">
        <v>1123</v>
      </c>
      <c r="O234" s="2688"/>
      <c r="P234" s="2688" t="s">
        <v>1065</v>
      </c>
      <c r="Q234" s="2712">
        <v>500000</v>
      </c>
      <c r="R234" s="2688">
        <v>7038</v>
      </c>
      <c r="S234" s="2722">
        <v>44.05</v>
      </c>
      <c r="T234" s="2723">
        <v>440500</v>
      </c>
      <c r="U234" s="2688">
        <v>6202</v>
      </c>
      <c r="V234" s="2724">
        <v>0.05</v>
      </c>
      <c r="W234" s="2722">
        <v>41.84</v>
      </c>
      <c r="X234" s="2725">
        <v>418400</v>
      </c>
      <c r="Y234" s="2745">
        <v>2005</v>
      </c>
      <c r="Z234" s="2745">
        <v>9</v>
      </c>
      <c r="AA234" s="2745">
        <v>9</v>
      </c>
      <c r="AB234" s="2688">
        <v>1320</v>
      </c>
      <c r="AC234" s="2688" t="s">
        <v>1605</v>
      </c>
      <c r="AD234" s="2688"/>
      <c r="AE234" s="2745" t="s">
        <v>1342</v>
      </c>
      <c r="AF234" s="2688" t="s">
        <v>1068</v>
      </c>
      <c r="AG234" s="2688" t="s">
        <v>1069</v>
      </c>
      <c r="AH234" s="2688"/>
      <c r="AI234" s="2747" t="s">
        <v>2138</v>
      </c>
      <c r="AJ234" s="2753"/>
      <c r="AK234" s="2754" t="s">
        <v>1124</v>
      </c>
      <c r="AL234" s="2745">
        <v>67641700</v>
      </c>
      <c r="AM234" s="2745"/>
      <c r="AN234" s="2745" t="s">
        <v>1088</v>
      </c>
      <c r="AO234" s="2745"/>
      <c r="AP234" s="2745" t="s">
        <v>1515</v>
      </c>
      <c r="AQ234" s="2745" t="s">
        <v>1074</v>
      </c>
      <c r="AR234" s="2745"/>
      <c r="AS234" s="2745"/>
      <c r="AT234" s="2745"/>
      <c r="AU234" s="2745"/>
      <c r="AV234" s="2745"/>
      <c r="AW234" s="2745" t="s">
        <v>1343</v>
      </c>
      <c r="AX234" s="2745"/>
      <c r="AY234" s="2769"/>
      <c r="AZ234" s="2688" t="s">
        <v>2736</v>
      </c>
      <c r="BA234" s="2745"/>
      <c r="BB234" s="2769"/>
      <c r="BC234" s="2745"/>
      <c r="BD234" s="2770"/>
      <c r="BE234" s="2745"/>
      <c r="BF234" s="2788"/>
      <c r="BG234" s="2790">
        <v>38596</v>
      </c>
      <c r="BH234" s="2745"/>
      <c r="BI234" s="2748" t="s">
        <v>2140</v>
      </c>
      <c r="BJ234" s="2789">
        <v>38596</v>
      </c>
      <c r="BK234" s="2789"/>
      <c r="BL234" s="2688" t="s">
        <v>1092</v>
      </c>
      <c r="BM234" s="2745"/>
      <c r="BN234" s="2745"/>
      <c r="BO234" s="2745"/>
      <c r="BP234" s="2745"/>
      <c r="BQ234" s="2745" t="e">
        <v>#DIV/0!</v>
      </c>
      <c r="BR234" s="2745" t="e">
        <v>#DIV/0!</v>
      </c>
      <c r="BS234" s="2504"/>
      <c r="BT234" s="2504"/>
      <c r="BU234" s="2504"/>
    </row>
    <row r="235" s="2505" customFormat="1" ht="12" hidden="1" spans="1:73">
      <c r="A235" s="2688" t="s">
        <v>2737</v>
      </c>
      <c r="B235" s="2688" t="s">
        <v>2738</v>
      </c>
      <c r="C235" s="2689" t="s">
        <v>2739</v>
      </c>
      <c r="D235" s="2689" t="s">
        <v>2740</v>
      </c>
      <c r="E235" s="2691" t="s">
        <v>1060</v>
      </c>
      <c r="F235" s="2691" t="s">
        <v>2741</v>
      </c>
      <c r="G235" s="2688"/>
      <c r="H235" s="2688" t="s">
        <v>1296</v>
      </c>
      <c r="I235" s="2691" t="s">
        <v>1099</v>
      </c>
      <c r="J235" s="2688" t="s">
        <v>1166</v>
      </c>
      <c r="K235" s="2688" t="s">
        <v>2738</v>
      </c>
      <c r="L235" s="2688">
        <v>52.2</v>
      </c>
      <c r="M235" s="2688">
        <v>3</v>
      </c>
      <c r="N235" s="2688" t="s">
        <v>1064</v>
      </c>
      <c r="O235" s="2688"/>
      <c r="P235" s="2688" t="s">
        <v>1065</v>
      </c>
      <c r="Q235" s="2712">
        <v>380000</v>
      </c>
      <c r="R235" s="2688">
        <v>7280</v>
      </c>
      <c r="S235" s="2722">
        <v>32.36</v>
      </c>
      <c r="T235" s="2723">
        <v>323600</v>
      </c>
      <c r="U235" s="2688">
        <v>6200</v>
      </c>
      <c r="V235" s="2724">
        <v>0.05</v>
      </c>
      <c r="W235" s="2722">
        <v>30.74</v>
      </c>
      <c r="X235" s="2725">
        <v>307400</v>
      </c>
      <c r="Y235" s="2745">
        <v>2005</v>
      </c>
      <c r="Z235" s="2745">
        <v>9</v>
      </c>
      <c r="AA235" s="2745">
        <v>7</v>
      </c>
      <c r="AB235" s="2688">
        <v>970</v>
      </c>
      <c r="AC235" s="2688" t="s">
        <v>1605</v>
      </c>
      <c r="AD235" s="2688"/>
      <c r="AE235" s="2747" t="s">
        <v>1342</v>
      </c>
      <c r="AF235" s="2691" t="s">
        <v>1068</v>
      </c>
      <c r="AG235" s="2747" t="s">
        <v>1069</v>
      </c>
      <c r="AH235" s="2688"/>
      <c r="AI235" s="2747" t="s">
        <v>2138</v>
      </c>
      <c r="AJ235" s="2753"/>
      <c r="AK235" s="2755" t="s">
        <v>1124</v>
      </c>
      <c r="AL235" s="2745">
        <v>67641700</v>
      </c>
      <c r="AM235" s="2745"/>
      <c r="AN235" s="2747" t="s">
        <v>1088</v>
      </c>
      <c r="AO235" s="2688"/>
      <c r="AP235" s="2747" t="s">
        <v>1515</v>
      </c>
      <c r="AQ235" s="2745" t="s">
        <v>1074</v>
      </c>
      <c r="AR235" s="2745"/>
      <c r="AS235" s="2745"/>
      <c r="AT235" s="2745"/>
      <c r="AU235" s="2745"/>
      <c r="AV235" s="2745"/>
      <c r="AW235" s="2745" t="s">
        <v>1343</v>
      </c>
      <c r="AX235" s="2745"/>
      <c r="AY235" s="2769"/>
      <c r="AZ235" s="2688" t="s">
        <v>2742</v>
      </c>
      <c r="BA235" s="2774"/>
      <c r="BB235" s="2775"/>
      <c r="BC235" s="2774"/>
      <c r="BD235" s="2776"/>
      <c r="BE235" s="2745"/>
      <c r="BF235" s="2788"/>
      <c r="BG235" s="2798">
        <v>38589</v>
      </c>
      <c r="BH235" s="2688"/>
      <c r="BI235" s="2745" t="s">
        <v>1515</v>
      </c>
      <c r="BJ235" s="2789">
        <v>38600</v>
      </c>
      <c r="BK235" s="2789"/>
      <c r="BL235" s="2688" t="s">
        <v>1092</v>
      </c>
      <c r="BM235" s="2745" t="s">
        <v>888</v>
      </c>
      <c r="BN235" s="2745" t="s">
        <v>1077</v>
      </c>
      <c r="BO235" s="2745" t="s">
        <v>1721</v>
      </c>
      <c r="BP235" s="2745"/>
      <c r="BQ235" s="2745" t="e">
        <v>#DIV/0!</v>
      </c>
      <c r="BR235" s="2745" t="e">
        <v>#DIV/0!</v>
      </c>
      <c r="BS235" s="2504"/>
      <c r="BT235" s="2504"/>
      <c r="BU235" s="2504"/>
    </row>
    <row r="236" s="2504" customFormat="1" ht="12" hidden="1" spans="1:70">
      <c r="A236" s="2688" t="s">
        <v>2743</v>
      </c>
      <c r="B236" s="2688" t="s">
        <v>2744</v>
      </c>
      <c r="C236" s="2689" t="s">
        <v>2745</v>
      </c>
      <c r="D236" s="2688" t="s">
        <v>2746</v>
      </c>
      <c r="E236" s="2688" t="s">
        <v>1060</v>
      </c>
      <c r="F236" s="2688" t="s">
        <v>2747</v>
      </c>
      <c r="G236" s="2688"/>
      <c r="H236" s="2688" t="s">
        <v>1647</v>
      </c>
      <c r="I236" s="2688"/>
      <c r="J236" s="2688" t="s">
        <v>1899</v>
      </c>
      <c r="K236" s="2688" t="s">
        <v>2748</v>
      </c>
      <c r="L236" s="2708">
        <v>131.5</v>
      </c>
      <c r="M236" s="2688">
        <v>6</v>
      </c>
      <c r="N236" s="2688" t="s">
        <v>1299</v>
      </c>
      <c r="O236" s="2688"/>
      <c r="P236" s="2688" t="s">
        <v>1514</v>
      </c>
      <c r="Q236" s="2688">
        <v>591750</v>
      </c>
      <c r="R236" s="2688">
        <v>4500</v>
      </c>
      <c r="S236" s="2722">
        <v>59.14</v>
      </c>
      <c r="T236" s="2723">
        <v>591400</v>
      </c>
      <c r="U236" s="2688">
        <v>4498</v>
      </c>
      <c r="V236" s="2727">
        <v>0.05</v>
      </c>
      <c r="W236" s="2722">
        <v>56.18</v>
      </c>
      <c r="X236" s="2725">
        <v>561800</v>
      </c>
      <c r="Y236" s="2688">
        <v>2005</v>
      </c>
      <c r="Z236" s="2688">
        <v>10</v>
      </c>
      <c r="AA236" s="2745">
        <v>8</v>
      </c>
      <c r="AB236" s="2688">
        <v>1500</v>
      </c>
      <c r="AC236" s="2688" t="s">
        <v>1605</v>
      </c>
      <c r="AD236" s="2688"/>
      <c r="AE236" s="2745" t="s">
        <v>179</v>
      </c>
      <c r="AF236" s="2688" t="s">
        <v>1068</v>
      </c>
      <c r="AG236" s="2688" t="s">
        <v>1069</v>
      </c>
      <c r="AH236" s="2688"/>
      <c r="AI236" s="2688" t="s">
        <v>1342</v>
      </c>
      <c r="AJ236" s="2753"/>
      <c r="AK236" s="2688" t="s">
        <v>1423</v>
      </c>
      <c r="AL236" s="2688">
        <v>82253558</v>
      </c>
      <c r="AM236" s="2688"/>
      <c r="AN236" s="2688" t="s">
        <v>1087</v>
      </c>
      <c r="AO236" s="2688" t="s">
        <v>1114</v>
      </c>
      <c r="AP236" s="2688" t="s">
        <v>1067</v>
      </c>
      <c r="AQ236" s="2688" t="s">
        <v>1074</v>
      </c>
      <c r="AR236" s="2688"/>
      <c r="AS236" s="2688"/>
      <c r="AT236" s="2688"/>
      <c r="AU236" s="2688"/>
      <c r="AV236" s="2688"/>
      <c r="AW236" s="2688" t="s">
        <v>1075</v>
      </c>
      <c r="AX236" s="2688"/>
      <c r="AY236" s="2689"/>
      <c r="AZ236" s="2688" t="s">
        <v>2748</v>
      </c>
      <c r="BA236" s="2688"/>
      <c r="BB236" s="2688"/>
      <c r="BC236" s="2688"/>
      <c r="BD236" s="2688"/>
      <c r="BE236" s="2688">
        <v>13901240774</v>
      </c>
      <c r="BF236" s="2688"/>
      <c r="BG236" s="2792">
        <v>38576</v>
      </c>
      <c r="BH236" s="2688"/>
      <c r="BI236" s="2688" t="s">
        <v>2044</v>
      </c>
      <c r="BJ236" s="2789">
        <v>38600</v>
      </c>
      <c r="BK236" s="2789"/>
      <c r="BL236" s="2688" t="s">
        <v>1174</v>
      </c>
      <c r="BM236" s="2688" t="s">
        <v>888</v>
      </c>
      <c r="BN236" s="2688" t="s">
        <v>1148</v>
      </c>
      <c r="BO236" s="2688" t="s">
        <v>1331</v>
      </c>
      <c r="BP236" s="2688"/>
      <c r="BQ236" s="2745" t="e">
        <v>#DIV/0!</v>
      </c>
      <c r="BR236" s="2745" t="e">
        <v>#DIV/0!</v>
      </c>
    </row>
    <row r="237" s="2507" customFormat="1" ht="12" hidden="1" spans="1:73">
      <c r="A237" s="2693" t="s">
        <v>2749</v>
      </c>
      <c r="B237" s="2693" t="s">
        <v>2750</v>
      </c>
      <c r="C237" s="2694" t="s">
        <v>2751</v>
      </c>
      <c r="D237" s="2694" t="s">
        <v>2752</v>
      </c>
      <c r="E237" s="2693" t="s">
        <v>1060</v>
      </c>
      <c r="F237" s="2695" t="s">
        <v>2753</v>
      </c>
      <c r="G237" s="2693"/>
      <c r="H237" s="2693" t="s">
        <v>1934</v>
      </c>
      <c r="I237" s="2693" t="s">
        <v>1134</v>
      </c>
      <c r="J237" s="2694" t="s">
        <v>2754</v>
      </c>
      <c r="K237" s="2693"/>
      <c r="L237" s="2693">
        <v>73</v>
      </c>
      <c r="M237" s="2693">
        <v>6</v>
      </c>
      <c r="N237" s="2710" t="s">
        <v>1064</v>
      </c>
      <c r="O237" s="2693"/>
      <c r="P237" s="2693" t="s">
        <v>1065</v>
      </c>
      <c r="Q237" s="2728">
        <v>400000</v>
      </c>
      <c r="R237" s="2693">
        <v>5479</v>
      </c>
      <c r="S237" s="2730">
        <v>38.9</v>
      </c>
      <c r="T237" s="2731">
        <v>389000</v>
      </c>
      <c r="U237" s="2693">
        <v>5330</v>
      </c>
      <c r="V237" s="2732">
        <v>0.05</v>
      </c>
      <c r="W237" s="2730">
        <v>36.95</v>
      </c>
      <c r="X237" s="2733">
        <v>369500</v>
      </c>
      <c r="Y237" s="2706">
        <v>2005</v>
      </c>
      <c r="Z237" s="2706">
        <v>9</v>
      </c>
      <c r="AA237" s="2706">
        <v>28</v>
      </c>
      <c r="AB237" s="2693">
        <v>1165</v>
      </c>
      <c r="AC237" s="2693" t="s">
        <v>1605</v>
      </c>
      <c r="AD237" s="2693"/>
      <c r="AE237" s="2750" t="s">
        <v>1067</v>
      </c>
      <c r="AF237" s="2693" t="s">
        <v>1068</v>
      </c>
      <c r="AG237" s="2693" t="s">
        <v>1069</v>
      </c>
      <c r="AH237" s="2693"/>
      <c r="AI237" s="2757" t="s">
        <v>2138</v>
      </c>
      <c r="AJ237" s="2758"/>
      <c r="AK237" s="2693" t="s">
        <v>1124</v>
      </c>
      <c r="AL237" s="2706">
        <v>67641700</v>
      </c>
      <c r="AM237" s="2706"/>
      <c r="AN237" s="2706" t="s">
        <v>1071</v>
      </c>
      <c r="AO237" s="2706"/>
      <c r="AP237" s="2706" t="s">
        <v>1515</v>
      </c>
      <c r="AQ237" s="2706" t="s">
        <v>1089</v>
      </c>
      <c r="AR237" s="2706"/>
      <c r="AS237" s="2706"/>
      <c r="AT237" s="2706"/>
      <c r="AU237" s="2706"/>
      <c r="AV237" s="2706"/>
      <c r="AW237" s="2693" t="s">
        <v>1075</v>
      </c>
      <c r="AX237" s="2706"/>
      <c r="AY237" s="2772"/>
      <c r="AZ237" s="2706" t="s">
        <v>2755</v>
      </c>
      <c r="BA237" s="2706"/>
      <c r="BB237" s="2772"/>
      <c r="BC237" s="2706"/>
      <c r="BD237" s="2773"/>
      <c r="BE237" s="2706"/>
      <c r="BF237" s="2795"/>
      <c r="BG237" s="2796">
        <v>38565</v>
      </c>
      <c r="BH237" s="2693" t="s">
        <v>1174</v>
      </c>
      <c r="BI237" s="2892" t="s">
        <v>2140</v>
      </c>
      <c r="BJ237" s="2797">
        <v>38604</v>
      </c>
      <c r="BK237" s="2797"/>
      <c r="BL237" s="2693"/>
      <c r="BM237" s="2693" t="s">
        <v>888</v>
      </c>
      <c r="BN237" s="2693" t="s">
        <v>1148</v>
      </c>
      <c r="BO237" s="2693" t="s">
        <v>1128</v>
      </c>
      <c r="BP237" s="2706"/>
      <c r="BQ237" s="2706" t="e">
        <v>#DIV/0!</v>
      </c>
      <c r="BR237" s="2706" t="e">
        <v>#DIV/0!</v>
      </c>
      <c r="BS237" s="2510"/>
      <c r="BT237" s="2510"/>
      <c r="BU237" s="2510"/>
    </row>
    <row r="238" s="2505" customFormat="1" ht="12" hidden="1" spans="1:73">
      <c r="A238" s="2688" t="s">
        <v>2756</v>
      </c>
      <c r="B238" s="2688" t="s">
        <v>2757</v>
      </c>
      <c r="C238" s="2689" t="s">
        <v>2758</v>
      </c>
      <c r="D238" s="2689" t="s">
        <v>2759</v>
      </c>
      <c r="E238" s="2688" t="s">
        <v>1060</v>
      </c>
      <c r="F238" s="2690" t="s">
        <v>2760</v>
      </c>
      <c r="G238" s="2688"/>
      <c r="H238" s="2688" t="s">
        <v>1180</v>
      </c>
      <c r="I238" s="2688" t="s">
        <v>1134</v>
      </c>
      <c r="J238" s="2689" t="s">
        <v>1365</v>
      </c>
      <c r="K238" s="2688" t="s">
        <v>2757</v>
      </c>
      <c r="L238" s="2688">
        <v>258.26</v>
      </c>
      <c r="M238" s="2688">
        <v>6</v>
      </c>
      <c r="N238" s="2685" t="s">
        <v>2761</v>
      </c>
      <c r="O238" s="2688"/>
      <c r="P238" s="2685" t="s">
        <v>1514</v>
      </c>
      <c r="Q238" s="2712">
        <v>1394500</v>
      </c>
      <c r="R238" s="2688">
        <v>5400</v>
      </c>
      <c r="S238" s="2722">
        <v>135.32</v>
      </c>
      <c r="T238" s="2723">
        <v>1353200</v>
      </c>
      <c r="U238" s="2688">
        <v>5240</v>
      </c>
      <c r="V238" s="2724">
        <v>0.05</v>
      </c>
      <c r="W238" s="2722">
        <v>128.55</v>
      </c>
      <c r="X238" s="2725">
        <v>1285500</v>
      </c>
      <c r="Y238" s="2745">
        <v>2005</v>
      </c>
      <c r="Z238" s="2745">
        <v>9</v>
      </c>
      <c r="AA238" s="2745">
        <v>16</v>
      </c>
      <c r="AB238" s="2688">
        <v>1500</v>
      </c>
      <c r="AC238" s="2688" t="s">
        <v>1605</v>
      </c>
      <c r="AD238" s="2688"/>
      <c r="AE238" s="2744" t="s">
        <v>1067</v>
      </c>
      <c r="AF238" s="2685" t="s">
        <v>1068</v>
      </c>
      <c r="AG238" s="2685" t="s">
        <v>1069</v>
      </c>
      <c r="AH238" s="2688"/>
      <c r="AI238" s="2688" t="s">
        <v>2138</v>
      </c>
      <c r="AJ238" s="2753"/>
      <c r="AK238" s="2688" t="s">
        <v>1124</v>
      </c>
      <c r="AL238" s="2745">
        <v>67641700</v>
      </c>
      <c r="AM238" s="2745"/>
      <c r="AN238" s="2745" t="s">
        <v>1072</v>
      </c>
      <c r="AO238" s="2745"/>
      <c r="AP238" s="2745" t="s">
        <v>1515</v>
      </c>
      <c r="AQ238" s="2688" t="s">
        <v>1074</v>
      </c>
      <c r="AR238" s="2745"/>
      <c r="AS238" s="2745"/>
      <c r="AT238" s="2745"/>
      <c r="AU238" s="2745"/>
      <c r="AV238" s="2745"/>
      <c r="AW238" s="2745"/>
      <c r="AX238" s="2745"/>
      <c r="AY238" s="2769"/>
      <c r="AZ238" s="2745" t="s">
        <v>2762</v>
      </c>
      <c r="BA238" s="2745"/>
      <c r="BB238" s="2769"/>
      <c r="BC238" s="2745"/>
      <c r="BD238" s="2770"/>
      <c r="BE238" s="2745"/>
      <c r="BF238" s="2788"/>
      <c r="BG238" s="2790">
        <v>38607</v>
      </c>
      <c r="BH238" s="2688" t="s">
        <v>1174</v>
      </c>
      <c r="BI238" s="2688" t="s">
        <v>2140</v>
      </c>
      <c r="BJ238" s="2789">
        <v>38607</v>
      </c>
      <c r="BK238" s="2789"/>
      <c r="BL238" s="2688"/>
      <c r="BM238" s="2744" t="s">
        <v>1077</v>
      </c>
      <c r="BN238" s="2744" t="s">
        <v>1077</v>
      </c>
      <c r="BO238" s="2744" t="s">
        <v>1344</v>
      </c>
      <c r="BP238" s="2745"/>
      <c r="BQ238" s="2745" t="e">
        <v>#DIV/0!</v>
      </c>
      <c r="BR238" s="2745" t="e">
        <v>#DIV/0!</v>
      </c>
      <c r="BS238" s="2504"/>
      <c r="BT238" s="2504"/>
      <c r="BU238" s="2504"/>
    </row>
    <row r="239" s="2505" customFormat="1" ht="12" hidden="1" spans="1:73">
      <c r="A239" s="2688" t="s">
        <v>2763</v>
      </c>
      <c r="B239" s="2688" t="s">
        <v>2764</v>
      </c>
      <c r="C239" s="2689" t="s">
        <v>2765</v>
      </c>
      <c r="D239" s="2689" t="s">
        <v>2766</v>
      </c>
      <c r="E239" s="2688" t="s">
        <v>1060</v>
      </c>
      <c r="F239" s="2690" t="s">
        <v>2767</v>
      </c>
      <c r="G239" s="2688"/>
      <c r="H239" s="2688" t="s">
        <v>2768</v>
      </c>
      <c r="I239" s="2688"/>
      <c r="J239" s="2689" t="s">
        <v>2769</v>
      </c>
      <c r="K239" s="2688" t="s">
        <v>2764</v>
      </c>
      <c r="L239" s="2688">
        <v>68.9</v>
      </c>
      <c r="M239" s="2688">
        <v>9</v>
      </c>
      <c r="N239" s="2688" t="s">
        <v>1064</v>
      </c>
      <c r="O239" s="2688"/>
      <c r="P239" s="2688" t="s">
        <v>1065</v>
      </c>
      <c r="Q239" s="2712">
        <v>465000</v>
      </c>
      <c r="R239" s="2688">
        <v>6749</v>
      </c>
      <c r="S239" s="2722">
        <v>44.64</v>
      </c>
      <c r="T239" s="2723">
        <v>446400</v>
      </c>
      <c r="U239" s="2688">
        <v>6480</v>
      </c>
      <c r="V239" s="2724">
        <v>0.05</v>
      </c>
      <c r="W239" s="2722">
        <v>42.4</v>
      </c>
      <c r="X239" s="2725">
        <v>424000</v>
      </c>
      <c r="Y239" s="2688">
        <v>2005</v>
      </c>
      <c r="Z239" s="2688">
        <v>9</v>
      </c>
      <c r="AA239" s="2745">
        <v>19</v>
      </c>
      <c r="AB239" s="2688">
        <v>1335</v>
      </c>
      <c r="AC239" s="2688" t="s">
        <v>1605</v>
      </c>
      <c r="AD239" s="2688"/>
      <c r="AE239" s="2688" t="s">
        <v>1342</v>
      </c>
      <c r="AF239" s="2688" t="s">
        <v>1068</v>
      </c>
      <c r="AG239" s="2688" t="s">
        <v>1069</v>
      </c>
      <c r="AH239" s="2688"/>
      <c r="AI239" s="2747" t="s">
        <v>2138</v>
      </c>
      <c r="AJ239" s="2753"/>
      <c r="AK239" s="2688" t="s">
        <v>1124</v>
      </c>
      <c r="AL239" s="2688">
        <v>67641700</v>
      </c>
      <c r="AM239" s="2745"/>
      <c r="AN239" s="2745" t="s">
        <v>1182</v>
      </c>
      <c r="AO239" s="2745"/>
      <c r="AP239" s="2688" t="s">
        <v>1515</v>
      </c>
      <c r="AQ239" s="2688" t="s">
        <v>1074</v>
      </c>
      <c r="AR239" s="2745"/>
      <c r="AS239" s="2745"/>
      <c r="AT239" s="2745"/>
      <c r="AU239" s="2745"/>
      <c r="AV239" s="2745"/>
      <c r="AW239" s="2688" t="s">
        <v>1343</v>
      </c>
      <c r="AX239" s="2745"/>
      <c r="AY239" s="2769"/>
      <c r="AZ239" s="2745" t="s">
        <v>2770</v>
      </c>
      <c r="BA239" s="2745"/>
      <c r="BB239" s="2769"/>
      <c r="BC239" s="2745"/>
      <c r="BD239" s="2770"/>
      <c r="BE239" s="2745"/>
      <c r="BF239" s="2788"/>
      <c r="BG239" s="2696"/>
      <c r="BH239" s="2745"/>
      <c r="BI239" s="2688" t="s">
        <v>2140</v>
      </c>
      <c r="BJ239" s="2792">
        <v>38602</v>
      </c>
      <c r="BK239" s="2789"/>
      <c r="BL239" s="2688" t="s">
        <v>1174</v>
      </c>
      <c r="BM239" s="2688" t="s">
        <v>888</v>
      </c>
      <c r="BN239" s="2688" t="s">
        <v>1077</v>
      </c>
      <c r="BO239" s="2688" t="s">
        <v>1331</v>
      </c>
      <c r="BP239" s="2745"/>
      <c r="BQ239" s="2745" t="e">
        <v>#DIV/0!</v>
      </c>
      <c r="BR239" s="2745" t="e">
        <v>#DIV/0!</v>
      </c>
      <c r="BS239" s="2504"/>
      <c r="BT239" s="2504"/>
      <c r="BU239" s="2504"/>
    </row>
    <row r="240" s="2504" customFormat="1" ht="12" hidden="1" spans="1:70">
      <c r="A240" s="2688" t="s">
        <v>2771</v>
      </c>
      <c r="B240" s="2688" t="s">
        <v>2772</v>
      </c>
      <c r="C240" s="2689" t="s">
        <v>2773</v>
      </c>
      <c r="D240" s="2689" t="s">
        <v>2774</v>
      </c>
      <c r="E240" s="2688" t="s">
        <v>1060</v>
      </c>
      <c r="F240" s="2688" t="s">
        <v>2775</v>
      </c>
      <c r="G240" s="2688"/>
      <c r="H240" s="2688" t="s">
        <v>2776</v>
      </c>
      <c r="I240" s="2688" t="s">
        <v>2777</v>
      </c>
      <c r="J240" s="2689" t="s">
        <v>2778</v>
      </c>
      <c r="K240" s="2688" t="s">
        <v>2772</v>
      </c>
      <c r="L240" s="2702">
        <v>62.7</v>
      </c>
      <c r="M240" s="2688">
        <v>5</v>
      </c>
      <c r="N240" s="2688" t="s">
        <v>1064</v>
      </c>
      <c r="O240" s="2688"/>
      <c r="P240" s="2688" t="s">
        <v>1065</v>
      </c>
      <c r="Q240" s="2726">
        <v>433000</v>
      </c>
      <c r="R240" s="2688">
        <v>6906</v>
      </c>
      <c r="S240" s="2722">
        <v>37.28</v>
      </c>
      <c r="T240" s="2723">
        <v>372800</v>
      </c>
      <c r="U240" s="2688">
        <v>5946</v>
      </c>
      <c r="V240" s="2724">
        <v>0.2</v>
      </c>
      <c r="W240" s="2722">
        <v>29.82</v>
      </c>
      <c r="X240" s="2725">
        <v>298200</v>
      </c>
      <c r="Y240" s="2745">
        <v>2005</v>
      </c>
      <c r="Z240" s="2745">
        <v>9</v>
      </c>
      <c r="AA240" s="2745">
        <v>19</v>
      </c>
      <c r="AB240" s="2688">
        <v>1115</v>
      </c>
      <c r="AC240" s="2688" t="s">
        <v>1707</v>
      </c>
      <c r="AD240" s="2688"/>
      <c r="AE240" s="2747" t="s">
        <v>1070</v>
      </c>
      <c r="AF240" s="2691" t="s">
        <v>1068</v>
      </c>
      <c r="AG240" s="2688" t="s">
        <v>1069</v>
      </c>
      <c r="AH240" s="2688"/>
      <c r="AI240" s="2747" t="s">
        <v>2138</v>
      </c>
      <c r="AJ240" s="2760"/>
      <c r="AK240" s="2755">
        <v>9</v>
      </c>
      <c r="AL240" s="2745">
        <v>67641700</v>
      </c>
      <c r="AM240" s="2745"/>
      <c r="AN240" s="2747" t="s">
        <v>1182</v>
      </c>
      <c r="AO240" s="2688"/>
      <c r="AP240" s="2747" t="s">
        <v>1515</v>
      </c>
      <c r="AQ240" s="2747" t="s">
        <v>1074</v>
      </c>
      <c r="AR240" s="2688"/>
      <c r="AS240" s="2688"/>
      <c r="AT240" s="2688"/>
      <c r="AU240" s="2688"/>
      <c r="AV240" s="2745"/>
      <c r="AW240" s="2745" t="s">
        <v>1090</v>
      </c>
      <c r="AX240" s="2745"/>
      <c r="AY240" s="2769"/>
      <c r="AZ240" s="2688" t="s">
        <v>2779</v>
      </c>
      <c r="BA240" s="2745"/>
      <c r="BB240" s="2769"/>
      <c r="BC240" s="2745"/>
      <c r="BD240" s="2770"/>
      <c r="BE240" s="2769"/>
      <c r="BF240" s="2788"/>
      <c r="BG240" s="2798">
        <v>38596</v>
      </c>
      <c r="BH240" s="2745" t="s">
        <v>1174</v>
      </c>
      <c r="BI240" s="2748" t="s">
        <v>1515</v>
      </c>
      <c r="BJ240" s="2789"/>
      <c r="BK240" s="2790"/>
      <c r="BL240" s="2745" t="s">
        <v>1092</v>
      </c>
      <c r="BM240" s="2745" t="s">
        <v>888</v>
      </c>
      <c r="BN240" s="2688" t="s">
        <v>1148</v>
      </c>
      <c r="BO240" s="2745" t="s">
        <v>2780</v>
      </c>
      <c r="BP240" s="2745"/>
      <c r="BQ240" s="2745" t="e">
        <v>#DIV/0!</v>
      </c>
      <c r="BR240" s="2745" t="e">
        <v>#DIV/0!</v>
      </c>
    </row>
    <row r="241" s="2506" customFormat="1" ht="12" hidden="1" spans="1:73">
      <c r="A241" s="2688" t="s">
        <v>2781</v>
      </c>
      <c r="B241" s="2685" t="s">
        <v>2782</v>
      </c>
      <c r="C241" s="2686" t="s">
        <v>2783</v>
      </c>
      <c r="D241" s="2686" t="s">
        <v>2784</v>
      </c>
      <c r="E241" s="2685" t="s">
        <v>1060</v>
      </c>
      <c r="F241" s="2687" t="s">
        <v>2785</v>
      </c>
      <c r="G241" s="2685"/>
      <c r="H241" s="2685" t="s">
        <v>1180</v>
      </c>
      <c r="I241" s="2685"/>
      <c r="J241" s="2686" t="s">
        <v>2786</v>
      </c>
      <c r="K241" s="2685" t="s">
        <v>2782</v>
      </c>
      <c r="L241" s="2685">
        <v>59.7</v>
      </c>
      <c r="M241" s="2685">
        <v>14</v>
      </c>
      <c r="N241" s="2685" t="s">
        <v>1064</v>
      </c>
      <c r="O241" s="2685"/>
      <c r="P241" s="2685" t="s">
        <v>1065</v>
      </c>
      <c r="Q241" s="2716">
        <v>410000</v>
      </c>
      <c r="R241" s="2685">
        <v>6868</v>
      </c>
      <c r="S241" s="2717">
        <v>35.99</v>
      </c>
      <c r="T241" s="2718">
        <v>359900</v>
      </c>
      <c r="U241" s="2685">
        <v>6030</v>
      </c>
      <c r="V241" s="2719">
        <v>0.05</v>
      </c>
      <c r="W241" s="2717">
        <v>34.19</v>
      </c>
      <c r="X241" s="2720">
        <v>341900</v>
      </c>
      <c r="Y241" s="2744">
        <v>2005</v>
      </c>
      <c r="Z241" s="2744">
        <v>9</v>
      </c>
      <c r="AA241" s="2744">
        <v>20</v>
      </c>
      <c r="AB241" s="2685">
        <v>1075</v>
      </c>
      <c r="AC241" s="2685" t="s">
        <v>1605</v>
      </c>
      <c r="AD241" s="2685"/>
      <c r="AE241" s="2747" t="s">
        <v>175</v>
      </c>
      <c r="AF241" s="2685" t="s">
        <v>1068</v>
      </c>
      <c r="AG241" s="2685" t="s">
        <v>1069</v>
      </c>
      <c r="AH241" s="2685"/>
      <c r="AI241" s="2747" t="s">
        <v>2138</v>
      </c>
      <c r="AJ241" s="2751"/>
      <c r="AK241" s="2756" t="s">
        <v>1124</v>
      </c>
      <c r="AL241" s="2744">
        <v>67641700</v>
      </c>
      <c r="AM241" s="2744"/>
      <c r="AN241" s="2744" t="s">
        <v>1182</v>
      </c>
      <c r="AO241" s="2744"/>
      <c r="AP241" s="2747" t="s">
        <v>1515</v>
      </c>
      <c r="AQ241" s="2744" t="s">
        <v>1074</v>
      </c>
      <c r="AR241" s="2744"/>
      <c r="AS241" s="2744"/>
      <c r="AT241" s="2744"/>
      <c r="AU241" s="2744"/>
      <c r="AV241" s="2744"/>
      <c r="AW241" s="2744"/>
      <c r="AX241" s="2744"/>
      <c r="AY241" s="2767"/>
      <c r="AZ241" s="2744" t="s">
        <v>2787</v>
      </c>
      <c r="BA241" s="2744"/>
      <c r="BB241" s="2767"/>
      <c r="BC241" s="2744"/>
      <c r="BD241" s="2768"/>
      <c r="BE241" s="2744"/>
      <c r="BF241" s="2784"/>
      <c r="BG241" s="2785">
        <v>38610</v>
      </c>
      <c r="BH241" s="2744"/>
      <c r="BI241" s="2745" t="s">
        <v>2140</v>
      </c>
      <c r="BJ241" s="2787">
        <v>38610</v>
      </c>
      <c r="BK241" s="2787"/>
      <c r="BL241" s="2688" t="s">
        <v>1092</v>
      </c>
      <c r="BM241" s="2744" t="s">
        <v>888</v>
      </c>
      <c r="BN241" s="2744" t="s">
        <v>1148</v>
      </c>
      <c r="BO241" s="2744" t="s">
        <v>1128</v>
      </c>
      <c r="BP241" s="2744"/>
      <c r="BQ241" s="2744" t="e">
        <v>#DIV/0!</v>
      </c>
      <c r="BR241" s="2744" t="e">
        <v>#DIV/0!</v>
      </c>
      <c r="BS241" s="2504"/>
      <c r="BT241" s="2504"/>
      <c r="BU241" s="2504"/>
    </row>
    <row r="242" s="2506" customFormat="1" ht="12" hidden="1" spans="1:73">
      <c r="A242" s="2685" t="s">
        <v>2788</v>
      </c>
      <c r="B242" s="2685" t="s">
        <v>2789</v>
      </c>
      <c r="C242" s="2686" t="s">
        <v>2790</v>
      </c>
      <c r="D242" s="2686" t="s">
        <v>2791</v>
      </c>
      <c r="E242" s="2685" t="s">
        <v>1060</v>
      </c>
      <c r="F242" s="2687" t="s">
        <v>1986</v>
      </c>
      <c r="G242" s="2685"/>
      <c r="H242" s="2685" t="s">
        <v>1823</v>
      </c>
      <c r="I242" s="2685" t="s">
        <v>1591</v>
      </c>
      <c r="J242" s="2686" t="s">
        <v>2154</v>
      </c>
      <c r="K242" s="2685" t="s">
        <v>2789</v>
      </c>
      <c r="L242" s="2685">
        <v>58.28</v>
      </c>
      <c r="M242" s="2685">
        <v>4</v>
      </c>
      <c r="N242" s="2685" t="s">
        <v>1064</v>
      </c>
      <c r="O242" s="2685"/>
      <c r="P242" s="2685" t="s">
        <v>1065</v>
      </c>
      <c r="Q242" s="2716">
        <v>363500</v>
      </c>
      <c r="R242" s="2685">
        <v>6237</v>
      </c>
      <c r="S242" s="2717">
        <v>28.44</v>
      </c>
      <c r="T242" s="2718">
        <v>284400</v>
      </c>
      <c r="U242" s="2685">
        <v>4880</v>
      </c>
      <c r="V242" s="2719">
        <v>0.05</v>
      </c>
      <c r="W242" s="2717">
        <v>27.01</v>
      </c>
      <c r="X242" s="2720">
        <v>270100</v>
      </c>
      <c r="Y242" s="2744">
        <v>2005</v>
      </c>
      <c r="Z242" s="2744">
        <v>9</v>
      </c>
      <c r="AA242" s="2744">
        <v>26</v>
      </c>
      <c r="AB242" s="2685">
        <v>850</v>
      </c>
      <c r="AC242" s="2685" t="s">
        <v>1605</v>
      </c>
      <c r="AD242" s="2685"/>
      <c r="AE242" s="2685" t="s">
        <v>1067</v>
      </c>
      <c r="AF242" s="2685" t="s">
        <v>1068</v>
      </c>
      <c r="AG242" s="2685" t="s">
        <v>1069</v>
      </c>
      <c r="AH242" s="2685"/>
      <c r="AI242" s="2747" t="s">
        <v>2138</v>
      </c>
      <c r="AJ242" s="2751"/>
      <c r="AK242" s="2685" t="s">
        <v>1124</v>
      </c>
      <c r="AL242" s="2744">
        <v>67641700</v>
      </c>
      <c r="AM242" s="2744"/>
      <c r="AN242" s="2744" t="s">
        <v>1071</v>
      </c>
      <c r="AO242" s="2744"/>
      <c r="AP242" s="2745" t="s">
        <v>1515</v>
      </c>
      <c r="AQ242" s="2685" t="s">
        <v>1074</v>
      </c>
      <c r="AR242" s="2744"/>
      <c r="AS242" s="2744"/>
      <c r="AT242" s="2744"/>
      <c r="AU242" s="2744"/>
      <c r="AV242" s="2744"/>
      <c r="AW242" s="2685" t="s">
        <v>1343</v>
      </c>
      <c r="AX242" s="2744"/>
      <c r="AY242" s="2767"/>
      <c r="AZ242" s="2744" t="s">
        <v>2792</v>
      </c>
      <c r="BA242" s="2744"/>
      <c r="BB242" s="2767"/>
      <c r="BC242" s="2744"/>
      <c r="BD242" s="2768"/>
      <c r="BE242" s="2744"/>
      <c r="BF242" s="2784"/>
      <c r="BG242" s="2785">
        <v>38595</v>
      </c>
      <c r="BH242" s="2744"/>
      <c r="BI242" s="2745" t="s">
        <v>2140</v>
      </c>
      <c r="BJ242" s="2787">
        <v>38603</v>
      </c>
      <c r="BK242" s="2787"/>
      <c r="BL242" s="2685" t="s">
        <v>1174</v>
      </c>
      <c r="BM242" s="2685" t="s">
        <v>888</v>
      </c>
      <c r="BN242" s="2685" t="s">
        <v>1077</v>
      </c>
      <c r="BO242" s="2744" t="s">
        <v>1128</v>
      </c>
      <c r="BP242" s="2744"/>
      <c r="BQ242" s="2744" t="e">
        <v>#DIV/0!</v>
      </c>
      <c r="BR242" s="2744" t="e">
        <v>#DIV/0!</v>
      </c>
      <c r="BS242" s="2504"/>
      <c r="BT242" s="2504"/>
      <c r="BU242" s="2504"/>
    </row>
    <row r="243" s="2504" customFormat="1" ht="12" hidden="1" spans="1:70">
      <c r="A243" s="2688" t="s">
        <v>2793</v>
      </c>
      <c r="B243" s="2688" t="s">
        <v>2794</v>
      </c>
      <c r="C243" s="2689" t="s">
        <v>2795</v>
      </c>
      <c r="D243" s="2688">
        <v>13911586158</v>
      </c>
      <c r="E243" s="2688" t="s">
        <v>1060</v>
      </c>
      <c r="F243" s="2688" t="s">
        <v>2796</v>
      </c>
      <c r="G243" s="2688"/>
      <c r="H243" s="2688" t="s">
        <v>1084</v>
      </c>
      <c r="I243" s="2688" t="s">
        <v>1099</v>
      </c>
      <c r="J243" s="2688" t="s">
        <v>1382</v>
      </c>
      <c r="K243" s="2688" t="s">
        <v>2794</v>
      </c>
      <c r="L243" s="2708">
        <v>56.8</v>
      </c>
      <c r="M243" s="2688">
        <v>2</v>
      </c>
      <c r="N243" s="2688" t="s">
        <v>1064</v>
      </c>
      <c r="O243" s="2688"/>
      <c r="P243" s="2688" t="s">
        <v>1065</v>
      </c>
      <c r="Q243" s="2688">
        <v>390000</v>
      </c>
      <c r="R243" s="2688">
        <v>6866</v>
      </c>
      <c r="S243" s="2722">
        <v>32.04</v>
      </c>
      <c r="T243" s="2723">
        <v>320400</v>
      </c>
      <c r="U243" s="2688">
        <v>5642</v>
      </c>
      <c r="V243" s="2727">
        <v>0.05</v>
      </c>
      <c r="W243" s="2722">
        <v>30.43</v>
      </c>
      <c r="X243" s="2725">
        <v>304300</v>
      </c>
      <c r="Y243" s="2688">
        <v>2005</v>
      </c>
      <c r="Z243" s="2688">
        <v>10</v>
      </c>
      <c r="AA243" s="2745">
        <v>11</v>
      </c>
      <c r="AB243" s="2688">
        <v>960</v>
      </c>
      <c r="AC243" s="2688" t="s">
        <v>1605</v>
      </c>
      <c r="AD243" s="2688"/>
      <c r="AE243" s="2745" t="s">
        <v>1070</v>
      </c>
      <c r="AF243" s="2688" t="s">
        <v>1068</v>
      </c>
      <c r="AG243" s="2688" t="s">
        <v>1069</v>
      </c>
      <c r="AH243" s="2688"/>
      <c r="AI243" s="2747" t="s">
        <v>2138</v>
      </c>
      <c r="AJ243" s="2753"/>
      <c r="AK243" s="2688" t="s">
        <v>1423</v>
      </c>
      <c r="AL243" s="2688">
        <v>67641700</v>
      </c>
      <c r="AM243" s="2688"/>
      <c r="AN243" s="2688" t="s">
        <v>1087</v>
      </c>
      <c r="AO243" s="2688" t="s">
        <v>1114</v>
      </c>
      <c r="AP243" s="2747" t="s">
        <v>1515</v>
      </c>
      <c r="AQ243" s="2688" t="s">
        <v>1089</v>
      </c>
      <c r="AR243" s="2688"/>
      <c r="AS243" s="2688"/>
      <c r="AT243" s="2688"/>
      <c r="AU243" s="2688"/>
      <c r="AV243" s="2688"/>
      <c r="AW243" s="2688" t="s">
        <v>1075</v>
      </c>
      <c r="AX243" s="2688"/>
      <c r="AY243" s="2689"/>
      <c r="AZ243" s="2688" t="s">
        <v>2797</v>
      </c>
      <c r="BA243" s="2688"/>
      <c r="BB243" s="2688"/>
      <c r="BC243" s="2688"/>
      <c r="BD243" s="2688"/>
      <c r="BE243" s="2688"/>
      <c r="BF243" s="2688"/>
      <c r="BG243" s="2792">
        <v>38612</v>
      </c>
      <c r="BH243" s="2688"/>
      <c r="BI243" s="2748" t="s">
        <v>2140</v>
      </c>
      <c r="BJ243" s="2789">
        <v>38617</v>
      </c>
      <c r="BK243" s="2789"/>
      <c r="BL243" s="2688" t="s">
        <v>1174</v>
      </c>
      <c r="BM243" s="2688" t="s">
        <v>888</v>
      </c>
      <c r="BN243" s="2688" t="s">
        <v>1077</v>
      </c>
      <c r="BO243" s="2688" t="s">
        <v>2780</v>
      </c>
      <c r="BP243" s="2688"/>
      <c r="BQ243" s="2745" t="e">
        <v>#DIV/0!</v>
      </c>
      <c r="BR243" s="2745" t="e">
        <v>#DIV/0!</v>
      </c>
    </row>
    <row r="244" s="2504" customFormat="1" ht="12" hidden="1" spans="1:70">
      <c r="A244" s="2688" t="s">
        <v>2798</v>
      </c>
      <c r="B244" s="2688" t="s">
        <v>2799</v>
      </c>
      <c r="C244" s="2689" t="s">
        <v>2800</v>
      </c>
      <c r="D244" s="2689" t="s">
        <v>2801</v>
      </c>
      <c r="E244" s="2688" t="s">
        <v>1060</v>
      </c>
      <c r="F244" s="2688" t="s">
        <v>1704</v>
      </c>
      <c r="G244" s="2688"/>
      <c r="H244" s="2688" t="s">
        <v>1180</v>
      </c>
      <c r="I244" s="2688" t="s">
        <v>1222</v>
      </c>
      <c r="J244" s="2689" t="s">
        <v>1586</v>
      </c>
      <c r="K244" s="2688" t="s">
        <v>2799</v>
      </c>
      <c r="L244" s="2702">
        <v>147.11</v>
      </c>
      <c r="M244" s="2688">
        <v>4</v>
      </c>
      <c r="N244" s="2688" t="s">
        <v>1299</v>
      </c>
      <c r="O244" s="2688"/>
      <c r="P244" s="2688" t="s">
        <v>1065</v>
      </c>
      <c r="Q244" s="2726">
        <v>700000</v>
      </c>
      <c r="R244" s="2688">
        <v>4758</v>
      </c>
      <c r="S244" s="2722">
        <v>73.55</v>
      </c>
      <c r="T244" s="2723">
        <v>735500</v>
      </c>
      <c r="U244" s="2688">
        <v>5000</v>
      </c>
      <c r="V244" s="2724">
        <v>0.05</v>
      </c>
      <c r="W244" s="2722">
        <v>69.87</v>
      </c>
      <c r="X244" s="2725">
        <v>698700</v>
      </c>
      <c r="Y244" s="2745">
        <v>2005</v>
      </c>
      <c r="Z244" s="2745">
        <v>10</v>
      </c>
      <c r="AA244" s="2745">
        <v>9</v>
      </c>
      <c r="AB244" s="2688">
        <v>1500</v>
      </c>
      <c r="AC244" s="2688" t="s">
        <v>1605</v>
      </c>
      <c r="AD244" s="2688"/>
      <c r="AE244" s="2747" t="s">
        <v>175</v>
      </c>
      <c r="AF244" s="2691" t="s">
        <v>1068</v>
      </c>
      <c r="AG244" s="2688" t="s">
        <v>1069</v>
      </c>
      <c r="AH244" s="2688"/>
      <c r="AI244" s="2747" t="s">
        <v>2138</v>
      </c>
      <c r="AJ244" s="2760"/>
      <c r="AK244" s="2755" t="s">
        <v>1423</v>
      </c>
      <c r="AL244" s="2745">
        <v>67641700</v>
      </c>
      <c r="AM244" s="2745"/>
      <c r="AN244" s="2747" t="s">
        <v>1087</v>
      </c>
      <c r="AO244" s="2688"/>
      <c r="AP244" s="2747" t="s">
        <v>1515</v>
      </c>
      <c r="AQ244" s="2747" t="s">
        <v>1607</v>
      </c>
      <c r="AR244" s="2688"/>
      <c r="AS244" s="2688"/>
      <c r="AT244" s="2688"/>
      <c r="AU244" s="2688"/>
      <c r="AV244" s="2745"/>
      <c r="AW244" s="2745" t="s">
        <v>1075</v>
      </c>
      <c r="AX244" s="2745"/>
      <c r="AY244" s="2769"/>
      <c r="AZ244" s="2745" t="s">
        <v>2802</v>
      </c>
      <c r="BA244" s="2745"/>
      <c r="BB244" s="2769"/>
      <c r="BC244" s="2745"/>
      <c r="BD244" s="2770"/>
      <c r="BE244" s="2769"/>
      <c r="BF244" s="2788"/>
      <c r="BG244" s="2798">
        <v>38618</v>
      </c>
      <c r="BH244" s="2745" t="s">
        <v>1174</v>
      </c>
      <c r="BI244" s="2748" t="s">
        <v>1515</v>
      </c>
      <c r="BJ244" s="2789">
        <v>38618</v>
      </c>
      <c r="BK244" s="2790"/>
      <c r="BL244" s="2745" t="s">
        <v>1068</v>
      </c>
      <c r="BM244" s="2745" t="s">
        <v>888</v>
      </c>
      <c r="BN244" s="2688" t="s">
        <v>1077</v>
      </c>
      <c r="BO244" s="2745" t="s">
        <v>1128</v>
      </c>
      <c r="BP244" s="2745"/>
      <c r="BQ244" s="2745" t="e">
        <v>#DIV/0!</v>
      </c>
      <c r="BR244" s="2745" t="e">
        <v>#DIV/0!</v>
      </c>
    </row>
    <row r="245" s="2504" customFormat="1" ht="12" hidden="1" spans="1:70">
      <c r="A245" s="2688" t="s">
        <v>2803</v>
      </c>
      <c r="B245" s="2688" t="s">
        <v>2804</v>
      </c>
      <c r="C245" s="2689" t="s">
        <v>2805</v>
      </c>
      <c r="D245" s="2689" t="s">
        <v>2806</v>
      </c>
      <c r="E245" s="2688" t="s">
        <v>1060</v>
      </c>
      <c r="F245" s="2688" t="s">
        <v>2807</v>
      </c>
      <c r="G245" s="2688"/>
      <c r="H245" s="2688" t="s">
        <v>1239</v>
      </c>
      <c r="I245" s="2688" t="s">
        <v>2808</v>
      </c>
      <c r="J245" s="2689" t="s">
        <v>1135</v>
      </c>
      <c r="K245" s="2688" t="s">
        <v>2804</v>
      </c>
      <c r="L245" s="2702">
        <v>77.48</v>
      </c>
      <c r="M245" s="2688">
        <v>1</v>
      </c>
      <c r="N245" s="2688" t="s">
        <v>1064</v>
      </c>
      <c r="O245" s="2688"/>
      <c r="P245" s="2688" t="s">
        <v>1065</v>
      </c>
      <c r="Q245" s="2726">
        <v>470000</v>
      </c>
      <c r="R245" s="2688">
        <v>6066</v>
      </c>
      <c r="S245" s="2722">
        <v>40.75</v>
      </c>
      <c r="T245" s="2723">
        <v>407500</v>
      </c>
      <c r="U245" s="2688">
        <v>5260</v>
      </c>
      <c r="V245" s="2724">
        <v>0.05</v>
      </c>
      <c r="W245" s="2722">
        <v>38.71</v>
      </c>
      <c r="X245" s="2725">
        <v>387100</v>
      </c>
      <c r="Y245" s="2745">
        <v>2005</v>
      </c>
      <c r="Z245" s="2745">
        <v>10</v>
      </c>
      <c r="AA245" s="2745">
        <v>25</v>
      </c>
      <c r="AB245" s="2688">
        <v>1220</v>
      </c>
      <c r="AC245" s="2688" t="s">
        <v>1605</v>
      </c>
      <c r="AD245" s="2688"/>
      <c r="AE245" s="2747" t="s">
        <v>175</v>
      </c>
      <c r="AF245" s="2691" t="s">
        <v>1068</v>
      </c>
      <c r="AG245" s="2688" t="s">
        <v>1069</v>
      </c>
      <c r="AH245" s="2688"/>
      <c r="AI245" s="2747" t="s">
        <v>2138</v>
      </c>
      <c r="AJ245" s="2760"/>
      <c r="AK245" s="2755" t="s">
        <v>1423</v>
      </c>
      <c r="AL245" s="2745">
        <v>67641700</v>
      </c>
      <c r="AM245" s="2745"/>
      <c r="AN245" s="2747" t="s">
        <v>1072</v>
      </c>
      <c r="AO245" s="2688"/>
      <c r="AP245" s="2747" t="s">
        <v>1515</v>
      </c>
      <c r="AQ245" s="2747" t="s">
        <v>1607</v>
      </c>
      <c r="AR245" s="2688"/>
      <c r="AS245" s="2688"/>
      <c r="AT245" s="2688"/>
      <c r="AU245" s="2688"/>
      <c r="AV245" s="2745"/>
      <c r="AW245" s="2745" t="s">
        <v>1075</v>
      </c>
      <c r="AX245" s="2745"/>
      <c r="AY245" s="2769"/>
      <c r="AZ245" s="2745" t="s">
        <v>2809</v>
      </c>
      <c r="BA245" s="2745"/>
      <c r="BB245" s="2769"/>
      <c r="BC245" s="2745"/>
      <c r="BD245" s="2770"/>
      <c r="BE245" s="2769"/>
      <c r="BF245" s="2788"/>
      <c r="BG245" s="2798">
        <v>38624</v>
      </c>
      <c r="BH245" s="2745" t="s">
        <v>1174</v>
      </c>
      <c r="BI245" s="2748" t="s">
        <v>1515</v>
      </c>
      <c r="BJ245" s="2789">
        <v>38633</v>
      </c>
      <c r="BK245" s="2790"/>
      <c r="BL245" s="2745" t="s">
        <v>1092</v>
      </c>
      <c r="BM245" s="2745" t="s">
        <v>888</v>
      </c>
      <c r="BN245" s="2688" t="s">
        <v>1077</v>
      </c>
      <c r="BO245" s="2745" t="s">
        <v>1128</v>
      </c>
      <c r="BP245" s="2745"/>
      <c r="BQ245" s="2745"/>
      <c r="BR245" s="2745"/>
    </row>
    <row r="246" s="2504" customFormat="1" ht="12" hidden="1" spans="1:70">
      <c r="A246" s="2688" t="s">
        <v>2810</v>
      </c>
      <c r="B246" s="2688" t="s">
        <v>2811</v>
      </c>
      <c r="C246" s="2689" t="s">
        <v>2812</v>
      </c>
      <c r="D246" s="2689">
        <v>13021043391</v>
      </c>
      <c r="E246" s="2691" t="s">
        <v>1060</v>
      </c>
      <c r="F246" s="2691" t="s">
        <v>1179</v>
      </c>
      <c r="G246" s="2688"/>
      <c r="H246" s="2691" t="s">
        <v>1084</v>
      </c>
      <c r="I246" s="2691"/>
      <c r="J246" s="2688" t="s">
        <v>1733</v>
      </c>
      <c r="K246" s="2688" t="s">
        <v>2811</v>
      </c>
      <c r="L246" s="2708">
        <v>81.81</v>
      </c>
      <c r="M246" s="2688">
        <v>4</v>
      </c>
      <c r="N246" s="2688" t="s">
        <v>1064</v>
      </c>
      <c r="O246" s="2688"/>
      <c r="P246" s="2688" t="s">
        <v>1065</v>
      </c>
      <c r="Q246" s="2712">
        <v>710000</v>
      </c>
      <c r="R246" s="2688">
        <v>8679</v>
      </c>
      <c r="S246" s="2722">
        <v>55.63</v>
      </c>
      <c r="T246" s="2723">
        <v>556300</v>
      </c>
      <c r="U246" s="2688">
        <v>6800</v>
      </c>
      <c r="V246" s="2724">
        <v>0.05</v>
      </c>
      <c r="W246" s="2722">
        <v>52.84</v>
      </c>
      <c r="X246" s="2725">
        <v>528400</v>
      </c>
      <c r="Y246" s="2745">
        <v>2005</v>
      </c>
      <c r="Z246" s="2745">
        <v>10</v>
      </c>
      <c r="AA246" s="2745">
        <v>25</v>
      </c>
      <c r="AB246" s="2688">
        <v>1500</v>
      </c>
      <c r="AC246" s="2688" t="s">
        <v>1605</v>
      </c>
      <c r="AD246" s="2688"/>
      <c r="AE246" s="2747" t="s">
        <v>175</v>
      </c>
      <c r="AF246" s="2691" t="s">
        <v>1068</v>
      </c>
      <c r="AG246" s="2747" t="s">
        <v>1069</v>
      </c>
      <c r="AH246" s="2688"/>
      <c r="AI246" s="2688" t="s">
        <v>1342</v>
      </c>
      <c r="AJ246" s="2753"/>
      <c r="AK246" s="2755" t="s">
        <v>1423</v>
      </c>
      <c r="AL246" s="2688">
        <v>82253558</v>
      </c>
      <c r="AM246" s="2745"/>
      <c r="AN246" s="2688" t="s">
        <v>1182</v>
      </c>
      <c r="AO246" s="2688"/>
      <c r="AP246" s="2688" t="s">
        <v>1208</v>
      </c>
      <c r="AQ246" s="2688" t="s">
        <v>1607</v>
      </c>
      <c r="AR246" s="2745"/>
      <c r="AS246" s="2745"/>
      <c r="AT246" s="2745"/>
      <c r="AU246" s="2745"/>
      <c r="AV246" s="2745"/>
      <c r="AW246" s="2745" t="s">
        <v>1075</v>
      </c>
      <c r="AX246" s="2745"/>
      <c r="AY246" s="2769"/>
      <c r="AZ246" s="2688" t="s">
        <v>1183</v>
      </c>
      <c r="BA246" s="2774"/>
      <c r="BB246" s="2775"/>
      <c r="BC246" s="2774"/>
      <c r="BD246" s="2776"/>
      <c r="BE246" s="2745"/>
      <c r="BF246" s="2788"/>
      <c r="BG246" s="2798">
        <v>38625</v>
      </c>
      <c r="BH246" s="2688" t="s">
        <v>1174</v>
      </c>
      <c r="BI246" s="2688" t="s">
        <v>1609</v>
      </c>
      <c r="BJ246" s="2789">
        <v>38635</v>
      </c>
      <c r="BK246" s="2789"/>
      <c r="BL246" s="2688" t="s">
        <v>1092</v>
      </c>
      <c r="BM246" s="2745" t="s">
        <v>888</v>
      </c>
      <c r="BN246" s="2745" t="s">
        <v>1077</v>
      </c>
      <c r="BO246" s="2745" t="s">
        <v>1128</v>
      </c>
      <c r="BP246" s="2745"/>
      <c r="BQ246" s="2745"/>
      <c r="BR246" s="2745"/>
    </row>
    <row r="247" s="2506" customFormat="1" ht="12" hidden="1" spans="1:73">
      <c r="A247" s="2685" t="s">
        <v>2813</v>
      </c>
      <c r="B247" s="2685" t="s">
        <v>2814</v>
      </c>
      <c r="C247" s="2686" t="s">
        <v>2815</v>
      </c>
      <c r="D247" s="2686" t="s">
        <v>2816</v>
      </c>
      <c r="E247" s="2685" t="s">
        <v>1060</v>
      </c>
      <c r="F247" s="2687" t="s">
        <v>2817</v>
      </c>
      <c r="G247" s="2685"/>
      <c r="H247" s="2685" t="s">
        <v>2153</v>
      </c>
      <c r="I247" s="2685" t="s">
        <v>2818</v>
      </c>
      <c r="J247" s="2686" t="s">
        <v>2018</v>
      </c>
      <c r="K247" s="2685" t="s">
        <v>2814</v>
      </c>
      <c r="L247" s="2714">
        <v>40.3</v>
      </c>
      <c r="M247" s="2685">
        <v>1</v>
      </c>
      <c r="N247" s="2685" t="s">
        <v>1259</v>
      </c>
      <c r="O247" s="2685"/>
      <c r="P247" s="2685" t="s">
        <v>1065</v>
      </c>
      <c r="Q247" s="2716">
        <v>335000</v>
      </c>
      <c r="R247" s="2685">
        <v>8313</v>
      </c>
      <c r="S247" s="2717">
        <v>24.3</v>
      </c>
      <c r="T247" s="2718">
        <v>243000</v>
      </c>
      <c r="U247" s="2685">
        <v>6030</v>
      </c>
      <c r="V247" s="2719">
        <v>0.05</v>
      </c>
      <c r="W247" s="2717">
        <v>23.08</v>
      </c>
      <c r="X247" s="2720">
        <v>230800</v>
      </c>
      <c r="Y247" s="2744">
        <v>2005</v>
      </c>
      <c r="Z247" s="2744">
        <v>10</v>
      </c>
      <c r="AA247" s="2744">
        <v>14</v>
      </c>
      <c r="AB247" s="2688">
        <v>725</v>
      </c>
      <c r="AC247" s="2685" t="s">
        <v>1605</v>
      </c>
      <c r="AD247" s="2685"/>
      <c r="AE247" s="2688" t="s">
        <v>175</v>
      </c>
      <c r="AF247" s="2685" t="s">
        <v>1068</v>
      </c>
      <c r="AG247" s="2685" t="s">
        <v>1069</v>
      </c>
      <c r="AH247" s="2685"/>
      <c r="AI247" s="2747" t="s">
        <v>2138</v>
      </c>
      <c r="AJ247" s="2751"/>
      <c r="AK247" s="2754" t="s">
        <v>1423</v>
      </c>
      <c r="AL247" s="2688">
        <v>67641700</v>
      </c>
      <c r="AM247" s="2744"/>
      <c r="AN247" s="2744" t="s">
        <v>1087</v>
      </c>
      <c r="AO247" s="2744"/>
      <c r="AP247" s="2745" t="s">
        <v>1515</v>
      </c>
      <c r="AQ247" s="2685" t="s">
        <v>1074</v>
      </c>
      <c r="AR247" s="2744"/>
      <c r="AS247" s="2744"/>
      <c r="AT247" s="2744"/>
      <c r="AU247" s="2744"/>
      <c r="AV247" s="2744"/>
      <c r="AW247" s="2744"/>
      <c r="AX247" s="2744"/>
      <c r="AY247" s="2767"/>
      <c r="AZ247" s="2744" t="s">
        <v>2819</v>
      </c>
      <c r="BA247" s="2744"/>
      <c r="BB247" s="2767"/>
      <c r="BC247" s="2744"/>
      <c r="BD247" s="2768"/>
      <c r="BE247" s="2744"/>
      <c r="BF247" s="2784"/>
      <c r="BG247" s="2785">
        <v>38633</v>
      </c>
      <c r="BH247" s="2744"/>
      <c r="BI247" s="2688" t="s">
        <v>2140</v>
      </c>
      <c r="BJ247" s="2787">
        <v>38637</v>
      </c>
      <c r="BK247" s="2787"/>
      <c r="BL247" s="2685" t="s">
        <v>1174</v>
      </c>
      <c r="BM247" s="2744" t="s">
        <v>888</v>
      </c>
      <c r="BN247" s="2744" t="s">
        <v>1148</v>
      </c>
      <c r="BO247" s="2744" t="s">
        <v>1128</v>
      </c>
      <c r="BP247" s="2744"/>
      <c r="BQ247" s="2744" t="e">
        <v>#DIV/0!</v>
      </c>
      <c r="BR247" s="2744" t="e">
        <v>#DIV/0!</v>
      </c>
      <c r="BS247" s="2504"/>
      <c r="BT247" s="2504"/>
      <c r="BU247" s="2504"/>
    </row>
    <row r="248" s="2504" customFormat="1" ht="12" hidden="1" spans="1:70">
      <c r="A248" s="2688" t="s">
        <v>2820</v>
      </c>
      <c r="B248" s="2688" t="s">
        <v>2821</v>
      </c>
      <c r="C248" s="2689" t="s">
        <v>2822</v>
      </c>
      <c r="D248" s="2688">
        <v>13810331907</v>
      </c>
      <c r="E248" s="2688" t="s">
        <v>1060</v>
      </c>
      <c r="F248" s="2688" t="s">
        <v>2041</v>
      </c>
      <c r="G248" s="2688"/>
      <c r="H248" s="2688" t="s">
        <v>2823</v>
      </c>
      <c r="I248" s="2688" t="s">
        <v>1134</v>
      </c>
      <c r="J248" s="2688" t="s">
        <v>2824</v>
      </c>
      <c r="K248" s="2688" t="s">
        <v>2821</v>
      </c>
      <c r="L248" s="2708">
        <v>74.13</v>
      </c>
      <c r="M248" s="2688">
        <v>5</v>
      </c>
      <c r="N248" s="2691" t="s">
        <v>1064</v>
      </c>
      <c r="O248" s="2688"/>
      <c r="P248" s="2688" t="s">
        <v>1514</v>
      </c>
      <c r="Q248" s="2688">
        <v>440000</v>
      </c>
      <c r="R248" s="2712">
        <v>5936</v>
      </c>
      <c r="S248" s="2722">
        <v>28.91</v>
      </c>
      <c r="T248" s="2723">
        <v>289100</v>
      </c>
      <c r="U248" s="2688">
        <v>3900</v>
      </c>
      <c r="V248" s="2727">
        <v>0.05</v>
      </c>
      <c r="W248" s="2722">
        <v>27.46</v>
      </c>
      <c r="X248" s="2725">
        <v>274600</v>
      </c>
      <c r="Y248" s="2688">
        <v>2005</v>
      </c>
      <c r="Z248" s="2688">
        <v>10</v>
      </c>
      <c r="AA248" s="2745">
        <v>13</v>
      </c>
      <c r="AB248" s="2688">
        <v>865</v>
      </c>
      <c r="AC248" s="2688" t="s">
        <v>1605</v>
      </c>
      <c r="AD248" s="2688"/>
      <c r="AE248" s="2688" t="s">
        <v>175</v>
      </c>
      <c r="AF248" s="2688" t="s">
        <v>1068</v>
      </c>
      <c r="AG248" s="2688" t="s">
        <v>2825</v>
      </c>
      <c r="AH248" s="2688"/>
      <c r="AI248" s="2688" t="s">
        <v>2138</v>
      </c>
      <c r="AJ248" s="2753"/>
      <c r="AK248" s="2754" t="s">
        <v>1423</v>
      </c>
      <c r="AL248" s="2745">
        <v>67641672</v>
      </c>
      <c r="AM248" s="2688"/>
      <c r="AN248" s="2688" t="s">
        <v>1087</v>
      </c>
      <c r="AO248" s="2688" t="s">
        <v>1114</v>
      </c>
      <c r="AP248" s="2688" t="s">
        <v>175</v>
      </c>
      <c r="AQ248" s="2688" t="s">
        <v>1074</v>
      </c>
      <c r="AR248" s="2688"/>
      <c r="AS248" s="2688"/>
      <c r="AT248" s="2688"/>
      <c r="AU248" s="2688"/>
      <c r="AV248" s="2688"/>
      <c r="AW248" s="2688" t="s">
        <v>1075</v>
      </c>
      <c r="AX248" s="2688"/>
      <c r="AY248" s="2689"/>
      <c r="AZ248" s="2688" t="s">
        <v>2826</v>
      </c>
      <c r="BA248" s="2688"/>
      <c r="BB248" s="2688"/>
      <c r="BC248" s="2688"/>
      <c r="BD248" s="2688"/>
      <c r="BE248" s="2688"/>
      <c r="BF248" s="2688"/>
      <c r="BG248" s="2792">
        <v>38635</v>
      </c>
      <c r="BH248" s="2688"/>
      <c r="BI248" s="2688" t="s">
        <v>175</v>
      </c>
      <c r="BJ248" s="2789">
        <v>38636</v>
      </c>
      <c r="BK248" s="2789"/>
      <c r="BL248" s="2688" t="s">
        <v>1174</v>
      </c>
      <c r="BM248" s="2688" t="s">
        <v>888</v>
      </c>
      <c r="BN248" s="2688" t="s">
        <v>1148</v>
      </c>
      <c r="BO248" s="2688" t="s">
        <v>1331</v>
      </c>
      <c r="BP248" s="2688"/>
      <c r="BQ248" s="2745" t="e">
        <v>#DIV/0!</v>
      </c>
      <c r="BR248" s="2745" t="e">
        <v>#DIV/0!</v>
      </c>
    </row>
    <row r="249" s="2504" customFormat="1" ht="12" hidden="1" spans="1:70">
      <c r="A249" s="2688" t="s">
        <v>2827</v>
      </c>
      <c r="B249" s="2691" t="s">
        <v>2828</v>
      </c>
      <c r="C249" s="2689" t="s">
        <v>2829</v>
      </c>
      <c r="D249" s="2691">
        <v>13641041808</v>
      </c>
      <c r="E249" s="2691" t="s">
        <v>1060</v>
      </c>
      <c r="F249" s="2691" t="s">
        <v>2830</v>
      </c>
      <c r="G249" s="2691"/>
      <c r="H249" s="2691" t="s">
        <v>1239</v>
      </c>
      <c r="I249" s="2691" t="s">
        <v>1099</v>
      </c>
      <c r="J249" s="2691" t="s">
        <v>2831</v>
      </c>
      <c r="K249" s="2691" t="s">
        <v>2832</v>
      </c>
      <c r="L249" s="2702">
        <v>77.8</v>
      </c>
      <c r="M249" s="2697">
        <v>6</v>
      </c>
      <c r="N249" s="2691" t="s">
        <v>1123</v>
      </c>
      <c r="O249" s="2697"/>
      <c r="P249" s="2691" t="s">
        <v>1065</v>
      </c>
      <c r="Q249" s="2712">
        <v>530000</v>
      </c>
      <c r="R249" s="2712">
        <v>6812</v>
      </c>
      <c r="S249" s="2722">
        <v>45.57</v>
      </c>
      <c r="T249" s="2723">
        <v>455700</v>
      </c>
      <c r="U249" s="2688">
        <v>5858</v>
      </c>
      <c r="V249" s="2724">
        <v>0.05</v>
      </c>
      <c r="W249" s="2722">
        <v>43.29</v>
      </c>
      <c r="X249" s="2723">
        <v>432900</v>
      </c>
      <c r="Y249" s="2745">
        <v>2005</v>
      </c>
      <c r="Z249" s="2745">
        <v>10</v>
      </c>
      <c r="AA249" s="2745">
        <v>19</v>
      </c>
      <c r="AB249" s="2688">
        <v>1365</v>
      </c>
      <c r="AC249" s="2688" t="s">
        <v>1605</v>
      </c>
      <c r="AD249" s="2691"/>
      <c r="AE249" s="2691" t="s">
        <v>1070</v>
      </c>
      <c r="AF249" s="2691" t="s">
        <v>1068</v>
      </c>
      <c r="AG249" s="2691" t="s">
        <v>1069</v>
      </c>
      <c r="AH249" s="2691"/>
      <c r="AI249" s="2747" t="s">
        <v>2138</v>
      </c>
      <c r="AJ249" s="2760"/>
      <c r="AK249" s="2755" t="s">
        <v>1423</v>
      </c>
      <c r="AL249" s="2745">
        <v>67641700</v>
      </c>
      <c r="AM249" s="2745"/>
      <c r="AN249" s="2747" t="s">
        <v>1088</v>
      </c>
      <c r="AO249" s="2745"/>
      <c r="AP249" s="2747" t="s">
        <v>1067</v>
      </c>
      <c r="AQ249" s="2745" t="s">
        <v>2833</v>
      </c>
      <c r="AR249" s="2688"/>
      <c r="AS249" s="2688"/>
      <c r="AT249" s="2688"/>
      <c r="AU249" s="2688"/>
      <c r="AV249" s="2765"/>
      <c r="AW249" s="2688" t="s">
        <v>1090</v>
      </c>
      <c r="AX249" s="2691"/>
      <c r="AY249" s="2691"/>
      <c r="AZ249" s="2691" t="s">
        <v>2832</v>
      </c>
      <c r="BA249" s="2691"/>
      <c r="BB249" s="2696"/>
      <c r="BC249" s="2691"/>
      <c r="BD249" s="2691"/>
      <c r="BE249" s="2691">
        <v>13641079921</v>
      </c>
      <c r="BF249" s="2788"/>
      <c r="BG249" s="2792">
        <v>38625</v>
      </c>
      <c r="BH249" s="2691"/>
      <c r="BI249" s="2691" t="s">
        <v>2140</v>
      </c>
      <c r="BJ249" s="2789">
        <v>38638</v>
      </c>
      <c r="BK249" s="2753"/>
      <c r="BL249" s="2688" t="s">
        <v>1174</v>
      </c>
      <c r="BM249" s="2688" t="s">
        <v>888</v>
      </c>
      <c r="BN249" s="2745" t="s">
        <v>1148</v>
      </c>
      <c r="BO249" s="2688" t="s">
        <v>1331</v>
      </c>
      <c r="BP249" s="2745"/>
      <c r="BQ249" s="2745" t="e">
        <v>#DIV/0!</v>
      </c>
      <c r="BR249" s="2745" t="e">
        <v>#DIV/0!</v>
      </c>
    </row>
    <row r="250" s="2505" customFormat="1" ht="12" hidden="1" spans="1:73">
      <c r="A250" s="2688" t="s">
        <v>2834</v>
      </c>
      <c r="B250" s="2688" t="s">
        <v>2835</v>
      </c>
      <c r="C250" s="2689" t="s">
        <v>2836</v>
      </c>
      <c r="D250" s="2689" t="s">
        <v>2837</v>
      </c>
      <c r="E250" s="2688" t="s">
        <v>1060</v>
      </c>
      <c r="F250" s="2690" t="s">
        <v>1739</v>
      </c>
      <c r="G250" s="2688"/>
      <c r="H250" s="2688" t="s">
        <v>1446</v>
      </c>
      <c r="I250" s="2688"/>
      <c r="J250" s="2689" t="s">
        <v>2838</v>
      </c>
      <c r="K250" s="2688" t="s">
        <v>2835</v>
      </c>
      <c r="L250" s="2708">
        <v>99.89</v>
      </c>
      <c r="M250" s="2688">
        <v>19</v>
      </c>
      <c r="N250" s="2691" t="s">
        <v>1064</v>
      </c>
      <c r="O250" s="2688"/>
      <c r="P250" s="2688" t="s">
        <v>1065</v>
      </c>
      <c r="Q250" s="2712">
        <v>444511</v>
      </c>
      <c r="R250" s="2685">
        <v>4450</v>
      </c>
      <c r="S250" s="2722">
        <v>44.45</v>
      </c>
      <c r="T250" s="2723">
        <v>444500</v>
      </c>
      <c r="U250" s="2688">
        <v>4450</v>
      </c>
      <c r="V250" s="2724">
        <v>0.05</v>
      </c>
      <c r="W250" s="2722">
        <v>42.22</v>
      </c>
      <c r="X250" s="2725">
        <v>422200</v>
      </c>
      <c r="Y250" s="2745">
        <v>2005</v>
      </c>
      <c r="Z250" s="2745">
        <v>10</v>
      </c>
      <c r="AA250" s="2745">
        <v>19</v>
      </c>
      <c r="AB250" s="2685">
        <v>1330</v>
      </c>
      <c r="AC250" s="2688" t="s">
        <v>1605</v>
      </c>
      <c r="AD250" s="2688"/>
      <c r="AE250" s="2744" t="s">
        <v>175</v>
      </c>
      <c r="AF250" s="2688" t="s">
        <v>1068</v>
      </c>
      <c r="AG250" s="2688" t="s">
        <v>1741</v>
      </c>
      <c r="AH250" s="2688"/>
      <c r="AI250" s="2747" t="s">
        <v>2138</v>
      </c>
      <c r="AJ250" s="2753"/>
      <c r="AK250" s="2688" t="s">
        <v>1423</v>
      </c>
      <c r="AL250" s="2745">
        <v>67641700</v>
      </c>
      <c r="AM250" s="2745"/>
      <c r="AN250" s="2745" t="s">
        <v>1088</v>
      </c>
      <c r="AO250" s="2745"/>
      <c r="AP250" s="2747" t="s">
        <v>1515</v>
      </c>
      <c r="AQ250" s="2688" t="s">
        <v>1074</v>
      </c>
      <c r="AR250" s="2745"/>
      <c r="AS250" s="2745"/>
      <c r="AT250" s="2745"/>
      <c r="AU250" s="2745"/>
      <c r="AV250" s="2745"/>
      <c r="AW250" s="2745"/>
      <c r="AX250" s="2745"/>
      <c r="AY250" s="2769"/>
      <c r="AZ250" s="2745" t="s">
        <v>2839</v>
      </c>
      <c r="BA250" s="2745"/>
      <c r="BB250" s="2769"/>
      <c r="BC250" s="2745"/>
      <c r="BD250" s="2770"/>
      <c r="BE250" s="2745"/>
      <c r="BF250" s="2788"/>
      <c r="BG250" s="2790">
        <v>38696</v>
      </c>
      <c r="BH250" s="2688" t="s">
        <v>1174</v>
      </c>
      <c r="BI250" s="2691" t="s">
        <v>2140</v>
      </c>
      <c r="BJ250" s="2789">
        <v>38639</v>
      </c>
      <c r="BK250" s="2789"/>
      <c r="BL250" s="2688"/>
      <c r="BM250" s="2688" t="s">
        <v>888</v>
      </c>
      <c r="BN250" s="2688" t="s">
        <v>1148</v>
      </c>
      <c r="BO250" s="2688" t="s">
        <v>1128</v>
      </c>
      <c r="BP250" s="2745"/>
      <c r="BQ250" s="2745" t="e">
        <v>#DIV/0!</v>
      </c>
      <c r="BR250" s="2745" t="e">
        <v>#DIV/0!</v>
      </c>
      <c r="BS250" s="2504"/>
      <c r="BT250" s="2504"/>
      <c r="BU250" s="2504"/>
    </row>
    <row r="251" s="2504" customFormat="1" ht="12" hidden="1" spans="1:74">
      <c r="A251" s="2688" t="s">
        <v>2840</v>
      </c>
      <c r="B251" s="2688" t="s">
        <v>2841</v>
      </c>
      <c r="C251" s="2689" t="s">
        <v>2842</v>
      </c>
      <c r="D251" s="2689" t="s">
        <v>2843</v>
      </c>
      <c r="E251" s="2688" t="s">
        <v>1060</v>
      </c>
      <c r="F251" s="2690" t="s">
        <v>1739</v>
      </c>
      <c r="G251" s="2688"/>
      <c r="H251" s="2688" t="s">
        <v>1446</v>
      </c>
      <c r="I251" s="2688"/>
      <c r="J251" s="2689" t="s">
        <v>1349</v>
      </c>
      <c r="K251" s="2688"/>
      <c r="L251" s="2688">
        <v>97.9</v>
      </c>
      <c r="M251" s="2688">
        <v>20</v>
      </c>
      <c r="N251" s="2691" t="s">
        <v>1064</v>
      </c>
      <c r="O251" s="2688"/>
      <c r="P251" s="2688" t="s">
        <v>1065</v>
      </c>
      <c r="Q251" s="2712">
        <v>435655</v>
      </c>
      <c r="R251" s="2688">
        <v>4450</v>
      </c>
      <c r="S251" s="2722">
        <v>43.56</v>
      </c>
      <c r="T251" s="2723">
        <v>435600</v>
      </c>
      <c r="U251" s="2688">
        <v>4450</v>
      </c>
      <c r="V251" s="2724">
        <v>0.05</v>
      </c>
      <c r="W251" s="2722">
        <v>41.38</v>
      </c>
      <c r="X251" s="2725">
        <v>413800</v>
      </c>
      <c r="Y251" s="2745">
        <v>2005</v>
      </c>
      <c r="Z251" s="2745">
        <v>11</v>
      </c>
      <c r="AA251" s="2745">
        <v>2</v>
      </c>
      <c r="AB251" s="2688">
        <v>1305</v>
      </c>
      <c r="AC251" s="2688" t="s">
        <v>1605</v>
      </c>
      <c r="AD251" s="2688"/>
      <c r="AE251" s="2745" t="s">
        <v>175</v>
      </c>
      <c r="AF251" s="2688" t="s">
        <v>1068</v>
      </c>
      <c r="AG251" s="2688" t="s">
        <v>1741</v>
      </c>
      <c r="AH251" s="2688"/>
      <c r="AI251" s="2747" t="s">
        <v>2138</v>
      </c>
      <c r="AJ251" s="2753"/>
      <c r="AK251" s="2755" t="s">
        <v>1136</v>
      </c>
      <c r="AL251" s="2745">
        <v>67641700</v>
      </c>
      <c r="AM251" s="2745"/>
      <c r="AN251" s="2745" t="s">
        <v>1087</v>
      </c>
      <c r="AO251" s="2745"/>
      <c r="AP251" s="2688" t="s">
        <v>1515</v>
      </c>
      <c r="AQ251" s="2688" t="s">
        <v>1089</v>
      </c>
      <c r="AR251" s="2745"/>
      <c r="AS251" s="2745"/>
      <c r="AT251" s="2745"/>
      <c r="AU251" s="2745"/>
      <c r="AV251" s="2745"/>
      <c r="AW251" s="2745"/>
      <c r="AX251" s="2745"/>
      <c r="AY251" s="2769"/>
      <c r="AZ251" s="2745" t="s">
        <v>2844</v>
      </c>
      <c r="BA251" s="2745"/>
      <c r="BB251" s="2769"/>
      <c r="BC251" s="2745"/>
      <c r="BD251" s="2770"/>
      <c r="BE251" s="2745"/>
      <c r="BF251" s="2788"/>
      <c r="BG251" s="2790">
        <v>38634</v>
      </c>
      <c r="BH251" s="2688" t="s">
        <v>1174</v>
      </c>
      <c r="BI251" s="2688" t="s">
        <v>2140</v>
      </c>
      <c r="BJ251" s="2789">
        <v>38643</v>
      </c>
      <c r="BK251" s="2789"/>
      <c r="BL251" s="2688"/>
      <c r="BM251" s="2688" t="s">
        <v>888</v>
      </c>
      <c r="BN251" s="2688" t="s">
        <v>1148</v>
      </c>
      <c r="BO251" s="2688" t="s">
        <v>1128</v>
      </c>
      <c r="BP251" s="2745"/>
      <c r="BQ251" s="2745" t="e">
        <v>#DIV/0!</v>
      </c>
      <c r="BR251" s="2745" t="e">
        <v>#DIV/0!</v>
      </c>
      <c r="BV251" s="2505"/>
    </row>
    <row r="252" s="2504" customFormat="1" ht="12" hidden="1" spans="1:70">
      <c r="A252" s="2688" t="s">
        <v>2845</v>
      </c>
      <c r="B252" s="2688" t="s">
        <v>2846</v>
      </c>
      <c r="C252" s="2689" t="s">
        <v>2847</v>
      </c>
      <c r="D252" s="2689" t="s">
        <v>2848</v>
      </c>
      <c r="E252" s="2691" t="s">
        <v>1060</v>
      </c>
      <c r="F252" s="2691" t="s">
        <v>2343</v>
      </c>
      <c r="G252" s="2688"/>
      <c r="H252" s="2691" t="s">
        <v>1221</v>
      </c>
      <c r="I252" s="2691"/>
      <c r="J252" s="2688" t="s">
        <v>1907</v>
      </c>
      <c r="K252" s="2688" t="s">
        <v>2849</v>
      </c>
      <c r="L252" s="2708">
        <v>110.65</v>
      </c>
      <c r="M252" s="2688">
        <v>7</v>
      </c>
      <c r="N252" s="2688" t="s">
        <v>1064</v>
      </c>
      <c r="O252" s="2688"/>
      <c r="P252" s="2688" t="s">
        <v>1065</v>
      </c>
      <c r="Q252" s="2712">
        <v>800000</v>
      </c>
      <c r="R252" s="2688">
        <v>7230</v>
      </c>
      <c r="S252" s="2722">
        <v>73.09</v>
      </c>
      <c r="T252" s="2723">
        <v>730900</v>
      </c>
      <c r="U252" s="2688">
        <v>6606</v>
      </c>
      <c r="V252" s="2724">
        <v>0.05</v>
      </c>
      <c r="W252" s="2722">
        <v>69.43</v>
      </c>
      <c r="X252" s="2725">
        <v>694300</v>
      </c>
      <c r="Y252" s="2745">
        <v>2005</v>
      </c>
      <c r="Z252" s="2745">
        <v>10</v>
      </c>
      <c r="AA252" s="2745">
        <v>25</v>
      </c>
      <c r="AB252" s="2688">
        <v>1500</v>
      </c>
      <c r="AC252" s="2688" t="s">
        <v>1605</v>
      </c>
      <c r="AD252" s="2688"/>
      <c r="AE252" s="2747" t="s">
        <v>1070</v>
      </c>
      <c r="AF252" s="2691" t="s">
        <v>1068</v>
      </c>
      <c r="AG252" s="2747" t="s">
        <v>1069</v>
      </c>
      <c r="AH252" s="2688"/>
      <c r="AI252" s="2747" t="s">
        <v>2138</v>
      </c>
      <c r="AJ252" s="2753"/>
      <c r="AK252" s="2755" t="s">
        <v>1423</v>
      </c>
      <c r="AL252" s="2745">
        <v>67641700</v>
      </c>
      <c r="AM252" s="2745"/>
      <c r="AN252" s="2747" t="s">
        <v>1072</v>
      </c>
      <c r="AO252" s="2745"/>
      <c r="AP252" s="2747" t="s">
        <v>1515</v>
      </c>
      <c r="AQ252" s="2745" t="s">
        <v>1074</v>
      </c>
      <c r="AR252" s="2745"/>
      <c r="AS252" s="2745"/>
      <c r="AT252" s="2745"/>
      <c r="AU252" s="2745"/>
      <c r="AV252" s="2745"/>
      <c r="AW252" s="2745" t="s">
        <v>1090</v>
      </c>
      <c r="AX252" s="2745"/>
      <c r="AY252" s="2769"/>
      <c r="AZ252" s="2688" t="s">
        <v>2849</v>
      </c>
      <c r="BA252" s="2774"/>
      <c r="BB252" s="2775"/>
      <c r="BC252" s="2774"/>
      <c r="BD252" s="2776"/>
      <c r="BE252" s="2745" t="s">
        <v>2850</v>
      </c>
      <c r="BF252" s="2788"/>
      <c r="BG252" s="2789">
        <v>38642</v>
      </c>
      <c r="BH252" s="2688" t="s">
        <v>1174</v>
      </c>
      <c r="BI252" s="2691" t="s">
        <v>1515</v>
      </c>
      <c r="BJ252" s="2789">
        <v>38643</v>
      </c>
      <c r="BK252" s="2789"/>
      <c r="BL252" s="2745" t="s">
        <v>1092</v>
      </c>
      <c r="BM252" s="2745" t="s">
        <v>888</v>
      </c>
      <c r="BN252" s="2745" t="s">
        <v>1148</v>
      </c>
      <c r="BO252" s="2745" t="s">
        <v>2851</v>
      </c>
      <c r="BP252" s="2745"/>
      <c r="BQ252" s="2745"/>
      <c r="BR252" s="2745"/>
    </row>
    <row r="253" s="2504" customFormat="1" ht="12" hidden="1" spans="1:74">
      <c r="A253" s="2688" t="s">
        <v>2852</v>
      </c>
      <c r="B253" s="2688" t="s">
        <v>2853</v>
      </c>
      <c r="C253" s="2689" t="s">
        <v>2854</v>
      </c>
      <c r="D253" s="2689" t="s">
        <v>2855</v>
      </c>
      <c r="E253" s="2688" t="s">
        <v>1060</v>
      </c>
      <c r="F253" s="2688" t="s">
        <v>2186</v>
      </c>
      <c r="G253" s="2688"/>
      <c r="H253" s="2688" t="s">
        <v>1062</v>
      </c>
      <c r="I253" s="2688" t="s">
        <v>1196</v>
      </c>
      <c r="J253" s="2689" t="s">
        <v>1586</v>
      </c>
      <c r="K253" s="2688" t="s">
        <v>2856</v>
      </c>
      <c r="L253" s="2688">
        <v>77.7</v>
      </c>
      <c r="M253" s="2688">
        <v>4</v>
      </c>
      <c r="N253" s="2688" t="s">
        <v>1290</v>
      </c>
      <c r="O253" s="2688"/>
      <c r="P253" s="2688" t="s">
        <v>1065</v>
      </c>
      <c r="Q253" s="2712">
        <v>500000</v>
      </c>
      <c r="R253" s="2688">
        <v>6435</v>
      </c>
      <c r="S253" s="2722">
        <v>48.05</v>
      </c>
      <c r="T253" s="2723">
        <v>480500</v>
      </c>
      <c r="U253" s="2688">
        <v>6185</v>
      </c>
      <c r="V253" s="2724">
        <v>0.05</v>
      </c>
      <c r="W253" s="2722">
        <v>45.64</v>
      </c>
      <c r="X253" s="2725">
        <v>456400</v>
      </c>
      <c r="Y253" s="2745">
        <v>2005</v>
      </c>
      <c r="Z253" s="2745">
        <v>11</v>
      </c>
      <c r="AA253" s="2745">
        <v>1</v>
      </c>
      <c r="AB253" s="2688">
        <v>1440</v>
      </c>
      <c r="AC253" s="2688" t="s">
        <v>1605</v>
      </c>
      <c r="AD253" s="2688"/>
      <c r="AE253" s="2688" t="s">
        <v>179</v>
      </c>
      <c r="AF253" s="2688" t="s">
        <v>1068</v>
      </c>
      <c r="AG253" s="2688" t="s">
        <v>1069</v>
      </c>
      <c r="AH253" s="2688"/>
      <c r="AI253" s="2688" t="s">
        <v>2138</v>
      </c>
      <c r="AJ253" s="2753"/>
      <c r="AK253" s="2755" t="s">
        <v>1136</v>
      </c>
      <c r="AL253" s="2688">
        <v>67641700</v>
      </c>
      <c r="AM253" s="2745"/>
      <c r="AN253" s="2747" t="s">
        <v>1087</v>
      </c>
      <c r="AO253" s="2745"/>
      <c r="AP253" s="2745" t="s">
        <v>1073</v>
      </c>
      <c r="AQ253" s="2688" t="s">
        <v>1089</v>
      </c>
      <c r="AR253" s="2745"/>
      <c r="AS253" s="2745"/>
      <c r="AT253" s="2745"/>
      <c r="AU253" s="2745"/>
      <c r="AV253" s="2745"/>
      <c r="AW253" s="2745" t="s">
        <v>1075</v>
      </c>
      <c r="AX253" s="2745"/>
      <c r="AY253" s="2769"/>
      <c r="AZ253" s="2745"/>
      <c r="BA253" s="2745"/>
      <c r="BB253" s="2769"/>
      <c r="BC253" s="2745"/>
      <c r="BD253" s="2770"/>
      <c r="BE253" s="2745"/>
      <c r="BF253" s="2788"/>
      <c r="BG253" s="2790">
        <v>38650</v>
      </c>
      <c r="BH253" s="2745"/>
      <c r="BI253" s="2745" t="s">
        <v>1073</v>
      </c>
      <c r="BJ253" s="2789">
        <v>38650</v>
      </c>
      <c r="BK253" s="2789"/>
      <c r="BL253" s="2745" t="s">
        <v>1174</v>
      </c>
      <c r="BM253" s="2745" t="s">
        <v>888</v>
      </c>
      <c r="BN253" s="2745" t="s">
        <v>1077</v>
      </c>
      <c r="BO253" s="2745" t="s">
        <v>1128</v>
      </c>
      <c r="BP253" s="2745"/>
      <c r="BQ253" s="2745"/>
      <c r="BR253" s="2745"/>
      <c r="BV253" s="2505"/>
    </row>
    <row r="254" s="2510" customFormat="1" ht="12" hidden="1" spans="1:74">
      <c r="A254" s="2693" t="s">
        <v>2857</v>
      </c>
      <c r="B254" s="2693" t="s">
        <v>2858</v>
      </c>
      <c r="C254" s="2694" t="s">
        <v>2859</v>
      </c>
      <c r="D254" s="2693" t="s">
        <v>2860</v>
      </c>
      <c r="E254" s="2693" t="s">
        <v>1060</v>
      </c>
      <c r="F254" s="2693" t="s">
        <v>2861</v>
      </c>
      <c r="G254" s="2693"/>
      <c r="H254" s="2693"/>
      <c r="I254" s="2693"/>
      <c r="J254" s="2693" t="s">
        <v>2862</v>
      </c>
      <c r="K254" s="2693" t="s">
        <v>2863</v>
      </c>
      <c r="L254" s="2693">
        <v>45.1</v>
      </c>
      <c r="M254" s="2693">
        <v>13</v>
      </c>
      <c r="N254" s="2710" t="s">
        <v>1259</v>
      </c>
      <c r="O254" s="2693"/>
      <c r="P254" s="2693" t="s">
        <v>1065</v>
      </c>
      <c r="Q254" s="2693">
        <v>250000</v>
      </c>
      <c r="R254" s="2728">
        <v>5543</v>
      </c>
      <c r="S254" s="2730">
        <v>25.12</v>
      </c>
      <c r="T254" s="2731">
        <v>251200</v>
      </c>
      <c r="U254" s="2693">
        <v>5572</v>
      </c>
      <c r="V254" s="2859">
        <v>0.05</v>
      </c>
      <c r="W254" s="2730">
        <v>23.86</v>
      </c>
      <c r="X254" s="2733">
        <v>238600</v>
      </c>
      <c r="Y254" s="2693">
        <v>2005</v>
      </c>
      <c r="Z254" s="2693">
        <v>10</v>
      </c>
      <c r="AA254" s="2706">
        <v>28</v>
      </c>
      <c r="AB254" s="2693">
        <v>750</v>
      </c>
      <c r="AC254" s="2693" t="s">
        <v>1605</v>
      </c>
      <c r="AD254" s="2693"/>
      <c r="AE254" s="2693" t="s">
        <v>175</v>
      </c>
      <c r="AF254" s="2693" t="s">
        <v>1068</v>
      </c>
      <c r="AG254" s="2693" t="s">
        <v>1069</v>
      </c>
      <c r="AH254" s="2693"/>
      <c r="AI254" s="2693" t="s">
        <v>2138</v>
      </c>
      <c r="AJ254" s="2758"/>
      <c r="AK254" s="2872" t="s">
        <v>1423</v>
      </c>
      <c r="AL254" s="2706">
        <v>67641672</v>
      </c>
      <c r="AM254" s="2693"/>
      <c r="AN254" s="2693" t="s">
        <v>1182</v>
      </c>
      <c r="AO254" s="2693" t="s">
        <v>1114</v>
      </c>
      <c r="AP254" s="2693" t="s">
        <v>175</v>
      </c>
      <c r="AQ254" s="2693" t="s">
        <v>1089</v>
      </c>
      <c r="AR254" s="2693">
        <v>2005</v>
      </c>
      <c r="AS254" s="2693">
        <v>11</v>
      </c>
      <c r="AT254" s="2693">
        <v>3</v>
      </c>
      <c r="AU254" s="2693"/>
      <c r="AV254" s="2693"/>
      <c r="AW254" s="2693" t="s">
        <v>1075</v>
      </c>
      <c r="AX254" s="2693"/>
      <c r="AY254" s="2694"/>
      <c r="AZ254" s="2693" t="s">
        <v>2863</v>
      </c>
      <c r="BA254" s="2693"/>
      <c r="BB254" s="2693"/>
      <c r="BC254" s="2693"/>
      <c r="BD254" s="2693"/>
      <c r="BE254" s="2693"/>
      <c r="BF254" s="2693"/>
      <c r="BG254" s="2893">
        <v>38649</v>
      </c>
      <c r="BH254" s="2693"/>
      <c r="BI254" s="2693" t="s">
        <v>1900</v>
      </c>
      <c r="BJ254" s="2797">
        <v>38650</v>
      </c>
      <c r="BK254" s="2797"/>
      <c r="BL254" s="2693" t="s">
        <v>1174</v>
      </c>
      <c r="BM254" s="2693" t="s">
        <v>888</v>
      </c>
      <c r="BN254" s="2693" t="s">
        <v>1077</v>
      </c>
      <c r="BO254" s="2693" t="s">
        <v>1331</v>
      </c>
      <c r="BP254" s="2693"/>
      <c r="BQ254" s="2706" t="e">
        <v>#DIV/0!</v>
      </c>
      <c r="BR254" s="2706" t="e">
        <v>#DIV/0!</v>
      </c>
      <c r="BV254" s="2507"/>
    </row>
    <row r="255" s="2504" customFormat="1" ht="12" hidden="1" spans="1:74">
      <c r="A255" s="2688" t="s">
        <v>2864</v>
      </c>
      <c r="B255" s="2688" t="s">
        <v>2865</v>
      </c>
      <c r="C255" s="2689" t="s">
        <v>2866</v>
      </c>
      <c r="D255" s="2689" t="s">
        <v>2867</v>
      </c>
      <c r="E255" s="2691" t="s">
        <v>1060</v>
      </c>
      <c r="F255" s="2691" t="s">
        <v>2868</v>
      </c>
      <c r="G255" s="2688"/>
      <c r="H255" s="2691" t="s">
        <v>1084</v>
      </c>
      <c r="I255" s="2691" t="s">
        <v>1099</v>
      </c>
      <c r="J255" s="2688" t="s">
        <v>1824</v>
      </c>
      <c r="K255" s="2688" t="s">
        <v>2869</v>
      </c>
      <c r="L255" s="2688">
        <v>56.2</v>
      </c>
      <c r="M255" s="2688">
        <v>2</v>
      </c>
      <c r="N255" s="2688" t="s">
        <v>1064</v>
      </c>
      <c r="O255" s="2688"/>
      <c r="P255" s="2688" t="s">
        <v>1065</v>
      </c>
      <c r="Q255" s="2712">
        <v>460000</v>
      </c>
      <c r="R255" s="2688">
        <v>8185</v>
      </c>
      <c r="S255" s="2722">
        <v>35.23</v>
      </c>
      <c r="T255" s="2723">
        <v>352300</v>
      </c>
      <c r="U255" s="2688">
        <v>6269</v>
      </c>
      <c r="V255" s="2724">
        <v>0.05</v>
      </c>
      <c r="W255" s="2722">
        <v>33.46</v>
      </c>
      <c r="X255" s="2725">
        <v>334600</v>
      </c>
      <c r="Y255" s="2745">
        <v>2005</v>
      </c>
      <c r="Z255" s="2745">
        <v>11</v>
      </c>
      <c r="AA255" s="2745">
        <v>3</v>
      </c>
      <c r="AB255" s="2688">
        <v>1055</v>
      </c>
      <c r="AC255" s="2688" t="s">
        <v>1605</v>
      </c>
      <c r="AD255" s="2688"/>
      <c r="AE255" s="2747" t="s">
        <v>1639</v>
      </c>
      <c r="AF255" s="2691" t="s">
        <v>1068</v>
      </c>
      <c r="AG255" s="2747" t="s">
        <v>1069</v>
      </c>
      <c r="AH255" s="2688"/>
      <c r="AI255" s="2747" t="s">
        <v>2138</v>
      </c>
      <c r="AJ255" s="2753"/>
      <c r="AK255" s="2755" t="s">
        <v>1136</v>
      </c>
      <c r="AL255" s="2745">
        <v>67641700</v>
      </c>
      <c r="AM255" s="2745"/>
      <c r="AN255" s="2747" t="s">
        <v>1087</v>
      </c>
      <c r="AO255" s="2688"/>
      <c r="AP255" s="2747" t="s">
        <v>1515</v>
      </c>
      <c r="AQ255" s="2745"/>
      <c r="AR255" s="2745"/>
      <c r="AS255" s="2745"/>
      <c r="AT255" s="2745"/>
      <c r="AU255" s="2745"/>
      <c r="AV255" s="2745"/>
      <c r="AW255" s="2745" t="s">
        <v>1343</v>
      </c>
      <c r="AX255" s="2745"/>
      <c r="AY255" s="2769"/>
      <c r="AZ255" s="2688" t="s">
        <v>2869</v>
      </c>
      <c r="BA255" s="2774"/>
      <c r="BB255" s="2775"/>
      <c r="BC255" s="2774"/>
      <c r="BD255" s="2776"/>
      <c r="BE255" s="2745"/>
      <c r="BF255" s="2788"/>
      <c r="BG255" s="2798">
        <v>38652</v>
      </c>
      <c r="BH255" s="2688" t="s">
        <v>1174</v>
      </c>
      <c r="BI255" s="2748" t="s">
        <v>2870</v>
      </c>
      <c r="BJ255" s="2789">
        <v>38652</v>
      </c>
      <c r="BK255" s="2789"/>
      <c r="BL255" s="2688" t="s">
        <v>1092</v>
      </c>
      <c r="BM255" s="2745" t="s">
        <v>888</v>
      </c>
      <c r="BN255" s="2745" t="s">
        <v>1148</v>
      </c>
      <c r="BO255" s="2745" t="s">
        <v>1128</v>
      </c>
      <c r="BP255" s="2745"/>
      <c r="BQ255" s="2745" t="e">
        <v>#DIV/0!</v>
      </c>
      <c r="BR255" s="2745" t="e">
        <v>#DIV/0!</v>
      </c>
      <c r="BV255" s="2505"/>
    </row>
    <row r="256" s="2504" customFormat="1" ht="12" hidden="1" spans="1:74">
      <c r="A256" s="2688" t="s">
        <v>2871</v>
      </c>
      <c r="B256" s="2688" t="s">
        <v>2872</v>
      </c>
      <c r="C256" s="2689" t="s">
        <v>2873</v>
      </c>
      <c r="D256" s="2691" t="s">
        <v>2874</v>
      </c>
      <c r="E256" s="2688" t="s">
        <v>1060</v>
      </c>
      <c r="F256" s="2688" t="s">
        <v>2875</v>
      </c>
      <c r="G256" s="2688"/>
      <c r="H256" s="2697" t="s">
        <v>1084</v>
      </c>
      <c r="I256" s="2688"/>
      <c r="J256" s="2697" t="s">
        <v>2876</v>
      </c>
      <c r="K256" s="2688" t="s">
        <v>2877</v>
      </c>
      <c r="L256" s="2702">
        <v>113.13</v>
      </c>
      <c r="M256" s="2697">
        <v>21</v>
      </c>
      <c r="N256" s="2691" t="s">
        <v>2878</v>
      </c>
      <c r="O256" s="2688"/>
      <c r="P256" s="2688" t="s">
        <v>1065</v>
      </c>
      <c r="Q256" s="2726">
        <v>710000</v>
      </c>
      <c r="R256" s="2688">
        <v>6276</v>
      </c>
      <c r="S256" s="2722">
        <v>79.65</v>
      </c>
      <c r="T256" s="2723">
        <v>796500</v>
      </c>
      <c r="U256" s="2726">
        <v>7041</v>
      </c>
      <c r="V256" s="2724">
        <v>0.05</v>
      </c>
      <c r="W256" s="2722">
        <v>75.66</v>
      </c>
      <c r="X256" s="2725">
        <v>756600</v>
      </c>
      <c r="Y256" s="2745">
        <v>2005</v>
      </c>
      <c r="Z256" s="2745">
        <v>11</v>
      </c>
      <c r="AA256" s="2688">
        <v>11</v>
      </c>
      <c r="AB256" s="2688">
        <v>1500</v>
      </c>
      <c r="AC256" s="2688" t="s">
        <v>1605</v>
      </c>
      <c r="AD256" s="2688"/>
      <c r="AE256" s="2688" t="s">
        <v>179</v>
      </c>
      <c r="AF256" s="2688" t="s">
        <v>1068</v>
      </c>
      <c r="AG256" s="2688" t="s">
        <v>1069</v>
      </c>
      <c r="AH256" s="2688" t="s">
        <v>2879</v>
      </c>
      <c r="AI256" s="2688" t="s">
        <v>2138</v>
      </c>
      <c r="AJ256" s="2760"/>
      <c r="AK256" s="2755" t="s">
        <v>1136</v>
      </c>
      <c r="AL256" s="2745">
        <v>67641700</v>
      </c>
      <c r="AM256" s="2745"/>
      <c r="AN256" s="2747" t="s">
        <v>1088</v>
      </c>
      <c r="AO256" s="2745"/>
      <c r="AP256" s="2745" t="s">
        <v>1073</v>
      </c>
      <c r="AQ256" s="2688" t="s">
        <v>1074</v>
      </c>
      <c r="AR256" s="2688"/>
      <c r="AS256" s="2688"/>
      <c r="AT256" s="2688"/>
      <c r="AU256" s="2688"/>
      <c r="AV256" s="2688" t="s">
        <v>1114</v>
      </c>
      <c r="AW256" s="2688" t="s">
        <v>1075</v>
      </c>
      <c r="AX256" s="2688" t="s">
        <v>1114</v>
      </c>
      <c r="AY256" s="2747"/>
      <c r="AZ256" s="2688"/>
      <c r="BA256" s="2688"/>
      <c r="BB256" s="2688"/>
      <c r="BC256" s="2688"/>
      <c r="BD256" s="2688"/>
      <c r="BE256" s="2688"/>
      <c r="BF256" s="2688"/>
      <c r="BG256" s="2760">
        <v>38656</v>
      </c>
      <c r="BH256" s="2688"/>
      <c r="BI256" s="2745" t="s">
        <v>1073</v>
      </c>
      <c r="BJ256" s="2753">
        <v>38656</v>
      </c>
      <c r="BK256" s="2753"/>
      <c r="BL256" s="2688" t="s">
        <v>2330</v>
      </c>
      <c r="BM256" s="2688" t="s">
        <v>2880</v>
      </c>
      <c r="BN256" s="2688" t="s">
        <v>1148</v>
      </c>
      <c r="BO256" s="2688" t="s">
        <v>2881</v>
      </c>
      <c r="BP256" s="2688"/>
      <c r="BQ256" s="2745"/>
      <c r="BR256" s="2745"/>
      <c r="BV256" s="2505"/>
    </row>
    <row r="257" s="2504" customFormat="1" ht="12" hidden="1" spans="1:74">
      <c r="A257" s="2688" t="s">
        <v>2882</v>
      </c>
      <c r="B257" s="2688" t="s">
        <v>2883</v>
      </c>
      <c r="C257" s="2689" t="s">
        <v>2884</v>
      </c>
      <c r="D257" s="2689" t="s">
        <v>2885</v>
      </c>
      <c r="E257" s="2691" t="s">
        <v>1060</v>
      </c>
      <c r="F257" s="2691" t="s">
        <v>2152</v>
      </c>
      <c r="G257" s="2688"/>
      <c r="H257" s="2691" t="s">
        <v>1239</v>
      </c>
      <c r="I257" s="2691" t="s">
        <v>1134</v>
      </c>
      <c r="J257" s="2688" t="s">
        <v>1197</v>
      </c>
      <c r="K257" s="2688" t="s">
        <v>2883</v>
      </c>
      <c r="L257" s="2688">
        <v>71.5</v>
      </c>
      <c r="M257" s="2688">
        <v>2</v>
      </c>
      <c r="N257" s="2688" t="s">
        <v>1064</v>
      </c>
      <c r="O257" s="2688"/>
      <c r="P257" s="2688" t="s">
        <v>1065</v>
      </c>
      <c r="Q257" s="2712">
        <v>370000</v>
      </c>
      <c r="R257" s="2688">
        <v>5175</v>
      </c>
      <c r="S257" s="2722">
        <v>28.75</v>
      </c>
      <c r="T257" s="2723">
        <v>287500</v>
      </c>
      <c r="U257" s="2688">
        <v>4021</v>
      </c>
      <c r="V257" s="2724">
        <v>0.05</v>
      </c>
      <c r="W257" s="2722">
        <v>27.31</v>
      </c>
      <c r="X257" s="2725">
        <v>273100</v>
      </c>
      <c r="Y257" s="2745">
        <v>2005</v>
      </c>
      <c r="Z257" s="2745">
        <v>11</v>
      </c>
      <c r="AA257" s="2745">
        <v>8</v>
      </c>
      <c r="AB257" s="2688">
        <v>860</v>
      </c>
      <c r="AC257" s="2688" t="s">
        <v>1605</v>
      </c>
      <c r="AD257" s="2688"/>
      <c r="AE257" s="2747" t="s">
        <v>1639</v>
      </c>
      <c r="AF257" s="2691" t="s">
        <v>1068</v>
      </c>
      <c r="AG257" s="2747" t="s">
        <v>1069</v>
      </c>
      <c r="AH257" s="2688"/>
      <c r="AI257" s="2747" t="s">
        <v>2138</v>
      </c>
      <c r="AJ257" s="2753"/>
      <c r="AK257" s="2755" t="s">
        <v>1136</v>
      </c>
      <c r="AL257" s="2745">
        <v>67641700</v>
      </c>
      <c r="AM257" s="2745"/>
      <c r="AN257" s="2747" t="s">
        <v>1088</v>
      </c>
      <c r="AO257" s="2688"/>
      <c r="AP257" s="2747" t="s">
        <v>1515</v>
      </c>
      <c r="AQ257" s="2745" t="s">
        <v>1074</v>
      </c>
      <c r="AR257" s="2745"/>
      <c r="AS257" s="2745"/>
      <c r="AT257" s="2745"/>
      <c r="AU257" s="2745"/>
      <c r="AV257" s="2745"/>
      <c r="AW257" s="2745" t="s">
        <v>1343</v>
      </c>
      <c r="AX257" s="2745"/>
      <c r="AY257" s="2769"/>
      <c r="AZ257" s="2688" t="s">
        <v>2886</v>
      </c>
      <c r="BA257" s="2774"/>
      <c r="BB257" s="2775"/>
      <c r="BC257" s="2774"/>
      <c r="BD257" s="2776"/>
      <c r="BE257" s="2745"/>
      <c r="BF257" s="2788"/>
      <c r="BG257" s="2798">
        <v>38655</v>
      </c>
      <c r="BH257" s="2688" t="s">
        <v>1174</v>
      </c>
      <c r="BI257" s="2748" t="s">
        <v>1515</v>
      </c>
      <c r="BJ257" s="2789">
        <v>38656</v>
      </c>
      <c r="BK257" s="2789"/>
      <c r="BL257" s="2688" t="s">
        <v>1092</v>
      </c>
      <c r="BM257" s="2745" t="s">
        <v>888</v>
      </c>
      <c r="BN257" s="2745" t="s">
        <v>1077</v>
      </c>
      <c r="BO257" s="2745" t="s">
        <v>1128</v>
      </c>
      <c r="BP257" s="2745"/>
      <c r="BQ257" s="2745" t="e">
        <v>#DIV/0!</v>
      </c>
      <c r="BR257" s="2745" t="e">
        <v>#DIV/0!</v>
      </c>
      <c r="BV257" s="2505"/>
    </row>
    <row r="258" s="2504" customFormat="1" ht="12" hidden="1" spans="1:74">
      <c r="A258" s="2688" t="s">
        <v>2887</v>
      </c>
      <c r="B258" s="2688" t="s">
        <v>2888</v>
      </c>
      <c r="C258" s="2689" t="s">
        <v>2889</v>
      </c>
      <c r="D258" s="2689" t="s">
        <v>2890</v>
      </c>
      <c r="E258" s="2691" t="s">
        <v>1060</v>
      </c>
      <c r="F258" s="2691" t="s">
        <v>2891</v>
      </c>
      <c r="G258" s="2688"/>
      <c r="H258" s="2691" t="s">
        <v>1446</v>
      </c>
      <c r="I258" s="2691"/>
      <c r="J258" s="2688" t="s">
        <v>2892</v>
      </c>
      <c r="K258" s="2688" t="s">
        <v>2888</v>
      </c>
      <c r="L258" s="2688">
        <v>84</v>
      </c>
      <c r="M258" s="2688">
        <v>9</v>
      </c>
      <c r="N258" s="2688" t="s">
        <v>1123</v>
      </c>
      <c r="O258" s="2688"/>
      <c r="P258" s="2688" t="s">
        <v>1065</v>
      </c>
      <c r="Q258" s="2712">
        <v>500000</v>
      </c>
      <c r="R258" s="2688">
        <v>5952</v>
      </c>
      <c r="S258" s="2722">
        <v>49.47</v>
      </c>
      <c r="T258" s="2723">
        <v>494700</v>
      </c>
      <c r="U258" s="2688">
        <v>5890</v>
      </c>
      <c r="V258" s="2724">
        <v>0.05</v>
      </c>
      <c r="W258" s="2722">
        <v>46.99</v>
      </c>
      <c r="X258" s="2725">
        <v>469900</v>
      </c>
      <c r="Y258" s="2745">
        <v>2005</v>
      </c>
      <c r="Z258" s="2745">
        <v>11</v>
      </c>
      <c r="AA258" s="2745">
        <v>10</v>
      </c>
      <c r="AB258" s="2688">
        <v>1480</v>
      </c>
      <c r="AC258" s="2688" t="s">
        <v>1605</v>
      </c>
      <c r="AD258" s="2688"/>
      <c r="AE258" s="2747" t="s">
        <v>1342</v>
      </c>
      <c r="AF258" s="2691" t="s">
        <v>1068</v>
      </c>
      <c r="AG258" s="2747" t="s">
        <v>1069</v>
      </c>
      <c r="AH258" s="2688"/>
      <c r="AI258" s="2688" t="s">
        <v>1342</v>
      </c>
      <c r="AJ258" s="2753"/>
      <c r="AK258" s="2755" t="s">
        <v>1136</v>
      </c>
      <c r="AL258" s="2745">
        <v>67641700</v>
      </c>
      <c r="AM258" s="2745"/>
      <c r="AN258" s="2688" t="s">
        <v>1088</v>
      </c>
      <c r="AO258" s="2688"/>
      <c r="AP258" s="2688" t="s">
        <v>1208</v>
      </c>
      <c r="AQ258" s="2688" t="s">
        <v>1607</v>
      </c>
      <c r="AR258" s="2745"/>
      <c r="AS258" s="2745"/>
      <c r="AT258" s="2745"/>
      <c r="AU258" s="2745"/>
      <c r="AV258" s="2745"/>
      <c r="AW258" s="2745" t="s">
        <v>1343</v>
      </c>
      <c r="AX258" s="2745"/>
      <c r="AY258" s="2769"/>
      <c r="AZ258" s="2688" t="s">
        <v>2893</v>
      </c>
      <c r="BA258" s="2774"/>
      <c r="BB258" s="2775"/>
      <c r="BC258" s="2774"/>
      <c r="BD258" s="2776"/>
      <c r="BE258" s="2745"/>
      <c r="BF258" s="2788"/>
      <c r="BG258" s="2798">
        <v>38635</v>
      </c>
      <c r="BH258" s="2688" t="s">
        <v>1174</v>
      </c>
      <c r="BI258" s="2688" t="s">
        <v>1609</v>
      </c>
      <c r="BJ258" s="2789">
        <v>38657</v>
      </c>
      <c r="BK258" s="2789"/>
      <c r="BL258" s="2688" t="s">
        <v>1092</v>
      </c>
      <c r="BM258" s="2745" t="s">
        <v>888</v>
      </c>
      <c r="BN258" s="2745" t="s">
        <v>1148</v>
      </c>
      <c r="BO258" s="2745" t="s">
        <v>1128</v>
      </c>
      <c r="BP258" s="2745"/>
      <c r="BQ258" s="2745" t="e">
        <v>#DIV/0!</v>
      </c>
      <c r="BR258" s="2745" t="e">
        <v>#DIV/0!</v>
      </c>
      <c r="BV258" s="2505"/>
    </row>
    <row r="259" s="2504" customFormat="1" ht="12" hidden="1" spans="1:74">
      <c r="A259" s="2688" t="s">
        <v>2894</v>
      </c>
      <c r="B259" s="2688" t="s">
        <v>2895</v>
      </c>
      <c r="C259" s="2689" t="s">
        <v>2896</v>
      </c>
      <c r="D259" s="2689" t="s">
        <v>2897</v>
      </c>
      <c r="E259" s="2691" t="s">
        <v>1060</v>
      </c>
      <c r="F259" s="2691" t="s">
        <v>2898</v>
      </c>
      <c r="G259" s="2688"/>
      <c r="H259" s="2691" t="s">
        <v>1305</v>
      </c>
      <c r="I259" s="2691"/>
      <c r="J259" s="2688" t="s">
        <v>2899</v>
      </c>
      <c r="K259" s="2688" t="s">
        <v>2895</v>
      </c>
      <c r="L259" s="2688">
        <v>56</v>
      </c>
      <c r="M259" s="2688">
        <v>8</v>
      </c>
      <c r="N259" s="2688" t="s">
        <v>1064</v>
      </c>
      <c r="O259" s="2688"/>
      <c r="P259" s="2688" t="s">
        <v>1065</v>
      </c>
      <c r="Q259" s="2712">
        <v>460000</v>
      </c>
      <c r="R259" s="2688">
        <v>8214</v>
      </c>
      <c r="S259" s="2722">
        <v>34.82</v>
      </c>
      <c r="T259" s="2723">
        <v>348200</v>
      </c>
      <c r="U259" s="2688">
        <v>6219</v>
      </c>
      <c r="V259" s="2724">
        <v>0.05</v>
      </c>
      <c r="W259" s="2722">
        <v>33.07</v>
      </c>
      <c r="X259" s="2725">
        <v>330700</v>
      </c>
      <c r="Y259" s="2745">
        <v>2005</v>
      </c>
      <c r="Z259" s="2745">
        <v>11</v>
      </c>
      <c r="AA259" s="2745">
        <v>4</v>
      </c>
      <c r="AB259" s="2688">
        <v>1040</v>
      </c>
      <c r="AC259" s="2688" t="s">
        <v>1605</v>
      </c>
      <c r="AD259" s="2688"/>
      <c r="AE259" s="2747" t="s">
        <v>1070</v>
      </c>
      <c r="AF259" s="2691" t="s">
        <v>1068</v>
      </c>
      <c r="AG259" s="2747" t="s">
        <v>1069</v>
      </c>
      <c r="AH259" s="2688"/>
      <c r="AI259" s="2747" t="s">
        <v>2138</v>
      </c>
      <c r="AJ259" s="2753"/>
      <c r="AK259" s="2755" t="s">
        <v>1136</v>
      </c>
      <c r="AL259" s="2745">
        <v>67641700</v>
      </c>
      <c r="AM259" s="2745"/>
      <c r="AN259" s="2747" t="s">
        <v>1087</v>
      </c>
      <c r="AO259" s="2688"/>
      <c r="AP259" s="2747" t="s">
        <v>1515</v>
      </c>
      <c r="AQ259" s="2745" t="s">
        <v>1074</v>
      </c>
      <c r="AR259" s="2745"/>
      <c r="AS259" s="2745"/>
      <c r="AT259" s="2745"/>
      <c r="AU259" s="2745"/>
      <c r="AV259" s="2745"/>
      <c r="AW259" s="2745" t="s">
        <v>1343</v>
      </c>
      <c r="AX259" s="2745"/>
      <c r="AY259" s="2769"/>
      <c r="AZ259" s="2688" t="s">
        <v>2900</v>
      </c>
      <c r="BA259" s="2774"/>
      <c r="BB259" s="2775"/>
      <c r="BC259" s="2774"/>
      <c r="BD259" s="2776"/>
      <c r="BE259" s="2745"/>
      <c r="BF259" s="2788"/>
      <c r="BG259" s="2798"/>
      <c r="BH259" s="2688" t="s">
        <v>1174</v>
      </c>
      <c r="BI259" s="2748" t="s">
        <v>1515</v>
      </c>
      <c r="BJ259" s="2789">
        <v>38653</v>
      </c>
      <c r="BK259" s="2789"/>
      <c r="BL259" s="2688" t="s">
        <v>1092</v>
      </c>
      <c r="BM259" s="2745" t="s">
        <v>888</v>
      </c>
      <c r="BN259" s="2745" t="s">
        <v>1077</v>
      </c>
      <c r="BO259" s="2745" t="s">
        <v>1331</v>
      </c>
      <c r="BP259" s="2745"/>
      <c r="BQ259" s="2745" t="e">
        <v>#DIV/0!</v>
      </c>
      <c r="BR259" s="2745" t="e">
        <v>#DIV/0!</v>
      </c>
      <c r="BV259" s="2505"/>
    </row>
    <row r="260" s="2504" customFormat="1" ht="12" hidden="1" spans="1:74">
      <c r="A260" s="2688" t="s">
        <v>2901</v>
      </c>
      <c r="B260" s="2691" t="s">
        <v>2902</v>
      </c>
      <c r="C260" s="2689" t="s">
        <v>2903</v>
      </c>
      <c r="D260" s="2691" t="s">
        <v>2904</v>
      </c>
      <c r="E260" s="2691" t="s">
        <v>1060</v>
      </c>
      <c r="F260" s="2691" t="s">
        <v>2905</v>
      </c>
      <c r="G260" s="2691"/>
      <c r="H260" s="2691" t="s">
        <v>1180</v>
      </c>
      <c r="I260" s="2691"/>
      <c r="J260" s="2895" t="s">
        <v>2906</v>
      </c>
      <c r="K260" s="2691" t="s">
        <v>2902</v>
      </c>
      <c r="L260" s="2697">
        <v>69.1</v>
      </c>
      <c r="M260" s="2697">
        <v>5</v>
      </c>
      <c r="N260" s="2688" t="s">
        <v>1064</v>
      </c>
      <c r="O260" s="2697"/>
      <c r="P260" s="2691" t="s">
        <v>1065</v>
      </c>
      <c r="Q260" s="2712">
        <v>450000</v>
      </c>
      <c r="R260" s="2697">
        <v>6512</v>
      </c>
      <c r="S260" s="2722">
        <v>38.69</v>
      </c>
      <c r="T260" s="2725">
        <v>386900</v>
      </c>
      <c r="U260" s="2688">
        <v>5600</v>
      </c>
      <c r="V260" s="2724">
        <v>0.05</v>
      </c>
      <c r="W260" s="2722">
        <v>36.75</v>
      </c>
      <c r="X260" s="2725">
        <v>367500</v>
      </c>
      <c r="Y260" s="2745">
        <v>2005</v>
      </c>
      <c r="Z260" s="2745">
        <v>11</v>
      </c>
      <c r="AA260" s="2745">
        <v>14</v>
      </c>
      <c r="AB260" s="2688">
        <v>1160</v>
      </c>
      <c r="AC260" s="2688" t="s">
        <v>1605</v>
      </c>
      <c r="AD260" s="2691"/>
      <c r="AE260" s="2691" t="s">
        <v>1342</v>
      </c>
      <c r="AF260" s="2691" t="s">
        <v>1068</v>
      </c>
      <c r="AG260" s="2691" t="s">
        <v>1069</v>
      </c>
      <c r="AH260" s="2691"/>
      <c r="AI260" s="2747" t="s">
        <v>2138</v>
      </c>
      <c r="AJ260" s="2760"/>
      <c r="AK260" s="2755" t="s">
        <v>1136</v>
      </c>
      <c r="AL260" s="2745">
        <v>67641700</v>
      </c>
      <c r="AM260" s="2745"/>
      <c r="AN260" s="2747" t="s">
        <v>1072</v>
      </c>
      <c r="AO260" s="2688"/>
      <c r="AP260" s="2747" t="s">
        <v>1515</v>
      </c>
      <c r="AQ260" s="2745" t="s">
        <v>1089</v>
      </c>
      <c r="AR260" s="2688"/>
      <c r="AS260" s="2688"/>
      <c r="AT260" s="2688"/>
      <c r="AU260" s="2688"/>
      <c r="AV260" s="2765"/>
      <c r="AW260" s="2745" t="s">
        <v>1343</v>
      </c>
      <c r="AX260" s="2745"/>
      <c r="AY260" s="2769"/>
      <c r="AZ260" s="2688" t="s">
        <v>2907</v>
      </c>
      <c r="BA260" s="2774"/>
      <c r="BB260" s="2775"/>
      <c r="BC260" s="2774"/>
      <c r="BD260" s="2776"/>
      <c r="BE260" s="2745"/>
      <c r="BF260" s="2788"/>
      <c r="BG260" s="2798">
        <v>38655</v>
      </c>
      <c r="BH260" s="2688"/>
      <c r="BI260" s="2691" t="s">
        <v>2140</v>
      </c>
      <c r="BJ260" s="2789">
        <v>38657</v>
      </c>
      <c r="BK260" s="2753"/>
      <c r="BL260" s="2745" t="s">
        <v>1174</v>
      </c>
      <c r="BM260" s="2688" t="s">
        <v>888</v>
      </c>
      <c r="BN260" s="2688" t="s">
        <v>1077</v>
      </c>
      <c r="BO260" s="2688" t="s">
        <v>1331</v>
      </c>
      <c r="BP260" s="2745"/>
      <c r="BQ260" s="2745" t="e">
        <v>#DIV/0!</v>
      </c>
      <c r="BR260" s="2745" t="e">
        <v>#DIV/0!</v>
      </c>
      <c r="BV260" s="2505"/>
    </row>
    <row r="261" s="2504" customFormat="1" ht="12" hidden="1" spans="1:74">
      <c r="A261" s="2688" t="s">
        <v>2908</v>
      </c>
      <c r="B261" s="2688" t="s">
        <v>2909</v>
      </c>
      <c r="C261" s="2689" t="s">
        <v>2910</v>
      </c>
      <c r="D261" s="2689" t="s">
        <v>2911</v>
      </c>
      <c r="E261" s="2691" t="s">
        <v>1060</v>
      </c>
      <c r="F261" s="2691" t="s">
        <v>1980</v>
      </c>
      <c r="G261" s="2688" t="s">
        <v>1114</v>
      </c>
      <c r="H261" s="2691" t="s">
        <v>2393</v>
      </c>
      <c r="I261" s="2691" t="s">
        <v>2912</v>
      </c>
      <c r="J261" s="2688" t="s">
        <v>2436</v>
      </c>
      <c r="K261" s="2688" t="s">
        <v>2913</v>
      </c>
      <c r="L261" s="2688">
        <v>53.7</v>
      </c>
      <c r="M261" s="2688">
        <v>6</v>
      </c>
      <c r="N261" s="2688" t="s">
        <v>1259</v>
      </c>
      <c r="O261" s="2688"/>
      <c r="P261" s="2688" t="s">
        <v>1065</v>
      </c>
      <c r="Q261" s="2712">
        <v>395000</v>
      </c>
      <c r="R261" s="2688">
        <v>7356</v>
      </c>
      <c r="S261" s="2722">
        <v>38.77</v>
      </c>
      <c r="T261" s="2723">
        <v>387700</v>
      </c>
      <c r="U261" s="2688">
        <v>7220</v>
      </c>
      <c r="V261" s="2724">
        <v>0.05</v>
      </c>
      <c r="W261" s="2722">
        <v>36.83</v>
      </c>
      <c r="X261" s="2725">
        <v>368300</v>
      </c>
      <c r="Y261" s="2745">
        <v>2005</v>
      </c>
      <c r="Z261" s="2745">
        <v>11</v>
      </c>
      <c r="AA261" s="2745">
        <v>7</v>
      </c>
      <c r="AB261" s="2688">
        <v>1160</v>
      </c>
      <c r="AC261" s="2688" t="s">
        <v>1605</v>
      </c>
      <c r="AD261" s="2688"/>
      <c r="AE261" s="2747" t="s">
        <v>179</v>
      </c>
      <c r="AF261" s="2691" t="s">
        <v>1068</v>
      </c>
      <c r="AG261" s="2747" t="s">
        <v>1069</v>
      </c>
      <c r="AH261" s="2688"/>
      <c r="AI261" s="2747" t="s">
        <v>1070</v>
      </c>
      <c r="AJ261" s="2753"/>
      <c r="AK261" s="2755" t="s">
        <v>1136</v>
      </c>
      <c r="AL261" s="2745">
        <v>67641700</v>
      </c>
      <c r="AM261" s="2745"/>
      <c r="AN261" s="2747" t="s">
        <v>1088</v>
      </c>
      <c r="AO261" s="2688" t="s">
        <v>1114</v>
      </c>
      <c r="AP261" s="2747" t="s">
        <v>1515</v>
      </c>
      <c r="AQ261" s="2745" t="s">
        <v>1089</v>
      </c>
      <c r="AR261" s="2745">
        <v>2005</v>
      </c>
      <c r="AS261" s="2745">
        <v>11</v>
      </c>
      <c r="AT261" s="2745">
        <v>24</v>
      </c>
      <c r="AU261" s="2745"/>
      <c r="AV261" s="2745"/>
      <c r="AW261" s="2745" t="s">
        <v>1090</v>
      </c>
      <c r="AX261" s="2745"/>
      <c r="AY261" s="2769"/>
      <c r="AZ261" s="2688" t="s">
        <v>2913</v>
      </c>
      <c r="BA261" s="2774"/>
      <c r="BB261" s="2775"/>
      <c r="BC261" s="2774"/>
      <c r="BD261" s="2776"/>
      <c r="BE261" s="2745">
        <v>13801184541</v>
      </c>
      <c r="BF261" s="2788"/>
      <c r="BG261" s="2798">
        <v>38646</v>
      </c>
      <c r="BH261" s="2688"/>
      <c r="BI261" s="2688" t="s">
        <v>1900</v>
      </c>
      <c r="BJ261" s="2789">
        <v>38658</v>
      </c>
      <c r="BK261" s="2789"/>
      <c r="BL261" s="2688" t="s">
        <v>1174</v>
      </c>
      <c r="BM261" s="2745" t="s">
        <v>888</v>
      </c>
      <c r="BN261" s="2745" t="s">
        <v>1148</v>
      </c>
      <c r="BO261" s="2745" t="s">
        <v>1128</v>
      </c>
      <c r="BP261" s="2745"/>
      <c r="BQ261" s="2745" t="e">
        <v>#DIV/0!</v>
      </c>
      <c r="BR261" s="2745" t="e">
        <v>#DIV/0!</v>
      </c>
      <c r="BV261" s="2505"/>
    </row>
    <row r="262" s="2504" customFormat="1" ht="12" hidden="1" spans="1:74">
      <c r="A262" s="2688" t="s">
        <v>2914</v>
      </c>
      <c r="B262" s="2688" t="s">
        <v>2915</v>
      </c>
      <c r="C262" s="2689" t="s">
        <v>2916</v>
      </c>
      <c r="D262" s="2689" t="s">
        <v>2917</v>
      </c>
      <c r="E262" s="2691" t="s">
        <v>1060</v>
      </c>
      <c r="F262" s="2691" t="s">
        <v>1679</v>
      </c>
      <c r="G262" s="2691"/>
      <c r="H262" s="2691" t="s">
        <v>1823</v>
      </c>
      <c r="I262" s="2691" t="s">
        <v>1222</v>
      </c>
      <c r="J262" s="2691" t="s">
        <v>2918</v>
      </c>
      <c r="K262" s="2688"/>
      <c r="L262" s="2697">
        <v>138.68</v>
      </c>
      <c r="M262" s="2697">
        <v>6</v>
      </c>
      <c r="N262" s="2688" t="s">
        <v>2919</v>
      </c>
      <c r="O262" s="2697"/>
      <c r="P262" s="2691" t="s">
        <v>1690</v>
      </c>
      <c r="Q262" s="2712">
        <v>750000</v>
      </c>
      <c r="R262" s="2688">
        <v>5408</v>
      </c>
      <c r="S262" s="2722">
        <v>61.94</v>
      </c>
      <c r="T262" s="2723">
        <v>619400</v>
      </c>
      <c r="U262" s="2688">
        <v>4467</v>
      </c>
      <c r="V262" s="2724">
        <v>0.05</v>
      </c>
      <c r="W262" s="2722">
        <v>58.84</v>
      </c>
      <c r="X262" s="2725">
        <v>588400</v>
      </c>
      <c r="Y262" s="2745">
        <v>2005</v>
      </c>
      <c r="Z262" s="2745">
        <v>11</v>
      </c>
      <c r="AA262" s="2745">
        <v>9</v>
      </c>
      <c r="AB262" s="2688">
        <v>1500</v>
      </c>
      <c r="AC262" s="2688" t="s">
        <v>1605</v>
      </c>
      <c r="AD262" s="2691"/>
      <c r="AE262" s="2691" t="s">
        <v>1639</v>
      </c>
      <c r="AF262" s="2691" t="s">
        <v>1068</v>
      </c>
      <c r="AG262" s="2691" t="s">
        <v>1069</v>
      </c>
      <c r="AH262" s="2691"/>
      <c r="AI262" s="2691"/>
      <c r="AJ262" s="2760"/>
      <c r="AK262" s="2755" t="s">
        <v>1136</v>
      </c>
      <c r="AL262" s="2745"/>
      <c r="AM262" s="2745"/>
      <c r="AN262" s="2747" t="s">
        <v>1087</v>
      </c>
      <c r="AO262" s="2688"/>
      <c r="AP262" s="2747"/>
      <c r="AQ262" s="2745" t="s">
        <v>1607</v>
      </c>
      <c r="AR262" s="2688"/>
      <c r="AS262" s="2688"/>
      <c r="AT262" s="2688"/>
      <c r="AU262" s="2688"/>
      <c r="AV262" s="2765"/>
      <c r="AW262" s="2745" t="s">
        <v>1343</v>
      </c>
      <c r="AX262" s="2745"/>
      <c r="AY262" s="2769"/>
      <c r="AZ262" s="2688" t="s">
        <v>2920</v>
      </c>
      <c r="BA262" s="2774"/>
      <c r="BB262" s="2775"/>
      <c r="BC262" s="2774"/>
      <c r="BD262" s="2776"/>
      <c r="BE262" s="2745"/>
      <c r="BF262" s="2788"/>
      <c r="BG262" s="2798">
        <v>38658</v>
      </c>
      <c r="BH262" s="2688"/>
      <c r="BI262" s="2688" t="s">
        <v>2870</v>
      </c>
      <c r="BJ262" s="2789">
        <v>38658</v>
      </c>
      <c r="BK262" s="2753"/>
      <c r="BL262" s="2745" t="s">
        <v>1092</v>
      </c>
      <c r="BM262" s="2688" t="s">
        <v>1127</v>
      </c>
      <c r="BN262" s="2688"/>
      <c r="BO262" s="2688" t="s">
        <v>1331</v>
      </c>
      <c r="BP262" s="2745"/>
      <c r="BQ262" s="2745" t="e">
        <v>#DIV/0!</v>
      </c>
      <c r="BR262" s="2745" t="e">
        <v>#DIV/0!</v>
      </c>
      <c r="BV262" s="2505"/>
    </row>
    <row r="263" s="2505" customFormat="1" ht="12" hidden="1" spans="1:73">
      <c r="A263" s="2688" t="s">
        <v>2921</v>
      </c>
      <c r="B263" s="2688" t="s">
        <v>2922</v>
      </c>
      <c r="C263" s="2689" t="s">
        <v>2923</v>
      </c>
      <c r="D263" s="2689" t="s">
        <v>2924</v>
      </c>
      <c r="E263" s="2688" t="s">
        <v>1060</v>
      </c>
      <c r="F263" s="2894" t="s">
        <v>2925</v>
      </c>
      <c r="G263" s="2688"/>
      <c r="H263" s="2688" t="s">
        <v>1239</v>
      </c>
      <c r="I263" s="2688" t="s">
        <v>2926</v>
      </c>
      <c r="J263" s="2689" t="s">
        <v>2927</v>
      </c>
      <c r="K263" s="2688" t="s">
        <v>2922</v>
      </c>
      <c r="L263" s="2688">
        <v>59.6</v>
      </c>
      <c r="M263" s="2688">
        <v>5</v>
      </c>
      <c r="N263" s="2688" t="s">
        <v>1111</v>
      </c>
      <c r="O263" s="2688"/>
      <c r="P263" s="2688" t="s">
        <v>1065</v>
      </c>
      <c r="Q263" s="2712">
        <v>350000</v>
      </c>
      <c r="R263" s="2688">
        <v>5872</v>
      </c>
      <c r="S263" s="2722">
        <v>30.27</v>
      </c>
      <c r="T263" s="2723">
        <v>302700</v>
      </c>
      <c r="U263" s="2688">
        <v>5080</v>
      </c>
      <c r="V263" s="2724">
        <v>0.05</v>
      </c>
      <c r="W263" s="2722">
        <v>28.75</v>
      </c>
      <c r="X263" s="2725">
        <v>287500</v>
      </c>
      <c r="Y263" s="2745">
        <v>2005</v>
      </c>
      <c r="Z263" s="2745">
        <v>11</v>
      </c>
      <c r="AA263" s="2745">
        <v>14</v>
      </c>
      <c r="AB263" s="2688">
        <v>905</v>
      </c>
      <c r="AC263" s="2688" t="s">
        <v>1605</v>
      </c>
      <c r="AD263" s="2688"/>
      <c r="AE263" s="2745" t="s">
        <v>1067</v>
      </c>
      <c r="AF263" s="2688" t="s">
        <v>1068</v>
      </c>
      <c r="AG263" s="2688" t="s">
        <v>1069</v>
      </c>
      <c r="AH263" s="2688"/>
      <c r="AI263" s="2688" t="s">
        <v>1342</v>
      </c>
      <c r="AJ263" s="2753"/>
      <c r="AK263" s="2688" t="s">
        <v>1136</v>
      </c>
      <c r="AL263" s="2745">
        <v>82253558</v>
      </c>
      <c r="AM263" s="2745"/>
      <c r="AN263" s="2745" t="s">
        <v>1072</v>
      </c>
      <c r="AO263" s="2745"/>
      <c r="AP263" s="2745" t="s">
        <v>1208</v>
      </c>
      <c r="AQ263" s="2688" t="s">
        <v>1607</v>
      </c>
      <c r="AR263" s="2745"/>
      <c r="AS263" s="2745"/>
      <c r="AT263" s="2745"/>
      <c r="AU263" s="2745"/>
      <c r="AV263" s="2745"/>
      <c r="AW263" s="2688" t="s">
        <v>1343</v>
      </c>
      <c r="AX263" s="2745"/>
      <c r="AY263" s="2769"/>
      <c r="AZ263" s="2745" t="s">
        <v>2928</v>
      </c>
      <c r="BA263" s="2745"/>
      <c r="BB263" s="2769"/>
      <c r="BC263" s="2745"/>
      <c r="BD263" s="2770"/>
      <c r="BE263" s="2745"/>
      <c r="BF263" s="2788"/>
      <c r="BG263" s="2790">
        <v>38658</v>
      </c>
      <c r="BH263" s="2745"/>
      <c r="BI263" s="2688" t="s">
        <v>1609</v>
      </c>
      <c r="BJ263" s="2789">
        <v>38658</v>
      </c>
      <c r="BK263" s="2789"/>
      <c r="BL263" s="2688" t="s">
        <v>1174</v>
      </c>
      <c r="BM263" s="2745" t="s">
        <v>888</v>
      </c>
      <c r="BN263" s="2745" t="s">
        <v>1148</v>
      </c>
      <c r="BO263" s="2745" t="s">
        <v>1128</v>
      </c>
      <c r="BP263" s="2745"/>
      <c r="BQ263" s="2745" t="e">
        <v>#DIV/0!</v>
      </c>
      <c r="BR263" s="2745" t="e">
        <v>#DIV/0!</v>
      </c>
      <c r="BS263" s="2504"/>
      <c r="BT263" s="2504"/>
      <c r="BU263" s="2504"/>
    </row>
    <row r="264" s="2504" customFormat="1" ht="12" hidden="1" spans="1:74">
      <c r="A264" s="2688" t="s">
        <v>2929</v>
      </c>
      <c r="B264" s="2688" t="s">
        <v>2930</v>
      </c>
      <c r="C264" s="2689" t="s">
        <v>2931</v>
      </c>
      <c r="D264" s="2689" t="s">
        <v>2932</v>
      </c>
      <c r="E264" s="2688" t="s">
        <v>1060</v>
      </c>
      <c r="F264" s="2690" t="s">
        <v>2933</v>
      </c>
      <c r="G264" s="2688"/>
      <c r="H264" s="2688" t="s">
        <v>1239</v>
      </c>
      <c r="I264" s="2688" t="s">
        <v>1585</v>
      </c>
      <c r="J264" s="2689" t="s">
        <v>1719</v>
      </c>
      <c r="K264" s="2688" t="s">
        <v>2930</v>
      </c>
      <c r="L264" s="2688">
        <v>53.65</v>
      </c>
      <c r="M264" s="2688">
        <v>6</v>
      </c>
      <c r="N264" s="2688" t="s">
        <v>1259</v>
      </c>
      <c r="O264" s="2688"/>
      <c r="P264" s="2688" t="s">
        <v>1065</v>
      </c>
      <c r="Q264" s="2712">
        <v>420000</v>
      </c>
      <c r="R264" s="2697">
        <v>7829</v>
      </c>
      <c r="S264" s="2722">
        <v>40.07</v>
      </c>
      <c r="T264" s="2725">
        <v>400700</v>
      </c>
      <c r="U264" s="2688">
        <v>7470</v>
      </c>
      <c r="V264" s="2724">
        <v>0.05</v>
      </c>
      <c r="W264" s="2722">
        <v>38.06</v>
      </c>
      <c r="X264" s="2725">
        <v>380600</v>
      </c>
      <c r="Y264" s="2688">
        <v>2005</v>
      </c>
      <c r="Z264" s="2688">
        <v>11</v>
      </c>
      <c r="AA264" s="2745">
        <v>9</v>
      </c>
      <c r="AB264" s="2688">
        <v>1200</v>
      </c>
      <c r="AC264" s="2688" t="s">
        <v>1605</v>
      </c>
      <c r="AD264" s="2688"/>
      <c r="AE264" s="2691" t="s">
        <v>1067</v>
      </c>
      <c r="AF264" s="2688" t="s">
        <v>1068</v>
      </c>
      <c r="AG264" s="2688" t="s">
        <v>1069</v>
      </c>
      <c r="AH264" s="2688"/>
      <c r="AI264" s="2747" t="s">
        <v>2138</v>
      </c>
      <c r="AJ264" s="2753"/>
      <c r="AK264" s="2754" t="s">
        <v>1136</v>
      </c>
      <c r="AL264" s="2745">
        <v>67641700</v>
      </c>
      <c r="AM264" s="2745"/>
      <c r="AN264" s="2688" t="s">
        <v>1088</v>
      </c>
      <c r="AO264" s="2745"/>
      <c r="AP264" s="2747" t="s">
        <v>1515</v>
      </c>
      <c r="AQ264" s="2745" t="s">
        <v>1074</v>
      </c>
      <c r="AR264" s="2745"/>
      <c r="AS264" s="2745"/>
      <c r="AT264" s="2745"/>
      <c r="AU264" s="2745"/>
      <c r="AV264" s="2745"/>
      <c r="AW264" s="2745" t="s">
        <v>1343</v>
      </c>
      <c r="AX264" s="2745"/>
      <c r="AY264" s="2769"/>
      <c r="AZ264" s="2745" t="s">
        <v>2934</v>
      </c>
      <c r="BA264" s="2745"/>
      <c r="BB264" s="2769"/>
      <c r="BC264" s="2745"/>
      <c r="BD264" s="2770"/>
      <c r="BE264" s="2745"/>
      <c r="BF264" s="2788"/>
      <c r="BG264" s="2792">
        <v>38657</v>
      </c>
      <c r="BH264" s="2745"/>
      <c r="BI264" s="2691" t="s">
        <v>2140</v>
      </c>
      <c r="BJ264" s="2789">
        <v>38658</v>
      </c>
      <c r="BK264" s="2789"/>
      <c r="BL264" s="2745" t="s">
        <v>1174</v>
      </c>
      <c r="BM264" s="2688" t="s">
        <v>888</v>
      </c>
      <c r="BN264" s="2745" t="s">
        <v>1077</v>
      </c>
      <c r="BO264" s="2745"/>
      <c r="BP264" s="2745"/>
      <c r="BQ264" s="2745" t="e">
        <v>#DIV/0!</v>
      </c>
      <c r="BR264" s="2745" t="e">
        <v>#DIV/0!</v>
      </c>
      <c r="BV264" s="2505"/>
    </row>
    <row r="265" s="2508" customFormat="1" ht="12" hidden="1" spans="1:73">
      <c r="A265" s="2685" t="s">
        <v>2935</v>
      </c>
      <c r="B265" s="2685" t="s">
        <v>2936</v>
      </c>
      <c r="C265" s="2686" t="s">
        <v>2937</v>
      </c>
      <c r="D265" s="2686">
        <v>13366815237</v>
      </c>
      <c r="E265" s="2684" t="s">
        <v>1060</v>
      </c>
      <c r="F265" s="2684" t="s">
        <v>1814</v>
      </c>
      <c r="G265" s="2685"/>
      <c r="H265" s="2684" t="s">
        <v>1084</v>
      </c>
      <c r="I265" s="2684"/>
      <c r="J265" s="2685" t="s">
        <v>1671</v>
      </c>
      <c r="K265" s="2685" t="s">
        <v>2936</v>
      </c>
      <c r="L265" s="2685">
        <v>64.7</v>
      </c>
      <c r="M265" s="2686">
        <v>1</v>
      </c>
      <c r="N265" s="2685" t="s">
        <v>1259</v>
      </c>
      <c r="O265" s="2685"/>
      <c r="P265" s="2685" t="s">
        <v>1065</v>
      </c>
      <c r="Q265" s="2716">
        <v>400000</v>
      </c>
      <c r="R265" s="2685">
        <v>6182</v>
      </c>
      <c r="S265" s="2717">
        <v>33.83</v>
      </c>
      <c r="T265" s="2718">
        <v>338300</v>
      </c>
      <c r="U265" s="2685">
        <v>5230</v>
      </c>
      <c r="V265" s="2719">
        <v>0.05</v>
      </c>
      <c r="W265" s="2717">
        <v>32.13</v>
      </c>
      <c r="X265" s="2720">
        <v>321300</v>
      </c>
      <c r="Y265" s="2744">
        <v>2005</v>
      </c>
      <c r="Z265" s="2744">
        <v>12</v>
      </c>
      <c r="AA265" s="2744">
        <v>14</v>
      </c>
      <c r="AB265" s="2685">
        <v>1010</v>
      </c>
      <c r="AC265" s="2685" t="s">
        <v>1605</v>
      </c>
      <c r="AD265" s="2685"/>
      <c r="AE265" s="2749" t="s">
        <v>1342</v>
      </c>
      <c r="AF265" s="2684" t="s">
        <v>1068</v>
      </c>
      <c r="AG265" s="2749" t="s">
        <v>1069</v>
      </c>
      <c r="AH265" s="2685"/>
      <c r="AI265" s="2749" t="s">
        <v>2138</v>
      </c>
      <c r="AJ265" s="2751"/>
      <c r="AK265" s="2752" t="s">
        <v>1563</v>
      </c>
      <c r="AL265" s="2744">
        <v>67641700</v>
      </c>
      <c r="AM265" s="2744"/>
      <c r="AN265" s="2749" t="s">
        <v>1072</v>
      </c>
      <c r="AO265" s="2685"/>
      <c r="AP265" s="2749" t="s">
        <v>1515</v>
      </c>
      <c r="AQ265" s="2744" t="s">
        <v>1607</v>
      </c>
      <c r="AR265" s="2744"/>
      <c r="AS265" s="2744"/>
      <c r="AT265" s="2744"/>
      <c r="AU265" s="2744"/>
      <c r="AV265" s="2744"/>
      <c r="AW265" s="2744" t="s">
        <v>1343</v>
      </c>
      <c r="AX265" s="2744"/>
      <c r="AY265" s="2767"/>
      <c r="AZ265" s="2685" t="s">
        <v>2938</v>
      </c>
      <c r="BA265" s="2777"/>
      <c r="BB265" s="2778"/>
      <c r="BC265" s="2777"/>
      <c r="BD265" s="2779"/>
      <c r="BE265" s="2744"/>
      <c r="BF265" s="2784"/>
      <c r="BG265" s="2801">
        <v>38645</v>
      </c>
      <c r="BH265" s="2685" t="s">
        <v>1174</v>
      </c>
      <c r="BI265" s="2786" t="s">
        <v>1515</v>
      </c>
      <c r="BJ265" s="2787">
        <v>38657</v>
      </c>
      <c r="BK265" s="2787"/>
      <c r="BL265" s="2685" t="s">
        <v>1092</v>
      </c>
      <c r="BM265" s="2744" t="s">
        <v>1077</v>
      </c>
      <c r="BN265" s="2744" t="s">
        <v>1127</v>
      </c>
      <c r="BO265" s="2744" t="s">
        <v>1128</v>
      </c>
      <c r="BP265" s="2744"/>
      <c r="BQ265" s="2744" t="e">
        <v>#DIV/0!</v>
      </c>
      <c r="BR265" s="2744" t="e">
        <v>#DIV/0!</v>
      </c>
      <c r="BS265" s="2504"/>
      <c r="BT265" s="2504"/>
      <c r="BU265" s="2504"/>
    </row>
    <row r="266" s="2504" customFormat="1" ht="12" hidden="1" spans="1:74">
      <c r="A266" s="2688" t="s">
        <v>2939</v>
      </c>
      <c r="B266" s="2688" t="s">
        <v>2940</v>
      </c>
      <c r="C266" s="2689" t="s">
        <v>2941</v>
      </c>
      <c r="D266" s="2689">
        <v>13717661144</v>
      </c>
      <c r="E266" s="2691" t="s">
        <v>1060</v>
      </c>
      <c r="F266" s="2691" t="s">
        <v>2942</v>
      </c>
      <c r="G266" s="2688"/>
      <c r="H266" s="2691" t="s">
        <v>1221</v>
      </c>
      <c r="I266" s="2691" t="s">
        <v>1392</v>
      </c>
      <c r="J266" s="2688" t="s">
        <v>1166</v>
      </c>
      <c r="K266" s="2688" t="s">
        <v>2940</v>
      </c>
      <c r="L266" s="2688">
        <v>54.7</v>
      </c>
      <c r="M266" s="2689">
        <v>3</v>
      </c>
      <c r="N266" s="2688" t="s">
        <v>1064</v>
      </c>
      <c r="O266" s="2688"/>
      <c r="P266" s="2688" t="s">
        <v>1065</v>
      </c>
      <c r="Q266" s="2712">
        <v>420000</v>
      </c>
      <c r="R266" s="2688">
        <v>7678</v>
      </c>
      <c r="S266" s="2722">
        <v>33.91</v>
      </c>
      <c r="T266" s="2723">
        <v>339100</v>
      </c>
      <c r="U266" s="2688">
        <v>6200</v>
      </c>
      <c r="V266" s="2724">
        <v>0.05</v>
      </c>
      <c r="W266" s="2722">
        <v>32.21</v>
      </c>
      <c r="X266" s="2725">
        <v>322100</v>
      </c>
      <c r="Y266" s="2745">
        <v>2005</v>
      </c>
      <c r="Z266" s="2745">
        <v>11</v>
      </c>
      <c r="AA266" s="2745">
        <v>8</v>
      </c>
      <c r="AB266" s="2688">
        <v>1015</v>
      </c>
      <c r="AC266" s="2688" t="s">
        <v>1605</v>
      </c>
      <c r="AD266" s="2688"/>
      <c r="AE266" s="2747" t="s">
        <v>1342</v>
      </c>
      <c r="AF266" s="2691" t="s">
        <v>1068</v>
      </c>
      <c r="AG266" s="2747" t="s">
        <v>1069</v>
      </c>
      <c r="AH266" s="2688"/>
      <c r="AI266" s="2747" t="s">
        <v>2138</v>
      </c>
      <c r="AJ266" s="2753"/>
      <c r="AK266" s="2755" t="s">
        <v>1136</v>
      </c>
      <c r="AL266" s="2745">
        <v>67641700</v>
      </c>
      <c r="AM266" s="2745"/>
      <c r="AN266" s="2747" t="s">
        <v>1088</v>
      </c>
      <c r="AO266" s="2688"/>
      <c r="AP266" s="2747" t="s">
        <v>1515</v>
      </c>
      <c r="AQ266" s="2745" t="s">
        <v>1074</v>
      </c>
      <c r="AR266" s="2745"/>
      <c r="AS266" s="2745"/>
      <c r="AT266" s="2745"/>
      <c r="AU266" s="2745"/>
      <c r="AV266" s="2745"/>
      <c r="AW266" s="2745" t="s">
        <v>1343</v>
      </c>
      <c r="AX266" s="2745"/>
      <c r="AY266" s="2769"/>
      <c r="AZ266" s="2688" t="s">
        <v>2943</v>
      </c>
      <c r="BA266" s="2774"/>
      <c r="BB266" s="2775"/>
      <c r="BC266" s="2774"/>
      <c r="BD266" s="2776"/>
      <c r="BE266" s="2745"/>
      <c r="BF266" s="2788"/>
      <c r="BG266" s="2798">
        <v>38648</v>
      </c>
      <c r="BH266" s="2688" t="s">
        <v>1174</v>
      </c>
      <c r="BI266" s="2748" t="s">
        <v>1515</v>
      </c>
      <c r="BJ266" s="2789">
        <v>38658</v>
      </c>
      <c r="BK266" s="2789"/>
      <c r="BL266" s="2688" t="s">
        <v>1092</v>
      </c>
      <c r="BM266" s="2745" t="s">
        <v>1077</v>
      </c>
      <c r="BN266" s="2745" t="s">
        <v>1127</v>
      </c>
      <c r="BO266" s="2745" t="s">
        <v>1128</v>
      </c>
      <c r="BP266" s="2745"/>
      <c r="BQ266" s="2745" t="e">
        <v>#DIV/0!</v>
      </c>
      <c r="BR266" s="2745" t="e">
        <v>#DIV/0!</v>
      </c>
      <c r="BV266" s="2505"/>
    </row>
    <row r="267" s="2504" customFormat="1" ht="12" hidden="1" spans="1:74">
      <c r="A267" s="2688" t="s">
        <v>2944</v>
      </c>
      <c r="B267" s="2688" t="s">
        <v>2945</v>
      </c>
      <c r="C267" s="2689" t="s">
        <v>2946</v>
      </c>
      <c r="D267" s="2689">
        <v>13301193226</v>
      </c>
      <c r="E267" s="2691" t="s">
        <v>1060</v>
      </c>
      <c r="F267" s="2691" t="s">
        <v>2947</v>
      </c>
      <c r="G267" s="2688"/>
      <c r="H267" s="2691" t="s">
        <v>2948</v>
      </c>
      <c r="I267" s="2691" t="s">
        <v>1196</v>
      </c>
      <c r="J267" s="2688" t="s">
        <v>2949</v>
      </c>
      <c r="K267" s="2688" t="s">
        <v>2945</v>
      </c>
      <c r="L267" s="2688">
        <v>62.6</v>
      </c>
      <c r="M267" s="2689">
        <v>6</v>
      </c>
      <c r="N267" s="2688" t="s">
        <v>1064</v>
      </c>
      <c r="O267" s="2688"/>
      <c r="P267" s="2688" t="s">
        <v>1065</v>
      </c>
      <c r="Q267" s="2712">
        <v>400000</v>
      </c>
      <c r="R267" s="2688">
        <v>6390</v>
      </c>
      <c r="S267" s="2722">
        <v>35.05</v>
      </c>
      <c r="T267" s="2723">
        <v>350500</v>
      </c>
      <c r="U267" s="2688">
        <v>5600</v>
      </c>
      <c r="V267" s="2724">
        <v>0.05</v>
      </c>
      <c r="W267" s="2722">
        <v>33.29</v>
      </c>
      <c r="X267" s="2725">
        <v>332900</v>
      </c>
      <c r="Y267" s="2745">
        <v>2005</v>
      </c>
      <c r="Z267" s="2745">
        <v>11</v>
      </c>
      <c r="AA267" s="2745">
        <v>8</v>
      </c>
      <c r="AB267" s="2688">
        <v>1050</v>
      </c>
      <c r="AC267" s="2688" t="s">
        <v>1605</v>
      </c>
      <c r="AD267" s="2688"/>
      <c r="AE267" s="2747" t="s">
        <v>1342</v>
      </c>
      <c r="AF267" s="2691" t="s">
        <v>1068</v>
      </c>
      <c r="AG267" s="2747" t="s">
        <v>1069</v>
      </c>
      <c r="AH267" s="2688"/>
      <c r="AI267" s="2747" t="s">
        <v>2138</v>
      </c>
      <c r="AJ267" s="2753"/>
      <c r="AK267" s="2755" t="s">
        <v>1136</v>
      </c>
      <c r="AL267" s="2745">
        <v>67641700</v>
      </c>
      <c r="AM267" s="2745"/>
      <c r="AN267" s="2747" t="s">
        <v>1088</v>
      </c>
      <c r="AO267" s="2688"/>
      <c r="AP267" s="2747" t="s">
        <v>1515</v>
      </c>
      <c r="AQ267" s="2745" t="s">
        <v>1074</v>
      </c>
      <c r="AR267" s="2745"/>
      <c r="AS267" s="2745"/>
      <c r="AT267" s="2745"/>
      <c r="AU267" s="2745"/>
      <c r="AV267" s="2745"/>
      <c r="AW267" s="2745" t="s">
        <v>1343</v>
      </c>
      <c r="AX267" s="2745"/>
      <c r="AY267" s="2769"/>
      <c r="AZ267" s="2688" t="s">
        <v>2950</v>
      </c>
      <c r="BA267" s="2774"/>
      <c r="BB267" s="2775"/>
      <c r="BC267" s="2774"/>
      <c r="BD267" s="2776"/>
      <c r="BE267" s="2745"/>
      <c r="BF267" s="2788"/>
      <c r="BG267" s="2798">
        <v>38657</v>
      </c>
      <c r="BH267" s="2688" t="s">
        <v>1174</v>
      </c>
      <c r="BI267" s="2748" t="s">
        <v>1515</v>
      </c>
      <c r="BJ267" s="2789">
        <v>38658</v>
      </c>
      <c r="BK267" s="2789"/>
      <c r="BL267" s="2688" t="s">
        <v>1092</v>
      </c>
      <c r="BM267" s="2745" t="s">
        <v>1077</v>
      </c>
      <c r="BN267" s="2745" t="s">
        <v>1127</v>
      </c>
      <c r="BO267" s="2745" t="s">
        <v>1128</v>
      </c>
      <c r="BP267" s="2745"/>
      <c r="BQ267" s="2745" t="e">
        <v>#DIV/0!</v>
      </c>
      <c r="BR267" s="2745" t="e">
        <v>#DIV/0!</v>
      </c>
      <c r="BV267" s="2505"/>
    </row>
    <row r="268" s="2504" customFormat="1" ht="12" hidden="1" spans="1:70">
      <c r="A268" s="2688" t="s">
        <v>2951</v>
      </c>
      <c r="B268" s="2688" t="s">
        <v>2952</v>
      </c>
      <c r="C268" s="2689" t="s">
        <v>2953</v>
      </c>
      <c r="D268" s="2689" t="s">
        <v>2954</v>
      </c>
      <c r="E268" s="2691" t="s">
        <v>1060</v>
      </c>
      <c r="F268" s="2691" t="s">
        <v>2955</v>
      </c>
      <c r="G268" s="2688"/>
      <c r="H268" s="2691"/>
      <c r="I268" s="2691" t="s">
        <v>2575</v>
      </c>
      <c r="J268" s="2688" t="s">
        <v>2956</v>
      </c>
      <c r="K268" s="2688" t="s">
        <v>2957</v>
      </c>
      <c r="L268" s="2688">
        <v>38.4</v>
      </c>
      <c r="M268" s="2688">
        <v>4</v>
      </c>
      <c r="N268" s="2688" t="s">
        <v>1259</v>
      </c>
      <c r="O268" s="2688"/>
      <c r="P268" s="2688" t="s">
        <v>1065</v>
      </c>
      <c r="Q268" s="2712">
        <v>280000</v>
      </c>
      <c r="R268" s="2688">
        <v>7292</v>
      </c>
      <c r="S268" s="2722">
        <v>22.65</v>
      </c>
      <c r="T268" s="2723">
        <v>226500</v>
      </c>
      <c r="U268" s="2688">
        <v>5900</v>
      </c>
      <c r="V268" s="2724">
        <v>0.05</v>
      </c>
      <c r="W268" s="2722">
        <v>21.51</v>
      </c>
      <c r="X268" s="2725">
        <v>215100</v>
      </c>
      <c r="Y268" s="2745">
        <v>2005</v>
      </c>
      <c r="Z268" s="2745">
        <v>12</v>
      </c>
      <c r="AA268" s="2745">
        <v>5</v>
      </c>
      <c r="AB268" s="2688">
        <v>675</v>
      </c>
      <c r="AC268" s="2688" t="s">
        <v>1605</v>
      </c>
      <c r="AD268" s="2688"/>
      <c r="AE268" s="2747" t="s">
        <v>1070</v>
      </c>
      <c r="AF268" s="2691" t="s">
        <v>1068</v>
      </c>
      <c r="AG268" s="2747" t="s">
        <v>1069</v>
      </c>
      <c r="AH268" s="2688"/>
      <c r="AI268" s="2747" t="s">
        <v>2138</v>
      </c>
      <c r="AJ268" s="2753"/>
      <c r="AK268" s="2755" t="s">
        <v>1563</v>
      </c>
      <c r="AL268" s="2745">
        <v>67641700</v>
      </c>
      <c r="AM268" s="2745"/>
      <c r="AN268" s="2747" t="s">
        <v>1088</v>
      </c>
      <c r="AO268" s="2688"/>
      <c r="AP268" s="2747" t="s">
        <v>1515</v>
      </c>
      <c r="AQ268" s="2745" t="s">
        <v>1607</v>
      </c>
      <c r="AR268" s="2745"/>
      <c r="AS268" s="2745"/>
      <c r="AT268" s="2745"/>
      <c r="AU268" s="2745"/>
      <c r="AV268" s="2745"/>
      <c r="AW268" s="2745" t="s">
        <v>1090</v>
      </c>
      <c r="AX268" s="2745"/>
      <c r="AY268" s="2769"/>
      <c r="AZ268" s="2688" t="s">
        <v>2958</v>
      </c>
      <c r="BA268" s="2774"/>
      <c r="BB268" s="2775"/>
      <c r="BC268" s="2774"/>
      <c r="BD268" s="2776"/>
      <c r="BE268" s="2745" t="s">
        <v>2959</v>
      </c>
      <c r="BF268" s="2788"/>
      <c r="BG268" s="2798">
        <v>38657</v>
      </c>
      <c r="BH268" s="2688" t="s">
        <v>1174</v>
      </c>
      <c r="BI268" s="2901" t="s">
        <v>1515</v>
      </c>
      <c r="BJ268" s="2831">
        <v>38660</v>
      </c>
      <c r="BK268" s="2831"/>
      <c r="BL268" s="2504" t="s">
        <v>1092</v>
      </c>
      <c r="BM268" s="2505" t="s">
        <v>888</v>
      </c>
      <c r="BN268" s="2505" t="s">
        <v>1148</v>
      </c>
      <c r="BO268" s="2505" t="s">
        <v>1331</v>
      </c>
      <c r="BP268" s="2505"/>
      <c r="BQ268" s="2505" t="e">
        <v>#DIV/0!</v>
      </c>
      <c r="BR268" s="2505" t="e">
        <v>#DIV/0!</v>
      </c>
    </row>
    <row r="269" s="2504" customFormat="1" ht="12" hidden="1" spans="1:74">
      <c r="A269" s="2688" t="s">
        <v>2960</v>
      </c>
      <c r="B269" s="2688" t="s">
        <v>2961</v>
      </c>
      <c r="C269" s="2689" t="s">
        <v>2962</v>
      </c>
      <c r="D269" s="2689" t="s">
        <v>2963</v>
      </c>
      <c r="E269" s="2691" t="s">
        <v>1060</v>
      </c>
      <c r="F269" s="2691" t="s">
        <v>2215</v>
      </c>
      <c r="G269" s="2688"/>
      <c r="H269" s="2691" t="s">
        <v>1391</v>
      </c>
      <c r="I269" s="2691" t="s">
        <v>1591</v>
      </c>
      <c r="J269" s="2688" t="s">
        <v>1268</v>
      </c>
      <c r="K269" s="2688" t="s">
        <v>2961</v>
      </c>
      <c r="L269" s="2688">
        <v>71.67</v>
      </c>
      <c r="M269" s="2688">
        <v>5</v>
      </c>
      <c r="N269" s="2688" t="s">
        <v>1064</v>
      </c>
      <c r="O269" s="2688"/>
      <c r="P269" s="2688" t="s">
        <v>1065</v>
      </c>
      <c r="Q269" s="2712">
        <v>340000</v>
      </c>
      <c r="R269" s="2688">
        <v>4744</v>
      </c>
      <c r="S269" s="2722">
        <v>32.82</v>
      </c>
      <c r="T269" s="2723">
        <v>328200</v>
      </c>
      <c r="U269" s="2688">
        <v>4580</v>
      </c>
      <c r="V269" s="2724">
        <v>0.05</v>
      </c>
      <c r="W269" s="2722">
        <v>31.17</v>
      </c>
      <c r="X269" s="2725">
        <v>311700</v>
      </c>
      <c r="Y269" s="2745">
        <v>2005</v>
      </c>
      <c r="Z269" s="2745">
        <v>11</v>
      </c>
      <c r="AA269" s="2745">
        <v>28</v>
      </c>
      <c r="AB269" s="2688">
        <v>980</v>
      </c>
      <c r="AC269" s="2688" t="s">
        <v>1605</v>
      </c>
      <c r="AD269" s="2688"/>
      <c r="AE269" s="2747" t="s">
        <v>1342</v>
      </c>
      <c r="AF269" s="2691" t="s">
        <v>1068</v>
      </c>
      <c r="AG269" s="2747" t="s">
        <v>1069</v>
      </c>
      <c r="AH269" s="2688"/>
      <c r="AI269" s="2688" t="s">
        <v>1342</v>
      </c>
      <c r="AJ269" s="2753"/>
      <c r="AK269" s="2755" t="s">
        <v>1136</v>
      </c>
      <c r="AL269" s="2745">
        <v>82253558</v>
      </c>
      <c r="AM269" s="2745"/>
      <c r="AN269" s="2688" t="s">
        <v>1071</v>
      </c>
      <c r="AO269" s="2688"/>
      <c r="AP269" s="2745" t="s">
        <v>1208</v>
      </c>
      <c r="AQ269" s="2688" t="s">
        <v>1607</v>
      </c>
      <c r="AR269" s="2745">
        <v>2005</v>
      </c>
      <c r="AS269" s="2745">
        <v>11</v>
      </c>
      <c r="AT269" s="2745">
        <v>28</v>
      </c>
      <c r="AU269" s="2745"/>
      <c r="AV269" s="2745"/>
      <c r="AW269" s="2745" t="s">
        <v>1343</v>
      </c>
      <c r="AX269" s="2745"/>
      <c r="AY269" s="2769"/>
      <c r="AZ269" s="2688" t="s">
        <v>2964</v>
      </c>
      <c r="BA269" s="2774"/>
      <c r="BB269" s="2775"/>
      <c r="BC269" s="2774"/>
      <c r="BD269" s="2776"/>
      <c r="BE269" s="2745"/>
      <c r="BF269" s="2788"/>
      <c r="BG269" s="2798">
        <v>38657</v>
      </c>
      <c r="BH269" s="2688" t="s">
        <v>1174</v>
      </c>
      <c r="BI269" s="2688" t="s">
        <v>1609</v>
      </c>
      <c r="BJ269" s="2789">
        <v>38663</v>
      </c>
      <c r="BK269" s="2789"/>
      <c r="BL269" s="2688" t="s">
        <v>1174</v>
      </c>
      <c r="BM269" s="2505" t="s">
        <v>888</v>
      </c>
      <c r="BN269" s="2505" t="s">
        <v>1077</v>
      </c>
      <c r="BO269" s="2505" t="s">
        <v>1331</v>
      </c>
      <c r="BP269" s="2505"/>
      <c r="BQ269" s="2505" t="e">
        <v>#DIV/0!</v>
      </c>
      <c r="BR269" s="2505" t="e">
        <v>#DIV/0!</v>
      </c>
      <c r="BV269" s="2505"/>
    </row>
    <row r="270" s="2510" customFormat="1" ht="12" hidden="1" spans="1:74">
      <c r="A270" s="2693" t="s">
        <v>2965</v>
      </c>
      <c r="B270" s="2693" t="s">
        <v>2966</v>
      </c>
      <c r="C270" s="2694" t="s">
        <v>2967</v>
      </c>
      <c r="D270" s="2694" t="s">
        <v>2968</v>
      </c>
      <c r="E270" s="2710" t="s">
        <v>1060</v>
      </c>
      <c r="F270" s="2710" t="s">
        <v>2969</v>
      </c>
      <c r="G270" s="2693"/>
      <c r="H270" s="2710" t="s">
        <v>1180</v>
      </c>
      <c r="I270" s="2710" t="s">
        <v>1143</v>
      </c>
      <c r="J270" s="2693" t="s">
        <v>1249</v>
      </c>
      <c r="K270" s="2693" t="s">
        <v>2966</v>
      </c>
      <c r="L270" s="2693">
        <v>78.9</v>
      </c>
      <c r="M270" s="2693">
        <v>5</v>
      </c>
      <c r="N270" s="2693" t="s">
        <v>1064</v>
      </c>
      <c r="O270" s="2693"/>
      <c r="P270" s="2693" t="s">
        <v>1065</v>
      </c>
      <c r="Q270" s="2728">
        <v>560000</v>
      </c>
      <c r="R270" s="2693">
        <v>7098</v>
      </c>
      <c r="S270" s="2730">
        <v>44.65</v>
      </c>
      <c r="T270" s="2731">
        <v>446500</v>
      </c>
      <c r="U270" s="2693">
        <v>5660</v>
      </c>
      <c r="V270" s="2732">
        <v>0.05</v>
      </c>
      <c r="W270" s="2730">
        <v>42.41</v>
      </c>
      <c r="X270" s="2733">
        <v>424100</v>
      </c>
      <c r="Y270" s="2706">
        <v>2005</v>
      </c>
      <c r="Z270" s="2706">
        <v>11</v>
      </c>
      <c r="AA270" s="2706">
        <v>24</v>
      </c>
      <c r="AB270" s="2693">
        <v>1335</v>
      </c>
      <c r="AC270" s="2693" t="s">
        <v>1605</v>
      </c>
      <c r="AD270" s="2693"/>
      <c r="AE270" s="2757" t="s">
        <v>1342</v>
      </c>
      <c r="AF270" s="2710" t="s">
        <v>1068</v>
      </c>
      <c r="AG270" s="2757" t="s">
        <v>1069</v>
      </c>
      <c r="AH270" s="2693"/>
      <c r="AI270" s="2757" t="s">
        <v>2138</v>
      </c>
      <c r="AJ270" s="2758"/>
      <c r="AK270" s="2759" t="s">
        <v>1136</v>
      </c>
      <c r="AL270" s="2706">
        <v>67641700</v>
      </c>
      <c r="AM270" s="2706"/>
      <c r="AN270" s="2757" t="s">
        <v>1182</v>
      </c>
      <c r="AO270" s="2693"/>
      <c r="AP270" s="2757" t="s">
        <v>1515</v>
      </c>
      <c r="AQ270" s="2706" t="s">
        <v>1607</v>
      </c>
      <c r="AR270" s="2706"/>
      <c r="AS270" s="2706"/>
      <c r="AT270" s="2706"/>
      <c r="AU270" s="2706"/>
      <c r="AV270" s="2706"/>
      <c r="AW270" s="2706" t="s">
        <v>1343</v>
      </c>
      <c r="AX270" s="2706"/>
      <c r="AY270" s="2772"/>
      <c r="AZ270" s="2693" t="s">
        <v>2970</v>
      </c>
      <c r="BA270" s="2897"/>
      <c r="BB270" s="2898"/>
      <c r="BC270" s="2897"/>
      <c r="BD270" s="2899"/>
      <c r="BE270" s="2706"/>
      <c r="BF270" s="2795"/>
      <c r="BG270" s="2902">
        <v>38664</v>
      </c>
      <c r="BH270" s="2693" t="s">
        <v>1174</v>
      </c>
      <c r="BI270" s="2892" t="s">
        <v>1515</v>
      </c>
      <c r="BJ270" s="2797">
        <v>38664</v>
      </c>
      <c r="BK270" s="2797"/>
      <c r="BL270" s="2693" t="s">
        <v>1092</v>
      </c>
      <c r="BM270" s="2706" t="s">
        <v>888</v>
      </c>
      <c r="BN270" s="2706" t="s">
        <v>1077</v>
      </c>
      <c r="BO270" s="2706" t="s">
        <v>1331</v>
      </c>
      <c r="BP270" s="2706"/>
      <c r="BQ270" s="2706" t="e">
        <v>#DIV/0!</v>
      </c>
      <c r="BR270" s="2706" t="e">
        <v>#DIV/0!</v>
      </c>
      <c r="BV270" s="2507"/>
    </row>
    <row r="271" s="2504" customFormat="1" ht="12" hidden="1" spans="1:74">
      <c r="A271" s="2688" t="s">
        <v>2971</v>
      </c>
      <c r="B271" s="2688" t="s">
        <v>2972</v>
      </c>
      <c r="C271" s="2689" t="s">
        <v>2973</v>
      </c>
      <c r="D271" s="2689" t="s">
        <v>2974</v>
      </c>
      <c r="E271" s="2691" t="s">
        <v>1060</v>
      </c>
      <c r="F271" s="2691" t="s">
        <v>2011</v>
      </c>
      <c r="G271" s="2688"/>
      <c r="H271" s="2691" t="s">
        <v>1155</v>
      </c>
      <c r="I271" s="2691" t="s">
        <v>1114</v>
      </c>
      <c r="J271" s="2688" t="s">
        <v>2975</v>
      </c>
      <c r="K271" s="2688" t="s">
        <v>2972</v>
      </c>
      <c r="L271" s="2688">
        <v>142.6</v>
      </c>
      <c r="M271" s="2688">
        <v>14</v>
      </c>
      <c r="N271" s="2688" t="s">
        <v>2976</v>
      </c>
      <c r="O271" s="2688"/>
      <c r="P271" s="2688" t="s">
        <v>1065</v>
      </c>
      <c r="Q271" s="2712">
        <v>1037000</v>
      </c>
      <c r="R271" s="2688">
        <v>7272</v>
      </c>
      <c r="S271" s="2722">
        <v>92.11</v>
      </c>
      <c r="T271" s="2723">
        <v>921100</v>
      </c>
      <c r="U271" s="2688">
        <v>6460</v>
      </c>
      <c r="V271" s="2724">
        <v>0.05</v>
      </c>
      <c r="W271" s="2722">
        <v>87.5</v>
      </c>
      <c r="X271" s="2725">
        <v>875000</v>
      </c>
      <c r="Y271" s="2745">
        <v>2005</v>
      </c>
      <c r="Z271" s="2745">
        <v>11</v>
      </c>
      <c r="AA271" s="2745">
        <v>11</v>
      </c>
      <c r="AB271" s="2688">
        <v>1500</v>
      </c>
      <c r="AC271" s="2688" t="s">
        <v>1605</v>
      </c>
      <c r="AD271" s="2688"/>
      <c r="AE271" s="2747" t="s">
        <v>1067</v>
      </c>
      <c r="AF271" s="2691" t="s">
        <v>1068</v>
      </c>
      <c r="AG271" s="2747" t="s">
        <v>1069</v>
      </c>
      <c r="AH271" s="2688"/>
      <c r="AI271" s="2747" t="s">
        <v>2138</v>
      </c>
      <c r="AJ271" s="2753"/>
      <c r="AK271" s="2755" t="s">
        <v>1136</v>
      </c>
      <c r="AL271" s="2745">
        <v>67641700</v>
      </c>
      <c r="AM271" s="2745"/>
      <c r="AN271" s="2747" t="s">
        <v>1088</v>
      </c>
      <c r="AO271" s="2688"/>
      <c r="AP271" s="2747" t="s">
        <v>1515</v>
      </c>
      <c r="AQ271" s="2745" t="s">
        <v>1074</v>
      </c>
      <c r="AR271" s="2745"/>
      <c r="AS271" s="2745"/>
      <c r="AT271" s="2745"/>
      <c r="AU271" s="2745"/>
      <c r="AV271" s="2745"/>
      <c r="AW271" s="2745" t="s">
        <v>1075</v>
      </c>
      <c r="AX271" s="2745"/>
      <c r="AY271" s="2769"/>
      <c r="AZ271" s="2688" t="s">
        <v>2977</v>
      </c>
      <c r="BA271" s="2774"/>
      <c r="BB271" s="2775"/>
      <c r="BC271" s="2774"/>
      <c r="BD271" s="2776"/>
      <c r="BE271" s="2745"/>
      <c r="BF271" s="2788"/>
      <c r="BG271" s="2798">
        <v>38653</v>
      </c>
      <c r="BH271" s="2688" t="s">
        <v>1174</v>
      </c>
      <c r="BI271" s="2748" t="s">
        <v>1515</v>
      </c>
      <c r="BJ271" s="2789">
        <v>38653</v>
      </c>
      <c r="BK271" s="2789"/>
      <c r="BL271" s="2688" t="s">
        <v>1092</v>
      </c>
      <c r="BM271" s="2745" t="s">
        <v>888</v>
      </c>
      <c r="BN271" s="2745" t="s">
        <v>1077</v>
      </c>
      <c r="BO271" s="2745" t="s">
        <v>1331</v>
      </c>
      <c r="BP271" s="2745"/>
      <c r="BQ271" s="2745" t="e">
        <v>#DIV/0!</v>
      </c>
      <c r="BR271" s="2745" t="e">
        <v>#DIV/0!</v>
      </c>
      <c r="BV271" s="2505"/>
    </row>
    <row r="272" s="2510" customFormat="1" ht="12" hidden="1" spans="1:74">
      <c r="A272" s="2693" t="s">
        <v>2978</v>
      </c>
      <c r="B272" s="2710" t="s">
        <v>2979</v>
      </c>
      <c r="C272" s="2694" t="s">
        <v>2980</v>
      </c>
      <c r="D272" s="2710" t="s">
        <v>2981</v>
      </c>
      <c r="E272" s="2693" t="s">
        <v>1060</v>
      </c>
      <c r="F272" s="2710" t="s">
        <v>2982</v>
      </c>
      <c r="G272" s="2710"/>
      <c r="H272" s="2710" t="s">
        <v>1296</v>
      </c>
      <c r="I272" s="2710" t="s">
        <v>2509</v>
      </c>
      <c r="J272" s="2710" t="s">
        <v>1365</v>
      </c>
      <c r="K272" s="2710" t="s">
        <v>2983</v>
      </c>
      <c r="L272" s="2707">
        <v>84.21</v>
      </c>
      <c r="M272" s="2808">
        <v>6</v>
      </c>
      <c r="N272" s="2693" t="s">
        <v>1064</v>
      </c>
      <c r="O272" s="2808"/>
      <c r="P272" s="2710" t="s">
        <v>1065</v>
      </c>
      <c r="Q272" s="2815">
        <v>580000</v>
      </c>
      <c r="R272" s="2693">
        <v>6888</v>
      </c>
      <c r="S272" s="2730">
        <v>52.13</v>
      </c>
      <c r="T272" s="2731">
        <v>521300</v>
      </c>
      <c r="U272" s="2693">
        <v>6191</v>
      </c>
      <c r="V272" s="2732">
        <v>0.05</v>
      </c>
      <c r="W272" s="2730">
        <v>49.52</v>
      </c>
      <c r="X272" s="2733">
        <v>495200</v>
      </c>
      <c r="Y272" s="2706">
        <v>2005</v>
      </c>
      <c r="Z272" s="2706">
        <v>11</v>
      </c>
      <c r="AA272" s="2706">
        <v>14</v>
      </c>
      <c r="AB272" s="2693">
        <v>1500</v>
      </c>
      <c r="AC272" s="2693" t="s">
        <v>2166</v>
      </c>
      <c r="AD272" s="2710"/>
      <c r="AE272" s="2710" t="s">
        <v>179</v>
      </c>
      <c r="AF272" s="2693" t="s">
        <v>1068</v>
      </c>
      <c r="AG272" s="2710" t="s">
        <v>1069</v>
      </c>
      <c r="AH272" s="2710"/>
      <c r="AI272" s="2710" t="s">
        <v>1070</v>
      </c>
      <c r="AJ272" s="2819"/>
      <c r="AK272" s="2759" t="s">
        <v>1136</v>
      </c>
      <c r="AL272" s="2706">
        <v>67641700</v>
      </c>
      <c r="AM272" s="2706"/>
      <c r="AN272" s="2757" t="s">
        <v>1072</v>
      </c>
      <c r="AO272" s="2706"/>
      <c r="AP272" s="2693" t="s">
        <v>1073</v>
      </c>
      <c r="AQ272" s="2706" t="s">
        <v>1089</v>
      </c>
      <c r="AR272" s="2693">
        <v>2005</v>
      </c>
      <c r="AS272" s="2693">
        <v>11</v>
      </c>
      <c r="AT272" s="2693">
        <v>23</v>
      </c>
      <c r="AU272" s="2693"/>
      <c r="AV272" s="2896"/>
      <c r="AW272" s="2710" t="s">
        <v>1075</v>
      </c>
      <c r="AX272" s="2693"/>
      <c r="AY272" s="2900"/>
      <c r="AZ272" s="2710" t="s">
        <v>2983</v>
      </c>
      <c r="BA272" s="2710"/>
      <c r="BB272" s="2900"/>
      <c r="BC272" s="2710"/>
      <c r="BD272" s="2710"/>
      <c r="BE272" s="2710">
        <v>13701276177</v>
      </c>
      <c r="BF272" s="2795"/>
      <c r="BG272" s="2819">
        <v>38656</v>
      </c>
      <c r="BH272" s="2710"/>
      <c r="BI272" s="2693" t="s">
        <v>1900</v>
      </c>
      <c r="BJ272" s="2797">
        <v>38664</v>
      </c>
      <c r="BK272" s="2758"/>
      <c r="BL272" s="2706" t="s">
        <v>1174</v>
      </c>
      <c r="BM272" s="2693" t="s">
        <v>2984</v>
      </c>
      <c r="BN272" s="2693" t="s">
        <v>1148</v>
      </c>
      <c r="BO272" s="2693" t="s">
        <v>1234</v>
      </c>
      <c r="BP272" s="2706"/>
      <c r="BQ272" s="2706" t="e">
        <v>#DIV/0!</v>
      </c>
      <c r="BR272" s="2706" t="e">
        <v>#DIV/0!</v>
      </c>
      <c r="BV272" s="2507"/>
    </row>
    <row r="273" s="2504" customFormat="1" ht="12" hidden="1" spans="1:74">
      <c r="A273" s="2688" t="s">
        <v>2985</v>
      </c>
      <c r="B273" s="2691" t="s">
        <v>2986</v>
      </c>
      <c r="C273" s="2689" t="s">
        <v>2987</v>
      </c>
      <c r="D273" s="2691">
        <v>13651169378</v>
      </c>
      <c r="E273" s="2691" t="s">
        <v>1060</v>
      </c>
      <c r="F273" s="2691" t="s">
        <v>2988</v>
      </c>
      <c r="G273" s="2691"/>
      <c r="H273" s="2691" t="s">
        <v>1062</v>
      </c>
      <c r="I273" s="2691"/>
      <c r="J273" s="2691" t="s">
        <v>2989</v>
      </c>
      <c r="K273" s="2688" t="s">
        <v>2986</v>
      </c>
      <c r="L273" s="2697">
        <v>134.74</v>
      </c>
      <c r="M273" s="2697">
        <v>13</v>
      </c>
      <c r="N273" s="2691" t="s">
        <v>1101</v>
      </c>
      <c r="O273" s="2697"/>
      <c r="P273" s="2691" t="s">
        <v>1065</v>
      </c>
      <c r="Q273" s="2712">
        <v>680000</v>
      </c>
      <c r="R273" s="2688">
        <v>5047</v>
      </c>
      <c r="S273" s="2722">
        <v>67.37</v>
      </c>
      <c r="T273" s="2723">
        <v>673700</v>
      </c>
      <c r="U273" s="2688">
        <v>5000</v>
      </c>
      <c r="V273" s="2724">
        <v>0.05</v>
      </c>
      <c r="W273" s="2722">
        <v>64</v>
      </c>
      <c r="X273" s="2725">
        <v>640000</v>
      </c>
      <c r="Y273" s="2745">
        <v>2005</v>
      </c>
      <c r="Z273" s="2688">
        <v>11</v>
      </c>
      <c r="AA273" s="2745">
        <v>14</v>
      </c>
      <c r="AB273" s="2688">
        <v>1500</v>
      </c>
      <c r="AC273" s="2688" t="s">
        <v>1605</v>
      </c>
      <c r="AD273" s="2691"/>
      <c r="AE273" s="2745" t="s">
        <v>175</v>
      </c>
      <c r="AF273" s="2691" t="s">
        <v>1068</v>
      </c>
      <c r="AG273" s="2691" t="s">
        <v>1069</v>
      </c>
      <c r="AH273" s="2691"/>
      <c r="AI273" s="2747" t="s">
        <v>2138</v>
      </c>
      <c r="AJ273" s="2760"/>
      <c r="AK273" s="2755" t="s">
        <v>1136</v>
      </c>
      <c r="AL273" s="2745">
        <v>67641700</v>
      </c>
      <c r="AM273" s="2745"/>
      <c r="AN273" s="2747" t="s">
        <v>1072</v>
      </c>
      <c r="AO273" s="2745" t="s">
        <v>1114</v>
      </c>
      <c r="AP273" s="2747" t="s">
        <v>1515</v>
      </c>
      <c r="AQ273" s="2745" t="s">
        <v>1074</v>
      </c>
      <c r="AR273" s="2688"/>
      <c r="AS273" s="2688"/>
      <c r="AT273" s="2688"/>
      <c r="AU273" s="2688"/>
      <c r="AV273" s="2765"/>
      <c r="AW273" s="2691" t="s">
        <v>1075</v>
      </c>
      <c r="AX273" s="2691"/>
      <c r="AY273" s="2769"/>
      <c r="AZ273" s="2691" t="s">
        <v>2990</v>
      </c>
      <c r="BA273" s="2691"/>
      <c r="BB273" s="2696"/>
      <c r="BC273" s="2691"/>
      <c r="BD273" s="2691"/>
      <c r="BE273" s="2691"/>
      <c r="BF273" s="2788"/>
      <c r="BG273" s="2792"/>
      <c r="BH273" s="2691"/>
      <c r="BI273" s="2688" t="s">
        <v>2140</v>
      </c>
      <c r="BJ273" s="2789">
        <v>38666</v>
      </c>
      <c r="BK273" s="2753" t="s">
        <v>1114</v>
      </c>
      <c r="BL273" s="2688" t="s">
        <v>1174</v>
      </c>
      <c r="BM273" s="2745" t="s">
        <v>888</v>
      </c>
      <c r="BN273" s="2745" t="s">
        <v>1077</v>
      </c>
      <c r="BO273" s="2745" t="s">
        <v>1128</v>
      </c>
      <c r="BP273" s="2745"/>
      <c r="BQ273" s="2745" t="e">
        <v>#DIV/0!</v>
      </c>
      <c r="BR273" s="2745" t="e">
        <v>#DIV/0!</v>
      </c>
      <c r="BV273" s="2505"/>
    </row>
    <row r="274" s="2504" customFormat="1" ht="12" hidden="1" spans="1:74">
      <c r="A274" s="2688" t="s">
        <v>2991</v>
      </c>
      <c r="B274" s="2688" t="s">
        <v>2992</v>
      </c>
      <c r="C274" s="2689" t="s">
        <v>2993</v>
      </c>
      <c r="D274" s="2689" t="s">
        <v>2994</v>
      </c>
      <c r="E274" s="2691" t="s">
        <v>1060</v>
      </c>
      <c r="F274" s="2691" t="s">
        <v>2995</v>
      </c>
      <c r="G274" s="2688"/>
      <c r="H274" s="2691" t="s">
        <v>1084</v>
      </c>
      <c r="I274" s="2691" t="s">
        <v>2996</v>
      </c>
      <c r="J274" s="2688" t="s">
        <v>2997</v>
      </c>
      <c r="K274" s="2688" t="s">
        <v>2992</v>
      </c>
      <c r="L274" s="2688">
        <v>102.19</v>
      </c>
      <c r="M274" s="2688">
        <v>14</v>
      </c>
      <c r="N274" s="2688" t="s">
        <v>1064</v>
      </c>
      <c r="O274" s="2688"/>
      <c r="P274" s="2688" t="s">
        <v>1065</v>
      </c>
      <c r="Q274" s="2712">
        <v>670000</v>
      </c>
      <c r="R274" s="2688">
        <v>6556</v>
      </c>
      <c r="S274" s="2722">
        <v>64.37</v>
      </c>
      <c r="T274" s="2723">
        <v>643700</v>
      </c>
      <c r="U274" s="2688">
        <v>6300</v>
      </c>
      <c r="V274" s="2724">
        <v>0.05</v>
      </c>
      <c r="W274" s="2722">
        <v>61.15</v>
      </c>
      <c r="X274" s="2725">
        <v>611500</v>
      </c>
      <c r="Y274" s="2745">
        <v>2005</v>
      </c>
      <c r="Z274" s="2745">
        <v>11</v>
      </c>
      <c r="AA274" s="2745">
        <v>21</v>
      </c>
      <c r="AB274" s="2688">
        <v>1500</v>
      </c>
      <c r="AC274" s="2688" t="s">
        <v>1605</v>
      </c>
      <c r="AD274" s="2688"/>
      <c r="AE274" s="2747" t="s">
        <v>175</v>
      </c>
      <c r="AF274" s="2691" t="s">
        <v>1068</v>
      </c>
      <c r="AG274" s="2747" t="s">
        <v>1069</v>
      </c>
      <c r="AH274" s="2688"/>
      <c r="AI274" s="2747" t="s">
        <v>2138</v>
      </c>
      <c r="AJ274" s="2753"/>
      <c r="AK274" s="2755" t="s">
        <v>1136</v>
      </c>
      <c r="AL274" s="2745">
        <v>67641700</v>
      </c>
      <c r="AM274" s="2745"/>
      <c r="AN274" s="2747" t="s">
        <v>1182</v>
      </c>
      <c r="AO274" s="2688"/>
      <c r="AP274" s="2747" t="s">
        <v>1515</v>
      </c>
      <c r="AQ274" s="2745" t="s">
        <v>1607</v>
      </c>
      <c r="AR274" s="2745"/>
      <c r="AS274" s="2745"/>
      <c r="AT274" s="2745"/>
      <c r="AU274" s="2745"/>
      <c r="AV274" s="2745"/>
      <c r="AW274" s="2745" t="s">
        <v>1075</v>
      </c>
      <c r="AX274" s="2745"/>
      <c r="AY274" s="2769"/>
      <c r="AZ274" s="2688" t="s">
        <v>2998</v>
      </c>
      <c r="BA274" s="2774"/>
      <c r="BB274" s="2775"/>
      <c r="BC274" s="2774"/>
      <c r="BD274" s="2776"/>
      <c r="BE274" s="2745"/>
      <c r="BF274" s="2788"/>
      <c r="BG274" s="2798">
        <v>38667</v>
      </c>
      <c r="BH274" s="2688" t="s">
        <v>1174</v>
      </c>
      <c r="BI274" s="2748" t="s">
        <v>1515</v>
      </c>
      <c r="BJ274" s="2789">
        <v>38667</v>
      </c>
      <c r="BK274" s="2789"/>
      <c r="BL274" s="2688" t="s">
        <v>1092</v>
      </c>
      <c r="BM274" s="2745" t="s">
        <v>888</v>
      </c>
      <c r="BN274" s="2745" t="s">
        <v>1077</v>
      </c>
      <c r="BO274" s="2745" t="s">
        <v>1128</v>
      </c>
      <c r="BP274" s="2745"/>
      <c r="BQ274" s="2745"/>
      <c r="BR274" s="2745"/>
      <c r="BV274" s="2505"/>
    </row>
    <row r="275" s="2505" customFormat="1" ht="12" hidden="1" spans="1:73">
      <c r="A275" s="2688" t="s">
        <v>2999</v>
      </c>
      <c r="B275" s="2688" t="s">
        <v>3000</v>
      </c>
      <c r="C275" s="2689" t="s">
        <v>3001</v>
      </c>
      <c r="D275" s="2689" t="s">
        <v>3002</v>
      </c>
      <c r="E275" s="2688" t="s">
        <v>1060</v>
      </c>
      <c r="F275" s="2688" t="s">
        <v>2374</v>
      </c>
      <c r="G275" s="2688"/>
      <c r="H275" s="2688" t="s">
        <v>1296</v>
      </c>
      <c r="I275" s="2688" t="s">
        <v>1585</v>
      </c>
      <c r="J275" s="2689" t="s">
        <v>1268</v>
      </c>
      <c r="K275" s="2688" t="s">
        <v>3000</v>
      </c>
      <c r="L275" s="2688">
        <v>136.14</v>
      </c>
      <c r="M275" s="2688">
        <v>5</v>
      </c>
      <c r="N275" s="2688" t="s">
        <v>1299</v>
      </c>
      <c r="O275" s="2688"/>
      <c r="P275" s="2688" t="s">
        <v>1065</v>
      </c>
      <c r="Q275" s="2712">
        <v>690000</v>
      </c>
      <c r="R275" s="2688">
        <v>5068</v>
      </c>
      <c r="S275" s="2722">
        <v>77.32</v>
      </c>
      <c r="T275" s="2723">
        <v>773200</v>
      </c>
      <c r="U275" s="2688">
        <v>5680</v>
      </c>
      <c r="V275" s="2724">
        <v>0.05</v>
      </c>
      <c r="W275" s="2722">
        <v>73.45</v>
      </c>
      <c r="X275" s="2725">
        <v>734500</v>
      </c>
      <c r="Y275" s="2745">
        <v>2005</v>
      </c>
      <c r="Z275" s="2745">
        <v>11</v>
      </c>
      <c r="AA275" s="2745">
        <v>23</v>
      </c>
      <c r="AB275" s="2688">
        <v>1500</v>
      </c>
      <c r="AC275" s="2688" t="s">
        <v>1605</v>
      </c>
      <c r="AD275" s="2688"/>
      <c r="AE275" s="2688" t="s">
        <v>1067</v>
      </c>
      <c r="AF275" s="2688" t="s">
        <v>1068</v>
      </c>
      <c r="AG275" s="2688" t="s">
        <v>1069</v>
      </c>
      <c r="AH275" s="2688"/>
      <c r="AI275" s="2747" t="s">
        <v>2138</v>
      </c>
      <c r="AJ275" s="2753"/>
      <c r="AK275" s="2754" t="s">
        <v>1136</v>
      </c>
      <c r="AL275" s="2745">
        <v>67641700</v>
      </c>
      <c r="AM275" s="2745"/>
      <c r="AN275" s="2745" t="s">
        <v>1182</v>
      </c>
      <c r="AO275" s="2745"/>
      <c r="AP275" s="2747" t="s">
        <v>1515</v>
      </c>
      <c r="AQ275" s="2745" t="s">
        <v>1089</v>
      </c>
      <c r="AR275" s="2745"/>
      <c r="AS275" s="2745"/>
      <c r="AT275" s="2745"/>
      <c r="AU275" s="2745"/>
      <c r="AV275" s="2745"/>
      <c r="AW275" s="2745" t="s">
        <v>1343</v>
      </c>
      <c r="AX275" s="2745"/>
      <c r="AY275" s="2769"/>
      <c r="AZ275" s="2745" t="s">
        <v>3003</v>
      </c>
      <c r="BA275" s="2745"/>
      <c r="BB275" s="2769"/>
      <c r="BC275" s="2745"/>
      <c r="BD275" s="2770"/>
      <c r="BE275" s="2745"/>
      <c r="BF275" s="2788"/>
      <c r="BG275" s="2790">
        <v>38667</v>
      </c>
      <c r="BH275" s="2745"/>
      <c r="BI275" s="2691" t="s">
        <v>2140</v>
      </c>
      <c r="BJ275" s="2789">
        <v>38667</v>
      </c>
      <c r="BK275" s="2789"/>
      <c r="BL275" s="2688" t="s">
        <v>1174</v>
      </c>
      <c r="BM275" s="2745" t="s">
        <v>888</v>
      </c>
      <c r="BN275" s="2745" t="s">
        <v>1077</v>
      </c>
      <c r="BO275" s="2745" t="s">
        <v>1128</v>
      </c>
      <c r="BP275" s="2745"/>
      <c r="BQ275" s="2745" t="e">
        <v>#DIV/0!</v>
      </c>
      <c r="BR275" s="2745" t="e">
        <v>#DIV/0!</v>
      </c>
      <c r="BS275" s="2504"/>
      <c r="BT275" s="2504"/>
      <c r="BU275" s="2504"/>
    </row>
    <row r="276" s="2504" customFormat="1" ht="12" hidden="1" spans="1:74">
      <c r="A276" s="2688" t="s">
        <v>3004</v>
      </c>
      <c r="B276" s="2688" t="s">
        <v>3005</v>
      </c>
      <c r="C276" s="2689" t="s">
        <v>3006</v>
      </c>
      <c r="D276" s="2689" t="s">
        <v>3007</v>
      </c>
      <c r="E276" s="2688" t="s">
        <v>1060</v>
      </c>
      <c r="F276" s="2688" t="s">
        <v>1503</v>
      </c>
      <c r="G276" s="2688"/>
      <c r="H276" s="2688" t="s">
        <v>2114</v>
      </c>
      <c r="I276" s="2688" t="s">
        <v>3008</v>
      </c>
      <c r="J276" s="2689" t="s">
        <v>2786</v>
      </c>
      <c r="K276" s="2688" t="s">
        <v>3005</v>
      </c>
      <c r="L276" s="2688">
        <v>93.95</v>
      </c>
      <c r="M276" s="2688">
        <v>14</v>
      </c>
      <c r="N276" s="2688" t="s">
        <v>1064</v>
      </c>
      <c r="O276" s="2688"/>
      <c r="P276" s="2688" t="s">
        <v>1065</v>
      </c>
      <c r="Q276" s="2712">
        <v>470000</v>
      </c>
      <c r="R276" s="2688">
        <v>5003</v>
      </c>
      <c r="S276" s="2722">
        <v>49.79</v>
      </c>
      <c r="T276" s="2723">
        <v>497900</v>
      </c>
      <c r="U276" s="2688">
        <v>5300</v>
      </c>
      <c r="V276" s="2724">
        <v>0.05</v>
      </c>
      <c r="W276" s="2722">
        <v>47.3</v>
      </c>
      <c r="X276" s="2725">
        <v>473000</v>
      </c>
      <c r="Y276" s="2745">
        <v>2005</v>
      </c>
      <c r="Z276" s="2745">
        <v>11</v>
      </c>
      <c r="AA276" s="2745">
        <v>18</v>
      </c>
      <c r="AB276" s="2688">
        <v>1490</v>
      </c>
      <c r="AC276" s="2688" t="s">
        <v>1605</v>
      </c>
      <c r="AD276" s="2688"/>
      <c r="AE276" s="2688" t="s">
        <v>175</v>
      </c>
      <c r="AF276" s="2688" t="s">
        <v>1068</v>
      </c>
      <c r="AG276" s="2688" t="s">
        <v>1069</v>
      </c>
      <c r="AH276" s="2688"/>
      <c r="AI276" s="2747" t="s">
        <v>2138</v>
      </c>
      <c r="AJ276" s="2753"/>
      <c r="AK276" s="2754" t="s">
        <v>1136</v>
      </c>
      <c r="AL276" s="2745">
        <v>67641700</v>
      </c>
      <c r="AM276" s="2745"/>
      <c r="AN276" s="2745" t="s">
        <v>1072</v>
      </c>
      <c r="AO276" s="2745"/>
      <c r="AP276" s="2747" t="s">
        <v>1515</v>
      </c>
      <c r="AQ276" s="2688" t="s">
        <v>1074</v>
      </c>
      <c r="AR276" s="2745"/>
      <c r="AS276" s="2745"/>
      <c r="AT276" s="2745"/>
      <c r="AU276" s="2745"/>
      <c r="AV276" s="2745"/>
      <c r="AW276" s="2745" t="s">
        <v>1343</v>
      </c>
      <c r="AX276" s="2745"/>
      <c r="AY276" s="2769"/>
      <c r="AZ276" s="2745" t="s">
        <v>3009</v>
      </c>
      <c r="BA276" s="2745"/>
      <c r="BB276" s="2769"/>
      <c r="BC276" s="2745"/>
      <c r="BD276" s="2770"/>
      <c r="BE276" s="2745"/>
      <c r="BF276" s="2788"/>
      <c r="BG276" s="2790">
        <v>38661</v>
      </c>
      <c r="BH276" s="2745"/>
      <c r="BI276" s="2748" t="s">
        <v>2140</v>
      </c>
      <c r="BJ276" s="2753">
        <v>38670</v>
      </c>
      <c r="BK276" s="2789"/>
      <c r="BL276" s="2745" t="s">
        <v>1174</v>
      </c>
      <c r="BM276" s="2745" t="s">
        <v>888</v>
      </c>
      <c r="BN276" s="2745" t="s">
        <v>1077</v>
      </c>
      <c r="BO276" s="2688" t="s">
        <v>1128</v>
      </c>
      <c r="BP276" s="2745"/>
      <c r="BQ276" s="2745" t="e">
        <v>#DIV/0!</v>
      </c>
      <c r="BR276" s="2745" t="e">
        <v>#DIV/0!</v>
      </c>
      <c r="BV276" s="2505"/>
    </row>
    <row r="277" s="2504" customFormat="1" ht="12" hidden="1" spans="1:74">
      <c r="A277" s="2688" t="s">
        <v>3010</v>
      </c>
      <c r="B277" s="2688" t="s">
        <v>3011</v>
      </c>
      <c r="C277" s="2689" t="s">
        <v>3012</v>
      </c>
      <c r="D277" s="2689" t="s">
        <v>3013</v>
      </c>
      <c r="E277" s="2691" t="s">
        <v>1060</v>
      </c>
      <c r="F277" s="2691" t="s">
        <v>3014</v>
      </c>
      <c r="G277" s="2688"/>
      <c r="H277" s="2691" t="s">
        <v>3015</v>
      </c>
      <c r="I277" s="2691" t="s">
        <v>1196</v>
      </c>
      <c r="J277" s="2688" t="s">
        <v>3016</v>
      </c>
      <c r="K277" s="2688" t="s">
        <v>3011</v>
      </c>
      <c r="L277" s="2688">
        <v>51.05</v>
      </c>
      <c r="M277" s="2688">
        <v>2</v>
      </c>
      <c r="N277" s="2688" t="s">
        <v>1064</v>
      </c>
      <c r="O277" s="2688"/>
      <c r="P277" s="2688" t="s">
        <v>1065</v>
      </c>
      <c r="Q277" s="2712">
        <v>395000</v>
      </c>
      <c r="R277" s="2688">
        <v>7738</v>
      </c>
      <c r="S277" s="2722">
        <v>29.6</v>
      </c>
      <c r="T277" s="2723">
        <v>296000</v>
      </c>
      <c r="U277" s="2688">
        <v>5800</v>
      </c>
      <c r="V277" s="2724">
        <v>0.05</v>
      </c>
      <c r="W277" s="2722">
        <v>28.12</v>
      </c>
      <c r="X277" s="2725">
        <v>281200</v>
      </c>
      <c r="Y277" s="2745">
        <v>2005</v>
      </c>
      <c r="Z277" s="2745">
        <v>11</v>
      </c>
      <c r="AA277" s="2745">
        <v>18</v>
      </c>
      <c r="AB277" s="2688">
        <v>885</v>
      </c>
      <c r="AC277" s="2688" t="s">
        <v>1605</v>
      </c>
      <c r="AD277" s="2688"/>
      <c r="AE277" s="2747" t="s">
        <v>1067</v>
      </c>
      <c r="AF277" s="2691" t="s">
        <v>1068</v>
      </c>
      <c r="AG277" s="2747" t="s">
        <v>1069</v>
      </c>
      <c r="AH277" s="2688"/>
      <c r="AI277" s="2747" t="s">
        <v>2138</v>
      </c>
      <c r="AJ277" s="2753"/>
      <c r="AK277" s="2755" t="s">
        <v>1136</v>
      </c>
      <c r="AL277" s="2745">
        <v>67641700</v>
      </c>
      <c r="AM277" s="2745"/>
      <c r="AN277" s="2747" t="s">
        <v>1072</v>
      </c>
      <c r="AO277" s="2688"/>
      <c r="AP277" s="2747" t="s">
        <v>1515</v>
      </c>
      <c r="AQ277" s="2745" t="s">
        <v>1074</v>
      </c>
      <c r="AR277" s="2745"/>
      <c r="AS277" s="2745"/>
      <c r="AT277" s="2745"/>
      <c r="AU277" s="2745"/>
      <c r="AV277" s="2745"/>
      <c r="AW277" s="2745" t="s">
        <v>1343</v>
      </c>
      <c r="AX277" s="2745"/>
      <c r="AY277" s="2769"/>
      <c r="AZ277" s="2688" t="s">
        <v>3017</v>
      </c>
      <c r="BA277" s="2774"/>
      <c r="BB277" s="2775"/>
      <c r="BC277" s="2774"/>
      <c r="BD277" s="2776"/>
      <c r="BE277" s="2745"/>
      <c r="BF277" s="2788"/>
      <c r="BG277" s="2798">
        <v>38671</v>
      </c>
      <c r="BH277" s="2688" t="s">
        <v>1174</v>
      </c>
      <c r="BI277" s="2748" t="s">
        <v>1515</v>
      </c>
      <c r="BJ277" s="2798">
        <v>38671</v>
      </c>
      <c r="BK277" s="2789"/>
      <c r="BL277" s="2688" t="s">
        <v>1092</v>
      </c>
      <c r="BM277" s="2745" t="s">
        <v>888</v>
      </c>
      <c r="BN277" s="2745" t="s">
        <v>1148</v>
      </c>
      <c r="BO277" s="2745" t="s">
        <v>1331</v>
      </c>
      <c r="BP277" s="2745"/>
      <c r="BQ277" s="2745" t="e">
        <v>#DIV/0!</v>
      </c>
      <c r="BR277" s="2745" t="e">
        <v>#DIV/0!</v>
      </c>
      <c r="BV277" s="2505"/>
    </row>
    <row r="278" s="2504" customFormat="1" ht="12" hidden="1" spans="1:74">
      <c r="A278" s="2688" t="s">
        <v>3018</v>
      </c>
      <c r="B278" s="2688" t="s">
        <v>3019</v>
      </c>
      <c r="C278" s="2689" t="s">
        <v>3020</v>
      </c>
      <c r="D278" s="2689" t="s">
        <v>3021</v>
      </c>
      <c r="E278" s="2691" t="s">
        <v>1060</v>
      </c>
      <c r="F278" s="2691" t="s">
        <v>3022</v>
      </c>
      <c r="G278" s="2688"/>
      <c r="H278" s="2691" t="s">
        <v>1098</v>
      </c>
      <c r="I278" s="2691" t="s">
        <v>1222</v>
      </c>
      <c r="J278" s="2688" t="s">
        <v>1289</v>
      </c>
      <c r="K278" s="2688" t="s">
        <v>3019</v>
      </c>
      <c r="L278" s="2688">
        <v>53.6</v>
      </c>
      <c r="M278" s="2688">
        <v>14</v>
      </c>
      <c r="N278" s="2688" t="s">
        <v>1259</v>
      </c>
      <c r="O278" s="2688"/>
      <c r="P278" s="2688" t="s">
        <v>1065</v>
      </c>
      <c r="Q278" s="2712">
        <v>380000</v>
      </c>
      <c r="R278" s="2688">
        <v>7090</v>
      </c>
      <c r="S278" s="2722">
        <v>31.94</v>
      </c>
      <c r="T278" s="2723">
        <v>319400</v>
      </c>
      <c r="U278" s="2688">
        <v>5960</v>
      </c>
      <c r="V278" s="2724">
        <v>0.05</v>
      </c>
      <c r="W278" s="2722">
        <v>30.34</v>
      </c>
      <c r="X278" s="2725">
        <v>303400</v>
      </c>
      <c r="Y278" s="2745">
        <v>2005</v>
      </c>
      <c r="Z278" s="2745">
        <v>11</v>
      </c>
      <c r="AA278" s="2745">
        <v>30</v>
      </c>
      <c r="AB278" s="2688">
        <v>955</v>
      </c>
      <c r="AC278" s="2688" t="s">
        <v>1605</v>
      </c>
      <c r="AD278" s="2688"/>
      <c r="AE278" s="2748" t="s">
        <v>1342</v>
      </c>
      <c r="AF278" s="2691" t="s">
        <v>1068</v>
      </c>
      <c r="AG278" s="2747" t="s">
        <v>1069</v>
      </c>
      <c r="AH278" s="2688"/>
      <c r="AI278" s="2747" t="s">
        <v>2138</v>
      </c>
      <c r="AJ278" s="2753"/>
      <c r="AK278" s="2755" t="s">
        <v>1136</v>
      </c>
      <c r="AL278" s="2745">
        <v>67641700</v>
      </c>
      <c r="AM278" s="2745"/>
      <c r="AN278" s="2747" t="s">
        <v>1071</v>
      </c>
      <c r="AO278" s="2745"/>
      <c r="AP278" s="2747" t="s">
        <v>1515</v>
      </c>
      <c r="AQ278" s="2745" t="s">
        <v>1607</v>
      </c>
      <c r="AR278" s="2745"/>
      <c r="AS278" s="2745"/>
      <c r="AT278" s="2745"/>
      <c r="AU278" s="2745"/>
      <c r="AV278" s="2745"/>
      <c r="AW278" s="2745" t="s">
        <v>1075</v>
      </c>
      <c r="AX278" s="2745"/>
      <c r="AY278" s="2769"/>
      <c r="AZ278" s="2688" t="s">
        <v>3023</v>
      </c>
      <c r="BA278" s="2774"/>
      <c r="BB278" s="2775"/>
      <c r="BC278" s="2774"/>
      <c r="BD278" s="2776"/>
      <c r="BE278" s="2745"/>
      <c r="BF278" s="2788"/>
      <c r="BG278" s="2798">
        <v>38672</v>
      </c>
      <c r="BH278" s="2798" t="s">
        <v>1174</v>
      </c>
      <c r="BI278" s="2688" t="s">
        <v>1918</v>
      </c>
      <c r="BJ278" s="2789">
        <v>38672</v>
      </c>
      <c r="BK278" s="2789"/>
      <c r="BL278" s="2688" t="s">
        <v>1092</v>
      </c>
      <c r="BM278" s="2745" t="s">
        <v>888</v>
      </c>
      <c r="BN278" s="2745" t="s">
        <v>1077</v>
      </c>
      <c r="BO278" s="2745" t="s">
        <v>1721</v>
      </c>
      <c r="BP278" s="2745"/>
      <c r="BQ278" s="2745" t="e">
        <v>#DIV/0!</v>
      </c>
      <c r="BR278" s="2745" t="e">
        <v>#DIV/0!</v>
      </c>
      <c r="BV278" s="2505"/>
    </row>
    <row r="279" s="2504" customFormat="1" ht="12" hidden="1" spans="1:74">
      <c r="A279" s="2688" t="s">
        <v>3024</v>
      </c>
      <c r="B279" s="2688" t="s">
        <v>3025</v>
      </c>
      <c r="C279" s="2689" t="s">
        <v>3026</v>
      </c>
      <c r="D279" s="2688">
        <v>13641089622</v>
      </c>
      <c r="E279" s="2688" t="s">
        <v>1060</v>
      </c>
      <c r="F279" s="2688" t="s">
        <v>3027</v>
      </c>
      <c r="G279" s="2688"/>
      <c r="H279" s="2688" t="s">
        <v>1688</v>
      </c>
      <c r="I279" s="2688" t="s">
        <v>1585</v>
      </c>
      <c r="J279" s="2688" t="s">
        <v>1527</v>
      </c>
      <c r="K279" s="2691" t="s">
        <v>3028</v>
      </c>
      <c r="L279" s="2688">
        <v>81.93</v>
      </c>
      <c r="M279" s="2688">
        <v>2</v>
      </c>
      <c r="N279" s="2688" t="s">
        <v>1064</v>
      </c>
      <c r="O279" s="2688"/>
      <c r="P279" s="2688" t="s">
        <v>1065</v>
      </c>
      <c r="Q279" s="2688">
        <v>352500</v>
      </c>
      <c r="R279" s="2688">
        <v>4302</v>
      </c>
      <c r="S279" s="2722">
        <v>35.18</v>
      </c>
      <c r="T279" s="2723">
        <v>351800</v>
      </c>
      <c r="U279" s="2688">
        <v>4295</v>
      </c>
      <c r="V279" s="2727">
        <v>0.05</v>
      </c>
      <c r="W279" s="2722">
        <v>33.42</v>
      </c>
      <c r="X279" s="2725">
        <v>334200</v>
      </c>
      <c r="Y279" s="2688">
        <v>2005</v>
      </c>
      <c r="Z279" s="2688">
        <v>11</v>
      </c>
      <c r="AA279" s="2745">
        <v>21</v>
      </c>
      <c r="AB279" s="2688">
        <v>1055</v>
      </c>
      <c r="AC279" s="2688" t="s">
        <v>1605</v>
      </c>
      <c r="AD279" s="2688"/>
      <c r="AE279" s="2745" t="s">
        <v>1900</v>
      </c>
      <c r="AF279" s="2688" t="s">
        <v>1068</v>
      </c>
      <c r="AG279" s="2688" t="s">
        <v>1069</v>
      </c>
      <c r="AH279" s="2688"/>
      <c r="AI279" s="2688" t="s">
        <v>1342</v>
      </c>
      <c r="AJ279" s="2753"/>
      <c r="AK279" s="2688" t="s">
        <v>1136</v>
      </c>
      <c r="AL279" s="2688">
        <v>82253558</v>
      </c>
      <c r="AM279" s="2688"/>
      <c r="AN279" s="2688" t="s">
        <v>1182</v>
      </c>
      <c r="AO279" s="2688" t="s">
        <v>1114</v>
      </c>
      <c r="AP279" s="2688" t="s">
        <v>1208</v>
      </c>
      <c r="AQ279" s="2688" t="s">
        <v>1607</v>
      </c>
      <c r="AR279" s="2688"/>
      <c r="AS279" s="2688"/>
      <c r="AT279" s="2688"/>
      <c r="AU279" s="2688"/>
      <c r="AV279" s="2688"/>
      <c r="AW279" s="2688" t="s">
        <v>1075</v>
      </c>
      <c r="AX279" s="2688"/>
      <c r="AY279" s="2689"/>
      <c r="AZ279" s="2688" t="s">
        <v>3028</v>
      </c>
      <c r="BA279" s="2688"/>
      <c r="BB279" s="2688"/>
      <c r="BC279" s="2688"/>
      <c r="BD279" s="2688"/>
      <c r="BE279" s="2688">
        <v>13641089622</v>
      </c>
      <c r="BF279" s="2688"/>
      <c r="BG279" s="2792">
        <v>38673</v>
      </c>
      <c r="BH279" s="2688"/>
      <c r="BI279" s="2688" t="s">
        <v>2044</v>
      </c>
      <c r="BJ279" s="2789">
        <v>38673</v>
      </c>
      <c r="BK279" s="2789"/>
      <c r="BL279" s="2688" t="s">
        <v>1174</v>
      </c>
      <c r="BM279" s="2688" t="s">
        <v>888</v>
      </c>
      <c r="BN279" s="2688" t="s">
        <v>1148</v>
      </c>
      <c r="BO279" s="2688" t="s">
        <v>1331</v>
      </c>
      <c r="BP279" s="2688"/>
      <c r="BQ279" s="2745" t="e">
        <v>#DIV/0!</v>
      </c>
      <c r="BR279" s="2745" t="e">
        <v>#DIV/0!</v>
      </c>
      <c r="BV279" s="2505"/>
    </row>
    <row r="280" s="2508" customFormat="1" ht="12" hidden="1" spans="1:73">
      <c r="A280" s="2685" t="s">
        <v>3029</v>
      </c>
      <c r="B280" s="2685" t="s">
        <v>3030</v>
      </c>
      <c r="C280" s="2686" t="s">
        <v>3031</v>
      </c>
      <c r="D280" s="2686"/>
      <c r="E280" s="2685" t="s">
        <v>1060</v>
      </c>
      <c r="F280" s="2692" t="s">
        <v>3032</v>
      </c>
      <c r="G280" s="2685"/>
      <c r="H280" s="2685" t="s">
        <v>1180</v>
      </c>
      <c r="I280" s="2685"/>
      <c r="J280" s="2686" t="s">
        <v>1365</v>
      </c>
      <c r="K280" s="2685" t="s">
        <v>3030</v>
      </c>
      <c r="L280" s="2685">
        <v>304.92</v>
      </c>
      <c r="M280" s="2685">
        <v>6</v>
      </c>
      <c r="N280" s="2685" t="s">
        <v>3033</v>
      </c>
      <c r="O280" s="2685"/>
      <c r="P280" s="2685" t="s">
        <v>1514</v>
      </c>
      <c r="Q280" s="2716">
        <v>1300000</v>
      </c>
      <c r="R280" s="2685">
        <v>4263</v>
      </c>
      <c r="S280" s="2717">
        <v>167.27</v>
      </c>
      <c r="T280" s="2718">
        <v>1672700</v>
      </c>
      <c r="U280" s="2685">
        <v>5486</v>
      </c>
      <c r="V280" s="2719">
        <v>0.05</v>
      </c>
      <c r="W280" s="2717">
        <v>158.9</v>
      </c>
      <c r="X280" s="2720">
        <v>1589000</v>
      </c>
      <c r="Y280" s="2744">
        <v>2005</v>
      </c>
      <c r="Z280" s="2744">
        <v>12</v>
      </c>
      <c r="AA280" s="2744">
        <v>13</v>
      </c>
      <c r="AB280" s="2685">
        <v>1500</v>
      </c>
      <c r="AC280" s="2685" t="s">
        <v>1605</v>
      </c>
      <c r="AD280" s="2685"/>
      <c r="AE280" s="2685" t="s">
        <v>179</v>
      </c>
      <c r="AF280" s="2685" t="s">
        <v>1068</v>
      </c>
      <c r="AG280" s="2685" t="s">
        <v>1069</v>
      </c>
      <c r="AH280" s="2685" t="s">
        <v>3034</v>
      </c>
      <c r="AI280" s="2685" t="s">
        <v>2138</v>
      </c>
      <c r="AJ280" s="2751"/>
      <c r="AK280" s="2752" t="s">
        <v>1563</v>
      </c>
      <c r="AL280" s="2685">
        <v>67641700</v>
      </c>
      <c r="AM280" s="2685"/>
      <c r="AN280" s="2749" t="s">
        <v>1072</v>
      </c>
      <c r="AO280" s="2685"/>
      <c r="AP280" s="2749" t="s">
        <v>1515</v>
      </c>
      <c r="AQ280" s="2685" t="s">
        <v>1089</v>
      </c>
      <c r="AR280" s="2744"/>
      <c r="AS280" s="2744"/>
      <c r="AT280" s="2744"/>
      <c r="AU280" s="2744"/>
      <c r="AV280" s="2744"/>
      <c r="AW280" s="2744" t="s">
        <v>1343</v>
      </c>
      <c r="AX280" s="2744"/>
      <c r="AY280" s="2767"/>
      <c r="AZ280" s="2744"/>
      <c r="BA280" s="2744"/>
      <c r="BB280" s="2767"/>
      <c r="BC280" s="2744"/>
      <c r="BD280" s="2768"/>
      <c r="BE280" s="2744"/>
      <c r="BF280" s="2784"/>
      <c r="BG280" s="2785">
        <v>38671</v>
      </c>
      <c r="BH280" s="2744"/>
      <c r="BI280" s="2684" t="s">
        <v>2140</v>
      </c>
      <c r="BJ280" s="2787">
        <v>38673</v>
      </c>
      <c r="BK280" s="2787"/>
      <c r="BL280" s="2685"/>
      <c r="BM280" s="2685" t="s">
        <v>3035</v>
      </c>
      <c r="BN280" s="2685" t="s">
        <v>1077</v>
      </c>
      <c r="BO280" s="2685" t="s">
        <v>1331</v>
      </c>
      <c r="BP280" s="2744"/>
      <c r="BQ280" s="2744" t="e">
        <v>#DIV/0!</v>
      </c>
      <c r="BR280" s="2744" t="e">
        <v>#DIV/0!</v>
      </c>
      <c r="BS280" s="2504"/>
      <c r="BT280" s="2504"/>
      <c r="BU280" s="2504"/>
    </row>
    <row r="281" s="2508" customFormat="1" ht="12" hidden="1" spans="1:73">
      <c r="A281" s="2685" t="s">
        <v>3036</v>
      </c>
      <c r="B281" s="2685" t="s">
        <v>3037</v>
      </c>
      <c r="C281" s="2686" t="s">
        <v>3038</v>
      </c>
      <c r="D281" s="2686" t="s">
        <v>3039</v>
      </c>
      <c r="E281" s="2684" t="s">
        <v>1060</v>
      </c>
      <c r="F281" s="2684" t="s">
        <v>3040</v>
      </c>
      <c r="G281" s="2685"/>
      <c r="H281" s="2684" t="s">
        <v>1421</v>
      </c>
      <c r="I281" s="2684" t="s">
        <v>1099</v>
      </c>
      <c r="J281" s="2685" t="s">
        <v>1586</v>
      </c>
      <c r="K281" s="2685" t="s">
        <v>3037</v>
      </c>
      <c r="L281" s="2685">
        <v>85.39</v>
      </c>
      <c r="M281" s="2685">
        <v>4</v>
      </c>
      <c r="N281" s="2685" t="s">
        <v>1123</v>
      </c>
      <c r="O281" s="2685"/>
      <c r="P281" s="2685" t="s">
        <v>1065</v>
      </c>
      <c r="Q281" s="2716">
        <v>243361.5</v>
      </c>
      <c r="R281" s="2685">
        <v>2850</v>
      </c>
      <c r="S281" s="2717">
        <v>24.33</v>
      </c>
      <c r="T281" s="2718">
        <v>243300</v>
      </c>
      <c r="U281" s="2685">
        <v>2850</v>
      </c>
      <c r="V281" s="2719">
        <v>0.05</v>
      </c>
      <c r="W281" s="2717">
        <v>23.11</v>
      </c>
      <c r="X281" s="2720">
        <v>231100</v>
      </c>
      <c r="Y281" s="2744">
        <v>2005</v>
      </c>
      <c r="Z281" s="2744">
        <v>12</v>
      </c>
      <c r="AA281" s="2744">
        <v>14</v>
      </c>
      <c r="AB281" s="2685">
        <v>725</v>
      </c>
      <c r="AC281" s="2685" t="s">
        <v>1605</v>
      </c>
      <c r="AD281" s="2685"/>
      <c r="AE281" s="2749" t="s">
        <v>1067</v>
      </c>
      <c r="AF281" s="2684" t="s">
        <v>1068</v>
      </c>
      <c r="AG281" s="2749" t="s">
        <v>1741</v>
      </c>
      <c r="AH281" s="2685"/>
      <c r="AI281" s="2685" t="s">
        <v>1342</v>
      </c>
      <c r="AJ281" s="2751"/>
      <c r="AK281" s="2685" t="s">
        <v>1563</v>
      </c>
      <c r="AL281" s="2744">
        <v>82253558</v>
      </c>
      <c r="AM281" s="2744"/>
      <c r="AN281" s="2685" t="s">
        <v>1088</v>
      </c>
      <c r="AO281" s="2685"/>
      <c r="AP281" s="2685" t="s">
        <v>1208</v>
      </c>
      <c r="AQ281" s="2685" t="s">
        <v>1675</v>
      </c>
      <c r="AR281" s="2744">
        <v>2005</v>
      </c>
      <c r="AS281" s="2744">
        <v>12</v>
      </c>
      <c r="AT281" s="2744">
        <v>14</v>
      </c>
      <c r="AU281" s="2744"/>
      <c r="AV281" s="2744"/>
      <c r="AW281" s="2744" t="s">
        <v>1343</v>
      </c>
      <c r="AX281" s="2744"/>
      <c r="AY281" s="2767"/>
      <c r="AZ281" s="2685" t="s">
        <v>3041</v>
      </c>
      <c r="BA281" s="2777"/>
      <c r="BB281" s="2778"/>
      <c r="BC281" s="2777"/>
      <c r="BD281" s="2779"/>
      <c r="BE281" s="2744"/>
      <c r="BF281" s="2784"/>
      <c r="BG281" s="2801">
        <v>38666</v>
      </c>
      <c r="BH281" s="2685" t="s">
        <v>1174</v>
      </c>
      <c r="BI281" s="2744" t="s">
        <v>1918</v>
      </c>
      <c r="BJ281" s="2787">
        <v>38673</v>
      </c>
      <c r="BK281" s="2787"/>
      <c r="BL281" s="2685" t="s">
        <v>1174</v>
      </c>
      <c r="BM281" s="2744" t="s">
        <v>888</v>
      </c>
      <c r="BN281" s="2744" t="s">
        <v>1077</v>
      </c>
      <c r="BO281" s="2744" t="s">
        <v>1721</v>
      </c>
      <c r="BP281" s="2744"/>
      <c r="BQ281" s="2744" t="e">
        <v>#DIV/0!</v>
      </c>
      <c r="BR281" s="2744" t="e">
        <v>#DIV/0!</v>
      </c>
      <c r="BS281" s="2504"/>
      <c r="BT281" s="2504"/>
      <c r="BU281" s="2504"/>
    </row>
    <row r="282" s="2504" customFormat="1" ht="12" hidden="1" spans="1:74">
      <c r="A282" s="2688" t="s">
        <v>3042</v>
      </c>
      <c r="B282" s="2688" t="s">
        <v>3043</v>
      </c>
      <c r="C282" s="2689" t="s">
        <v>3044</v>
      </c>
      <c r="D282" s="2689" t="s">
        <v>3045</v>
      </c>
      <c r="E282" s="2691" t="s">
        <v>1060</v>
      </c>
      <c r="F282" s="2691" t="s">
        <v>1941</v>
      </c>
      <c r="G282" s="2688"/>
      <c r="H282" s="2691" t="s">
        <v>1296</v>
      </c>
      <c r="I282" s="2691" t="s">
        <v>1099</v>
      </c>
      <c r="J282" s="2688" t="s">
        <v>3046</v>
      </c>
      <c r="K282" s="2688" t="s">
        <v>3043</v>
      </c>
      <c r="L282" s="2688">
        <v>60.3</v>
      </c>
      <c r="M282" s="2688">
        <v>4</v>
      </c>
      <c r="N282" s="2688" t="s">
        <v>1064</v>
      </c>
      <c r="O282" s="2688"/>
      <c r="P282" s="2688" t="s">
        <v>1065</v>
      </c>
      <c r="Q282" s="2712">
        <v>470000</v>
      </c>
      <c r="R282" s="2688">
        <v>7794</v>
      </c>
      <c r="S282" s="2722">
        <v>35.27</v>
      </c>
      <c r="T282" s="2723">
        <v>352700</v>
      </c>
      <c r="U282" s="2688">
        <v>5850</v>
      </c>
      <c r="V282" s="2724">
        <v>0.05</v>
      </c>
      <c r="W282" s="2722">
        <v>33.5</v>
      </c>
      <c r="X282" s="2725">
        <v>335000</v>
      </c>
      <c r="Y282" s="2745">
        <v>2005</v>
      </c>
      <c r="Z282" s="2745">
        <v>11</v>
      </c>
      <c r="AA282" s="2745">
        <v>22</v>
      </c>
      <c r="AB282" s="2688">
        <v>1055</v>
      </c>
      <c r="AC282" s="2688" t="s">
        <v>1605</v>
      </c>
      <c r="AD282" s="2688"/>
      <c r="AE282" s="2748" t="s">
        <v>1342</v>
      </c>
      <c r="AF282" s="2691" t="s">
        <v>1068</v>
      </c>
      <c r="AG282" s="2747" t="s">
        <v>1069</v>
      </c>
      <c r="AH282" s="2688"/>
      <c r="AI282" s="2747" t="s">
        <v>2138</v>
      </c>
      <c r="AJ282" s="2753"/>
      <c r="AK282" s="2755" t="s">
        <v>1136</v>
      </c>
      <c r="AL282" s="2745">
        <v>67641700</v>
      </c>
      <c r="AM282" s="2745"/>
      <c r="AN282" s="2747" t="s">
        <v>1182</v>
      </c>
      <c r="AO282" s="2745"/>
      <c r="AP282" s="2747" t="s">
        <v>1515</v>
      </c>
      <c r="AQ282" s="2745" t="s">
        <v>1074</v>
      </c>
      <c r="AR282" s="2745"/>
      <c r="AS282" s="2745"/>
      <c r="AT282" s="2745"/>
      <c r="AU282" s="2745"/>
      <c r="AV282" s="2745"/>
      <c r="AW282" s="2745" t="s">
        <v>1343</v>
      </c>
      <c r="AX282" s="2745"/>
      <c r="AY282" s="2769"/>
      <c r="AZ282" s="2688" t="s">
        <v>3047</v>
      </c>
      <c r="BA282" s="2774"/>
      <c r="BB282" s="2775"/>
      <c r="BC282" s="2774"/>
      <c r="BD282" s="2776"/>
      <c r="BE282" s="2745"/>
      <c r="BF282" s="2788"/>
      <c r="BG282" s="2798">
        <v>38673</v>
      </c>
      <c r="BH282" s="2798" t="s">
        <v>1174</v>
      </c>
      <c r="BI282" s="2748" t="s">
        <v>1515</v>
      </c>
      <c r="BJ282" s="2789">
        <v>38673</v>
      </c>
      <c r="BK282" s="2789"/>
      <c r="BL282" s="2688" t="s">
        <v>1092</v>
      </c>
      <c r="BM282" s="2745" t="s">
        <v>888</v>
      </c>
      <c r="BN282" s="2745" t="s">
        <v>1077</v>
      </c>
      <c r="BO282" s="2745" t="s">
        <v>1721</v>
      </c>
      <c r="BP282" s="2745"/>
      <c r="BQ282" s="2745" t="e">
        <v>#DIV/0!</v>
      </c>
      <c r="BR282" s="2745" t="e">
        <v>#DIV/0!</v>
      </c>
      <c r="BV282" s="2505"/>
    </row>
    <row r="283" s="2504" customFormat="1" ht="12" hidden="1" spans="1:70">
      <c r="A283" s="2688" t="s">
        <v>3048</v>
      </c>
      <c r="B283" s="2688" t="s">
        <v>3049</v>
      </c>
      <c r="C283" s="2688" t="s">
        <v>3050</v>
      </c>
      <c r="D283" s="2688" t="s">
        <v>3051</v>
      </c>
      <c r="E283" s="2688" t="s">
        <v>1060</v>
      </c>
      <c r="F283" s="2688" t="s">
        <v>3052</v>
      </c>
      <c r="G283" s="2688"/>
      <c r="H283" s="2688" t="s">
        <v>3053</v>
      </c>
      <c r="I283" s="2688" t="s">
        <v>1196</v>
      </c>
      <c r="J283" s="2688" t="s">
        <v>3054</v>
      </c>
      <c r="K283" s="2688"/>
      <c r="L283" s="2688">
        <v>54.5</v>
      </c>
      <c r="M283" s="2688">
        <v>3</v>
      </c>
      <c r="N283" s="2688" t="s">
        <v>1064</v>
      </c>
      <c r="O283" s="2688"/>
      <c r="P283" s="2688" t="s">
        <v>1065</v>
      </c>
      <c r="Q283" s="2688">
        <v>415000</v>
      </c>
      <c r="R283" s="2688">
        <v>7615</v>
      </c>
      <c r="S283" s="2722">
        <v>32.48</v>
      </c>
      <c r="T283" s="2718">
        <v>324800</v>
      </c>
      <c r="U283" s="2688">
        <v>5960</v>
      </c>
      <c r="V283" s="2724">
        <v>0.05</v>
      </c>
      <c r="W283" s="2722">
        <v>30.85</v>
      </c>
      <c r="X283" s="2725">
        <v>308500</v>
      </c>
      <c r="Y283" s="2688">
        <v>2005</v>
      </c>
      <c r="Z283" s="2688">
        <v>12</v>
      </c>
      <c r="AA283" s="2688">
        <v>6</v>
      </c>
      <c r="AB283" s="2745">
        <v>970</v>
      </c>
      <c r="AC283" s="2688" t="s">
        <v>1605</v>
      </c>
      <c r="AD283" s="2688"/>
      <c r="AE283" s="2688" t="s">
        <v>1067</v>
      </c>
      <c r="AF283" s="2688" t="s">
        <v>1068</v>
      </c>
      <c r="AG283" s="2688" t="s">
        <v>1069</v>
      </c>
      <c r="AH283" s="2688"/>
      <c r="AI283" s="2688" t="s">
        <v>2138</v>
      </c>
      <c r="AJ283" s="2753"/>
      <c r="AK283" s="2688" t="s">
        <v>1563</v>
      </c>
      <c r="AL283" s="2688">
        <v>67641700</v>
      </c>
      <c r="AM283" s="2688"/>
      <c r="AN283" s="2688" t="s">
        <v>1088</v>
      </c>
      <c r="AO283" s="2688"/>
      <c r="AP283" s="2688" t="s">
        <v>1515</v>
      </c>
      <c r="AQ283" s="2688" t="s">
        <v>1074</v>
      </c>
      <c r="AR283" s="2688"/>
      <c r="AS283" s="2688"/>
      <c r="AT283" s="2688"/>
      <c r="AU283" s="2688"/>
      <c r="AV283" s="2688"/>
      <c r="AW283" s="2688" t="s">
        <v>1343</v>
      </c>
      <c r="AX283" s="2688"/>
      <c r="AY283" s="2689"/>
      <c r="AZ283" s="2688" t="s">
        <v>3055</v>
      </c>
      <c r="BA283" s="2688"/>
      <c r="BB283" s="2689"/>
      <c r="BC283" s="2688"/>
      <c r="BD283" s="2771"/>
      <c r="BE283" s="2688"/>
      <c r="BF283" s="2793"/>
      <c r="BG283" s="2753">
        <v>38645</v>
      </c>
      <c r="BH283" s="2688"/>
      <c r="BI283" s="2688" t="s">
        <v>2140</v>
      </c>
      <c r="BJ283" s="2794">
        <v>38673</v>
      </c>
      <c r="BK283" s="2794"/>
      <c r="BL283" s="2688" t="s">
        <v>1174</v>
      </c>
      <c r="BM283" s="2688" t="s">
        <v>888</v>
      </c>
      <c r="BN283" s="2688" t="s">
        <v>1077</v>
      </c>
      <c r="BO283" s="2688" t="s">
        <v>1721</v>
      </c>
      <c r="BP283" s="2688"/>
      <c r="BQ283" s="2745" t="e">
        <v>#DIV/0!</v>
      </c>
      <c r="BR283" s="2745" t="e">
        <v>#DIV/0!</v>
      </c>
    </row>
    <row r="284" s="2504" customFormat="1" ht="12" hidden="1" spans="1:74">
      <c r="A284" s="2688" t="s">
        <v>3056</v>
      </c>
      <c r="B284" s="2688" t="s">
        <v>2132</v>
      </c>
      <c r="C284" s="2689" t="s">
        <v>2133</v>
      </c>
      <c r="D284" s="2689" t="s">
        <v>2134</v>
      </c>
      <c r="E284" s="2688" t="s">
        <v>1060</v>
      </c>
      <c r="F284" s="2688" t="s">
        <v>2135</v>
      </c>
      <c r="G284" s="2688"/>
      <c r="H284" s="2688"/>
      <c r="I284" s="2688" t="s">
        <v>2136</v>
      </c>
      <c r="J284" s="2689" t="s">
        <v>2137</v>
      </c>
      <c r="K284" s="2688" t="s">
        <v>2132</v>
      </c>
      <c r="L284" s="2688">
        <v>91.1</v>
      </c>
      <c r="M284" s="2688">
        <v>18</v>
      </c>
      <c r="N284" s="2688" t="s">
        <v>1064</v>
      </c>
      <c r="O284" s="2688"/>
      <c r="P284" s="2688" t="s">
        <v>1065</v>
      </c>
      <c r="Q284" s="2712">
        <v>690000</v>
      </c>
      <c r="R284" s="2688">
        <v>7574</v>
      </c>
      <c r="S284" s="2722">
        <v>61.94</v>
      </c>
      <c r="T284" s="2723">
        <v>619400</v>
      </c>
      <c r="U284" s="2688">
        <v>6800</v>
      </c>
      <c r="V284" s="2724">
        <v>0.05</v>
      </c>
      <c r="W284" s="2722">
        <v>58.84</v>
      </c>
      <c r="X284" s="2725">
        <v>588400</v>
      </c>
      <c r="Y284" s="2745">
        <v>2005</v>
      </c>
      <c r="Z284" s="2745">
        <v>11</v>
      </c>
      <c r="AA284" s="2745">
        <v>29</v>
      </c>
      <c r="AB284" s="2688">
        <v>1500</v>
      </c>
      <c r="AC284" s="2688" t="s">
        <v>1605</v>
      </c>
      <c r="AD284" s="2688"/>
      <c r="AE284" s="2688" t="s">
        <v>1067</v>
      </c>
      <c r="AF284" s="2688" t="s">
        <v>1068</v>
      </c>
      <c r="AG284" s="2688" t="s">
        <v>1069</v>
      </c>
      <c r="AH284" s="2688"/>
      <c r="AI284" s="2688" t="s">
        <v>2138</v>
      </c>
      <c r="AJ284" s="2753"/>
      <c r="AK284" s="2755" t="s">
        <v>1136</v>
      </c>
      <c r="AL284" s="2745">
        <v>67641700</v>
      </c>
      <c r="AM284" s="2745"/>
      <c r="AN284" s="2745" t="s">
        <v>1071</v>
      </c>
      <c r="AO284" s="2745"/>
      <c r="AP284" s="2745" t="s">
        <v>1515</v>
      </c>
      <c r="AQ284" s="2745" t="s">
        <v>1089</v>
      </c>
      <c r="AR284" s="2745"/>
      <c r="AS284" s="2745"/>
      <c r="AT284" s="2745"/>
      <c r="AU284" s="2745"/>
      <c r="AV284" s="2745"/>
      <c r="AW284" s="2745" t="s">
        <v>1075</v>
      </c>
      <c r="AX284" s="2745"/>
      <c r="AY284" s="2769"/>
      <c r="AZ284" s="2745"/>
      <c r="BA284" s="2745" t="s">
        <v>2139</v>
      </c>
      <c r="BB284" s="2769"/>
      <c r="BC284" s="2745"/>
      <c r="BD284" s="2770"/>
      <c r="BE284" s="2745"/>
      <c r="BF284" s="2788"/>
      <c r="BG284" s="2790">
        <v>38672</v>
      </c>
      <c r="BH284" s="2745"/>
      <c r="BI284" s="2691" t="s">
        <v>2140</v>
      </c>
      <c r="BJ284" s="2789">
        <v>38673</v>
      </c>
      <c r="BK284" s="2789"/>
      <c r="BL284" s="2688" t="s">
        <v>1174</v>
      </c>
      <c r="BM284" s="2745" t="s">
        <v>888</v>
      </c>
      <c r="BN284" s="2745" t="s">
        <v>1077</v>
      </c>
      <c r="BO284" s="2745" t="s">
        <v>1721</v>
      </c>
      <c r="BP284" s="2745"/>
      <c r="BQ284" s="2745" t="e">
        <v>#DIV/0!</v>
      </c>
      <c r="BR284" s="2745" t="e">
        <v>#DIV/0!</v>
      </c>
      <c r="BV284" s="2505"/>
    </row>
    <row r="285" s="2504" customFormat="1" ht="12" hidden="1" spans="1:70">
      <c r="A285" s="2688" t="s">
        <v>3057</v>
      </c>
      <c r="B285" s="2688" t="s">
        <v>3058</v>
      </c>
      <c r="C285" s="2689" t="s">
        <v>3059</v>
      </c>
      <c r="D285" s="2689" t="s">
        <v>3060</v>
      </c>
      <c r="E285" s="2691" t="s">
        <v>1060</v>
      </c>
      <c r="F285" s="2691" t="s">
        <v>3061</v>
      </c>
      <c r="G285" s="2688"/>
      <c r="H285" s="2691" t="s">
        <v>1221</v>
      </c>
      <c r="I285" s="2691" t="s">
        <v>1196</v>
      </c>
      <c r="J285" s="2688" t="s">
        <v>1268</v>
      </c>
      <c r="K285" s="2688" t="s">
        <v>3058</v>
      </c>
      <c r="L285" s="2688">
        <v>74.6</v>
      </c>
      <c r="M285" s="2688">
        <v>5</v>
      </c>
      <c r="N285" s="2688" t="s">
        <v>1064</v>
      </c>
      <c r="O285" s="2688"/>
      <c r="P285" s="2688" t="s">
        <v>1065</v>
      </c>
      <c r="Q285" s="2712">
        <v>500000</v>
      </c>
      <c r="R285" s="2688">
        <v>6702</v>
      </c>
      <c r="S285" s="2722">
        <v>49.98</v>
      </c>
      <c r="T285" s="2723">
        <v>499800</v>
      </c>
      <c r="U285" s="2688">
        <v>6700</v>
      </c>
      <c r="V285" s="2724">
        <v>0.05</v>
      </c>
      <c r="W285" s="2722">
        <v>47.48</v>
      </c>
      <c r="X285" s="2725">
        <v>474800</v>
      </c>
      <c r="Y285" s="2745">
        <v>2005</v>
      </c>
      <c r="Z285" s="2745">
        <v>12</v>
      </c>
      <c r="AA285" s="2745">
        <v>8</v>
      </c>
      <c r="AB285" s="2688">
        <v>1495</v>
      </c>
      <c r="AC285" s="2688" t="s">
        <v>1605</v>
      </c>
      <c r="AD285" s="2688"/>
      <c r="AE285" s="2747" t="s">
        <v>175</v>
      </c>
      <c r="AF285" s="2691" t="s">
        <v>1068</v>
      </c>
      <c r="AG285" s="2747" t="s">
        <v>1069</v>
      </c>
      <c r="AH285" s="2688"/>
      <c r="AI285" s="2747" t="s">
        <v>2138</v>
      </c>
      <c r="AJ285" s="2753"/>
      <c r="AK285" s="2755" t="s">
        <v>1563</v>
      </c>
      <c r="AL285" s="2745">
        <v>67641700</v>
      </c>
      <c r="AM285" s="2745"/>
      <c r="AN285" s="2747" t="s">
        <v>1088</v>
      </c>
      <c r="AO285" s="2688"/>
      <c r="AP285" s="2747" t="s">
        <v>1515</v>
      </c>
      <c r="AQ285" s="2745" t="s">
        <v>1607</v>
      </c>
      <c r="AR285" s="2745"/>
      <c r="AS285" s="2745"/>
      <c r="AT285" s="2745"/>
      <c r="AU285" s="2745"/>
      <c r="AV285" s="2745"/>
      <c r="AW285" s="2745" t="s">
        <v>1343</v>
      </c>
      <c r="AX285" s="2745"/>
      <c r="AY285" s="2769"/>
      <c r="AZ285" s="2688" t="s">
        <v>3062</v>
      </c>
      <c r="BA285" s="2774"/>
      <c r="BB285" s="2775"/>
      <c r="BC285" s="2774"/>
      <c r="BD285" s="2776"/>
      <c r="BE285" s="2745"/>
      <c r="BF285" s="2788"/>
      <c r="BG285" s="2798">
        <v>38660</v>
      </c>
      <c r="BH285" s="2745" t="s">
        <v>1174</v>
      </c>
      <c r="BI285" s="2748" t="s">
        <v>1515</v>
      </c>
      <c r="BJ285" s="2789">
        <v>38674</v>
      </c>
      <c r="BK285" s="2789"/>
      <c r="BL285" s="2745" t="s">
        <v>1092</v>
      </c>
      <c r="BM285" s="2745" t="s">
        <v>888</v>
      </c>
      <c r="BN285" s="2745" t="s">
        <v>1077</v>
      </c>
      <c r="BO285" s="2745" t="s">
        <v>1128</v>
      </c>
      <c r="BP285" s="2745"/>
      <c r="BQ285" s="2745" t="e">
        <v>#DIV/0!</v>
      </c>
      <c r="BR285" s="2745" t="e">
        <v>#DIV/0!</v>
      </c>
    </row>
    <row r="286" s="2504" customFormat="1" ht="12" hidden="1" spans="1:70">
      <c r="A286" s="2688" t="s">
        <v>3063</v>
      </c>
      <c r="B286" s="2688" t="s">
        <v>3064</v>
      </c>
      <c r="C286" s="2689" t="s">
        <v>3065</v>
      </c>
      <c r="D286" s="2689" t="s">
        <v>3066</v>
      </c>
      <c r="E286" s="2691" t="s">
        <v>1060</v>
      </c>
      <c r="F286" s="2691" t="s">
        <v>3067</v>
      </c>
      <c r="G286" s="2688"/>
      <c r="H286" s="2691" t="s">
        <v>3068</v>
      </c>
      <c r="I286" s="2688" t="s">
        <v>1196</v>
      </c>
      <c r="J286" s="2688" t="s">
        <v>1100</v>
      </c>
      <c r="K286" s="2688" t="s">
        <v>3069</v>
      </c>
      <c r="L286" s="2688">
        <v>87.7</v>
      </c>
      <c r="M286" s="2688">
        <v>4</v>
      </c>
      <c r="N286" s="2688" t="s">
        <v>1123</v>
      </c>
      <c r="O286" s="2688"/>
      <c r="P286" s="2688" t="s">
        <v>1065</v>
      </c>
      <c r="Q286" s="2712">
        <v>650000</v>
      </c>
      <c r="R286" s="2688">
        <v>7412</v>
      </c>
      <c r="S286" s="2722">
        <v>55.25</v>
      </c>
      <c r="T286" s="2723">
        <v>552500</v>
      </c>
      <c r="U286" s="2688">
        <v>6300</v>
      </c>
      <c r="V286" s="2724">
        <v>0.05</v>
      </c>
      <c r="W286" s="2722">
        <v>52.48</v>
      </c>
      <c r="X286" s="2725">
        <v>524800</v>
      </c>
      <c r="Y286" s="2745">
        <v>2005</v>
      </c>
      <c r="Z286" s="2745">
        <v>12</v>
      </c>
      <c r="AA286" s="2745">
        <v>1</v>
      </c>
      <c r="AB286" s="2688">
        <v>1500</v>
      </c>
      <c r="AC286" s="2688" t="s">
        <v>1605</v>
      </c>
      <c r="AD286" s="2688"/>
      <c r="AE286" s="2747" t="s">
        <v>1342</v>
      </c>
      <c r="AF286" s="2691" t="s">
        <v>1068</v>
      </c>
      <c r="AG286" s="2747" t="s">
        <v>1069</v>
      </c>
      <c r="AH286" s="2688"/>
      <c r="AI286" s="2747" t="s">
        <v>2138</v>
      </c>
      <c r="AJ286" s="2753"/>
      <c r="AK286" s="2755" t="s">
        <v>1563</v>
      </c>
      <c r="AL286" s="2745">
        <v>67641700</v>
      </c>
      <c r="AM286" s="2745"/>
      <c r="AN286" s="2747" t="s">
        <v>1087</v>
      </c>
      <c r="AO286" s="2688" t="s">
        <v>1114</v>
      </c>
      <c r="AP286" s="2747" t="s">
        <v>1515</v>
      </c>
      <c r="AQ286" s="2745" t="s">
        <v>1074</v>
      </c>
      <c r="AR286" s="2745"/>
      <c r="AS286" s="2745"/>
      <c r="AT286" s="2745"/>
      <c r="AU286" s="2745"/>
      <c r="AV286" s="2745"/>
      <c r="AW286" s="2745" t="s">
        <v>1343</v>
      </c>
      <c r="AX286" s="2745"/>
      <c r="AY286" s="2769"/>
      <c r="AZ286" s="2688" t="s">
        <v>3069</v>
      </c>
      <c r="BA286" s="2774"/>
      <c r="BB286" s="2775"/>
      <c r="BC286" s="2774"/>
      <c r="BD286" s="2776"/>
      <c r="BE286" s="2745"/>
      <c r="BF286" s="2788"/>
      <c r="BG286" s="2798">
        <v>38662</v>
      </c>
      <c r="BH286" s="2688" t="s">
        <v>1174</v>
      </c>
      <c r="BI286" s="2748" t="s">
        <v>1515</v>
      </c>
      <c r="BJ286" s="2789">
        <v>38677</v>
      </c>
      <c r="BK286" s="2789"/>
      <c r="BL286" s="2688" t="s">
        <v>1092</v>
      </c>
      <c r="BM286" s="2745" t="s">
        <v>888</v>
      </c>
      <c r="BN286" s="2745" t="s">
        <v>1077</v>
      </c>
      <c r="BO286" s="2745" t="s">
        <v>1709</v>
      </c>
      <c r="BP286" s="2745"/>
      <c r="BQ286" s="2745" t="e">
        <v>#DIV/0!</v>
      </c>
      <c r="BR286" s="2745" t="e">
        <v>#DIV/0!</v>
      </c>
    </row>
    <row r="287" s="2505" customFormat="1" ht="12" hidden="1" spans="1:73">
      <c r="A287" s="2688" t="s">
        <v>3070</v>
      </c>
      <c r="B287" s="2688" t="s">
        <v>3071</v>
      </c>
      <c r="C287" s="2689" t="s">
        <v>3072</v>
      </c>
      <c r="D287" s="2689" t="s">
        <v>3073</v>
      </c>
      <c r="E287" s="2688" t="s">
        <v>1060</v>
      </c>
      <c r="F287" s="2690" t="s">
        <v>3074</v>
      </c>
      <c r="G287" s="2688"/>
      <c r="H287" s="2688" t="s">
        <v>1062</v>
      </c>
      <c r="I287" s="2688" t="s">
        <v>1114</v>
      </c>
      <c r="J287" s="2689" t="s">
        <v>3075</v>
      </c>
      <c r="K287" s="2688" t="s">
        <v>3076</v>
      </c>
      <c r="L287" s="2688">
        <v>53.5</v>
      </c>
      <c r="M287" s="2688">
        <v>10</v>
      </c>
      <c r="N287" s="2688" t="s">
        <v>1259</v>
      </c>
      <c r="O287" s="2688"/>
      <c r="P287" s="2688" t="s">
        <v>1065</v>
      </c>
      <c r="Q287" s="2712">
        <v>420000</v>
      </c>
      <c r="R287" s="2688">
        <v>7850</v>
      </c>
      <c r="S287" s="2722">
        <v>32.6</v>
      </c>
      <c r="T287" s="2723">
        <v>326000</v>
      </c>
      <c r="U287" s="2688">
        <v>6094</v>
      </c>
      <c r="V287" s="2724">
        <v>0.05</v>
      </c>
      <c r="W287" s="2722">
        <v>30.97</v>
      </c>
      <c r="X287" s="2725">
        <v>309700</v>
      </c>
      <c r="Y287" s="2688">
        <v>2005</v>
      </c>
      <c r="Z287" s="2745">
        <v>12</v>
      </c>
      <c r="AA287" s="2745">
        <v>5</v>
      </c>
      <c r="AB287" s="2688">
        <v>975</v>
      </c>
      <c r="AC287" s="2688" t="s">
        <v>1605</v>
      </c>
      <c r="AD287" s="2688"/>
      <c r="AE287" s="2745" t="s">
        <v>179</v>
      </c>
      <c r="AF287" s="2688" t="s">
        <v>1068</v>
      </c>
      <c r="AG287" s="2688" t="s">
        <v>1069</v>
      </c>
      <c r="AH287" s="2688"/>
      <c r="AI287" s="2688" t="s">
        <v>1070</v>
      </c>
      <c r="AJ287" s="2753"/>
      <c r="AK287" s="2755" t="s">
        <v>1563</v>
      </c>
      <c r="AL287" s="2745">
        <v>67641700</v>
      </c>
      <c r="AM287" s="2745"/>
      <c r="AN287" s="2747" t="s">
        <v>1088</v>
      </c>
      <c r="AO287" s="2745"/>
      <c r="AP287" s="2745" t="s">
        <v>1073</v>
      </c>
      <c r="AQ287" s="2688" t="s">
        <v>1089</v>
      </c>
      <c r="AR287" s="2745"/>
      <c r="AS287" s="2745"/>
      <c r="AT287" s="2745"/>
      <c r="AU287" s="2745"/>
      <c r="AV287" s="2745"/>
      <c r="AW287" s="2688" t="s">
        <v>1090</v>
      </c>
      <c r="AX287" s="2745"/>
      <c r="AY287" s="2769"/>
      <c r="AZ287" s="2745" t="s">
        <v>3076</v>
      </c>
      <c r="BA287" s="2745"/>
      <c r="BB287" s="2769"/>
      <c r="BC287" s="2745"/>
      <c r="BD287" s="2770"/>
      <c r="BE287" s="2745">
        <v>13801296532</v>
      </c>
      <c r="BF287" s="2788"/>
      <c r="BG287" s="2798">
        <v>38303</v>
      </c>
      <c r="BH287" s="2745"/>
      <c r="BI287" s="2691" t="s">
        <v>1974</v>
      </c>
      <c r="BJ287" s="2789">
        <v>38678</v>
      </c>
      <c r="BK287" s="2789"/>
      <c r="BL287" s="2688" t="s">
        <v>1174</v>
      </c>
      <c r="BM287" s="2688" t="s">
        <v>888</v>
      </c>
      <c r="BN287" s="2688" t="s">
        <v>1077</v>
      </c>
      <c r="BO287" s="2685" t="s">
        <v>1331</v>
      </c>
      <c r="BP287" s="2745"/>
      <c r="BQ287" s="2745" t="e">
        <v>#DIV/0!</v>
      </c>
      <c r="BR287" s="2745" t="e">
        <v>#DIV/0!</v>
      </c>
      <c r="BS287" s="2504"/>
      <c r="BT287" s="2504"/>
      <c r="BU287" s="2504"/>
    </row>
    <row r="288" s="2504" customFormat="1" ht="12" hidden="1" spans="1:70">
      <c r="A288" s="2688" t="s">
        <v>3077</v>
      </c>
      <c r="B288" s="2688" t="s">
        <v>3078</v>
      </c>
      <c r="C288" s="2689" t="s">
        <v>3079</v>
      </c>
      <c r="D288" s="2688">
        <v>13671073562</v>
      </c>
      <c r="E288" s="2688" t="s">
        <v>1060</v>
      </c>
      <c r="F288" s="2688" t="s">
        <v>3080</v>
      </c>
      <c r="G288" s="2688"/>
      <c r="H288" s="2688" t="s">
        <v>1180</v>
      </c>
      <c r="I288" s="2688"/>
      <c r="J288" s="2688" t="s">
        <v>3081</v>
      </c>
      <c r="K288" s="2688" t="s">
        <v>3078</v>
      </c>
      <c r="L288" s="2708">
        <v>57.1</v>
      </c>
      <c r="M288" s="2688">
        <v>6</v>
      </c>
      <c r="N288" s="2688" t="s">
        <v>1064</v>
      </c>
      <c r="O288" s="2688"/>
      <c r="P288" s="2688" t="s">
        <v>1065</v>
      </c>
      <c r="Q288" s="2841">
        <v>395000</v>
      </c>
      <c r="R288" s="2688">
        <v>6918</v>
      </c>
      <c r="S288" s="2842">
        <v>36.24</v>
      </c>
      <c r="T288" s="2723">
        <v>362400</v>
      </c>
      <c r="U288" s="2841">
        <v>6348</v>
      </c>
      <c r="V288" s="2724">
        <v>0.05</v>
      </c>
      <c r="W288" s="2842">
        <v>34.42</v>
      </c>
      <c r="X288" s="2723">
        <v>344200</v>
      </c>
      <c r="Y288" s="2688">
        <v>2005</v>
      </c>
      <c r="Z288" s="2745">
        <v>12</v>
      </c>
      <c r="AA288" s="2745">
        <v>6</v>
      </c>
      <c r="AB288" s="2688">
        <v>1085</v>
      </c>
      <c r="AC288" s="2688" t="s">
        <v>1605</v>
      </c>
      <c r="AD288" s="2688"/>
      <c r="AE288" s="2691" t="s">
        <v>179</v>
      </c>
      <c r="AF288" s="2688" t="s">
        <v>1068</v>
      </c>
      <c r="AG288" s="2688" t="s">
        <v>1069</v>
      </c>
      <c r="AH288" s="2688" t="s">
        <v>1114</v>
      </c>
      <c r="AI288" s="2691" t="s">
        <v>1070</v>
      </c>
      <c r="AJ288" s="2688"/>
      <c r="AK288" s="2755" t="s">
        <v>1563</v>
      </c>
      <c r="AL288" s="2745">
        <v>67641700</v>
      </c>
      <c r="AM288" s="2688"/>
      <c r="AN288" s="2688" t="s">
        <v>1088</v>
      </c>
      <c r="AO288" s="2688"/>
      <c r="AP288" s="2747" t="s">
        <v>1515</v>
      </c>
      <c r="AQ288" s="2688" t="s">
        <v>1089</v>
      </c>
      <c r="AR288" s="2688"/>
      <c r="AS288" s="2688"/>
      <c r="AT288" s="2688"/>
      <c r="AU288" s="2688"/>
      <c r="AV288" s="2688" t="s">
        <v>1114</v>
      </c>
      <c r="AW288" s="2688" t="s">
        <v>1090</v>
      </c>
      <c r="AX288" s="2688"/>
      <c r="AY288" s="2688"/>
      <c r="AZ288" s="2688" t="s">
        <v>3082</v>
      </c>
      <c r="BA288" s="2688"/>
      <c r="BB288" s="2688"/>
      <c r="BC288" s="2688"/>
      <c r="BD288" s="2688"/>
      <c r="BE288" s="2688"/>
      <c r="BF288" s="2903"/>
      <c r="BG288" s="2798">
        <v>38309</v>
      </c>
      <c r="BH288" s="2688" t="s">
        <v>1174</v>
      </c>
      <c r="BI288" s="2691" t="s">
        <v>1974</v>
      </c>
      <c r="BJ288" s="2789">
        <v>38678</v>
      </c>
      <c r="BK288" s="2753"/>
      <c r="BL288" s="2688" t="s">
        <v>1174</v>
      </c>
      <c r="BM288" s="2688" t="s">
        <v>1127</v>
      </c>
      <c r="BN288" s="2688" t="s">
        <v>1148</v>
      </c>
      <c r="BO288" s="2688" t="s">
        <v>1128</v>
      </c>
      <c r="BP288" s="2688"/>
      <c r="BQ288" s="2745" t="e">
        <v>#DIV/0!</v>
      </c>
      <c r="BR288" s="2745" t="e">
        <v>#DIV/0!</v>
      </c>
    </row>
    <row r="289" s="2504" customFormat="1" ht="12" hidden="1" spans="1:74">
      <c r="A289" s="2688" t="s">
        <v>3083</v>
      </c>
      <c r="B289" s="2691" t="s">
        <v>3084</v>
      </c>
      <c r="C289" s="2689" t="s">
        <v>3085</v>
      </c>
      <c r="D289" s="2691" t="s">
        <v>3086</v>
      </c>
      <c r="E289" s="2688" t="s">
        <v>1060</v>
      </c>
      <c r="F289" s="2691" t="s">
        <v>3087</v>
      </c>
      <c r="G289" s="2691"/>
      <c r="H289" s="2691" t="s">
        <v>3088</v>
      </c>
      <c r="I289" s="2691" t="s">
        <v>1364</v>
      </c>
      <c r="J289" s="2691" t="s">
        <v>2082</v>
      </c>
      <c r="K289" s="2691" t="s">
        <v>3084</v>
      </c>
      <c r="L289" s="2697">
        <v>53.8</v>
      </c>
      <c r="M289" s="2697">
        <v>5</v>
      </c>
      <c r="N289" s="2691" t="s">
        <v>1064</v>
      </c>
      <c r="O289" s="2697"/>
      <c r="P289" s="2691" t="s">
        <v>1065</v>
      </c>
      <c r="Q289" s="2712">
        <v>450000</v>
      </c>
      <c r="R289" s="2688">
        <v>8364</v>
      </c>
      <c r="S289" s="2722">
        <v>33.78</v>
      </c>
      <c r="T289" s="2723">
        <v>337800</v>
      </c>
      <c r="U289" s="2688">
        <v>6280</v>
      </c>
      <c r="V289" s="2727">
        <v>0.05</v>
      </c>
      <c r="W289" s="2722">
        <v>32.09</v>
      </c>
      <c r="X289" s="2725">
        <v>320900</v>
      </c>
      <c r="Y289" s="2688">
        <v>2005</v>
      </c>
      <c r="Z289" s="2688">
        <v>11</v>
      </c>
      <c r="AA289" s="2745">
        <v>28</v>
      </c>
      <c r="AB289" s="2688">
        <v>1010</v>
      </c>
      <c r="AC289" s="2688" t="s">
        <v>1605</v>
      </c>
      <c r="AD289" s="2691"/>
      <c r="AE289" s="2691" t="s">
        <v>1070</v>
      </c>
      <c r="AF289" s="2691" t="s">
        <v>1068</v>
      </c>
      <c r="AG289" s="2691" t="s">
        <v>1741</v>
      </c>
      <c r="AH289" s="2691"/>
      <c r="AI289" s="2688" t="s">
        <v>1342</v>
      </c>
      <c r="AJ289" s="2760"/>
      <c r="AK289" s="2755" t="s">
        <v>1136</v>
      </c>
      <c r="AL289" s="2688">
        <v>82253558</v>
      </c>
      <c r="AM289" s="2745"/>
      <c r="AN289" s="2688" t="s">
        <v>1071</v>
      </c>
      <c r="AO289" s="2688"/>
      <c r="AP289" s="2688" t="s">
        <v>1208</v>
      </c>
      <c r="AQ289" s="2688" t="s">
        <v>1074</v>
      </c>
      <c r="AR289" s="2688"/>
      <c r="AS289" s="2688"/>
      <c r="AT289" s="2688"/>
      <c r="AU289" s="2688"/>
      <c r="AV289" s="2765"/>
      <c r="AW289" s="2745" t="s">
        <v>1090</v>
      </c>
      <c r="AX289" s="2691"/>
      <c r="AY289" s="2691"/>
      <c r="AZ289" s="2691" t="s">
        <v>3089</v>
      </c>
      <c r="BA289" s="2691"/>
      <c r="BB289" s="2696"/>
      <c r="BC289" s="2691"/>
      <c r="BD289" s="2691"/>
      <c r="BE289" s="2691"/>
      <c r="BF289" s="2788"/>
      <c r="BG289" s="2792">
        <v>38678</v>
      </c>
      <c r="BH289" s="2691" t="s">
        <v>3090</v>
      </c>
      <c r="BI289" s="2688" t="s">
        <v>1070</v>
      </c>
      <c r="BJ289" s="2789">
        <v>38679</v>
      </c>
      <c r="BK289" s="2753"/>
      <c r="BL289" s="2688" t="s">
        <v>1174</v>
      </c>
      <c r="BM289" s="2688" t="s">
        <v>888</v>
      </c>
      <c r="BN289" s="2745" t="s">
        <v>1148</v>
      </c>
      <c r="BO289" s="2688" t="s">
        <v>1331</v>
      </c>
      <c r="BP289" s="2745"/>
      <c r="BQ289" s="2745" t="e">
        <v>#DIV/0!</v>
      </c>
      <c r="BR289" s="2745" t="e">
        <v>#DIV/0!</v>
      </c>
      <c r="BV289" s="2505"/>
    </row>
    <row r="290" s="2504" customFormat="1" ht="12" hidden="1" spans="1:74">
      <c r="A290" s="2688" t="s">
        <v>3091</v>
      </c>
      <c r="B290" s="2688" t="s">
        <v>3092</v>
      </c>
      <c r="C290" s="2689" t="s">
        <v>3093</v>
      </c>
      <c r="D290" s="2689" t="s">
        <v>3094</v>
      </c>
      <c r="E290" s="2688" t="s">
        <v>1060</v>
      </c>
      <c r="F290" s="2688" t="s">
        <v>2704</v>
      </c>
      <c r="G290" s="2688"/>
      <c r="H290" s="2688" t="s">
        <v>1239</v>
      </c>
      <c r="I290" s="2691"/>
      <c r="J290" s="2689" t="s">
        <v>3095</v>
      </c>
      <c r="K290" s="2688" t="s">
        <v>3092</v>
      </c>
      <c r="L290" s="2702">
        <v>61.3</v>
      </c>
      <c r="M290" s="2688">
        <v>9</v>
      </c>
      <c r="N290" s="2688" t="s">
        <v>1064</v>
      </c>
      <c r="O290" s="2688"/>
      <c r="P290" s="2688" t="s">
        <v>1065</v>
      </c>
      <c r="Q290" s="2726">
        <v>450000</v>
      </c>
      <c r="R290" s="2688">
        <v>7341</v>
      </c>
      <c r="S290" s="2722">
        <v>36.47</v>
      </c>
      <c r="T290" s="2723">
        <v>364700</v>
      </c>
      <c r="U290" s="2688">
        <v>5950</v>
      </c>
      <c r="V290" s="2724">
        <v>0.05</v>
      </c>
      <c r="W290" s="2722">
        <v>34.64</v>
      </c>
      <c r="X290" s="2725">
        <v>346400</v>
      </c>
      <c r="Y290" s="2745">
        <v>2005</v>
      </c>
      <c r="Z290" s="2745">
        <v>11</v>
      </c>
      <c r="AA290" s="2745">
        <v>25</v>
      </c>
      <c r="AB290" s="2688">
        <v>1090</v>
      </c>
      <c r="AC290" s="2688" t="s">
        <v>1605</v>
      </c>
      <c r="AD290" s="2688"/>
      <c r="AE290" s="2747" t="s">
        <v>1067</v>
      </c>
      <c r="AF290" s="2691" t="s">
        <v>1068</v>
      </c>
      <c r="AG290" s="2688" t="s">
        <v>1069</v>
      </c>
      <c r="AH290" s="2688"/>
      <c r="AI290" s="2747" t="s">
        <v>2138</v>
      </c>
      <c r="AJ290" s="2760"/>
      <c r="AK290" s="2755" t="s">
        <v>1136</v>
      </c>
      <c r="AL290" s="2745">
        <v>67641700</v>
      </c>
      <c r="AM290" s="2745"/>
      <c r="AN290" s="2747" t="s">
        <v>1182</v>
      </c>
      <c r="AO290" s="2745"/>
      <c r="AP290" s="2747" t="s">
        <v>1515</v>
      </c>
      <c r="AQ290" s="2747" t="s">
        <v>1074</v>
      </c>
      <c r="AR290" s="2688"/>
      <c r="AS290" s="2688"/>
      <c r="AT290" s="2688"/>
      <c r="AU290" s="2688"/>
      <c r="AV290" s="2745"/>
      <c r="AW290" s="2745" t="s">
        <v>1075</v>
      </c>
      <c r="AX290" s="2745"/>
      <c r="AY290" s="2769"/>
      <c r="AZ290" s="2745" t="s">
        <v>3096</v>
      </c>
      <c r="BA290" s="2745"/>
      <c r="BB290" s="2769"/>
      <c r="BC290" s="2745"/>
      <c r="BD290" s="2770"/>
      <c r="BE290" s="2769"/>
      <c r="BF290" s="2788"/>
      <c r="BG290" s="2798">
        <v>38677</v>
      </c>
      <c r="BH290" s="2745" t="s">
        <v>1174</v>
      </c>
      <c r="BI290" s="2748" t="s">
        <v>1515</v>
      </c>
      <c r="BJ290" s="2789">
        <v>38679</v>
      </c>
      <c r="BK290" s="2790"/>
      <c r="BL290" s="2745" t="s">
        <v>1092</v>
      </c>
      <c r="BM290" s="2745" t="s">
        <v>3097</v>
      </c>
      <c r="BN290" s="2688" t="s">
        <v>1077</v>
      </c>
      <c r="BO290" s="2745" t="s">
        <v>1128</v>
      </c>
      <c r="BP290" s="2745"/>
      <c r="BQ290" s="2745" t="e">
        <v>#DIV/0!</v>
      </c>
      <c r="BR290" s="2745" t="e">
        <v>#DIV/0!</v>
      </c>
      <c r="BV290" s="2505"/>
    </row>
    <row r="291" s="2504" customFormat="1" ht="12" hidden="1" spans="1:70">
      <c r="A291" s="2688" t="s">
        <v>3098</v>
      </c>
      <c r="B291" s="2688" t="s">
        <v>3099</v>
      </c>
      <c r="C291" s="2689" t="s">
        <v>3100</v>
      </c>
      <c r="D291" s="2688">
        <v>13810007371</v>
      </c>
      <c r="E291" s="2688" t="s">
        <v>1060</v>
      </c>
      <c r="F291" s="2688" t="s">
        <v>1739</v>
      </c>
      <c r="G291" s="2688"/>
      <c r="H291" s="2688" t="s">
        <v>1155</v>
      </c>
      <c r="I291" s="2688"/>
      <c r="J291" s="2688" t="s">
        <v>2587</v>
      </c>
      <c r="K291" s="2691" t="s">
        <v>3101</v>
      </c>
      <c r="L291" s="2688">
        <v>100.94</v>
      </c>
      <c r="M291" s="2688">
        <v>15</v>
      </c>
      <c r="N291" s="2688" t="s">
        <v>1064</v>
      </c>
      <c r="O291" s="2688"/>
      <c r="P291" s="2688" t="s">
        <v>1065</v>
      </c>
      <c r="Q291" s="2688">
        <v>449183</v>
      </c>
      <c r="R291" s="2688">
        <v>4450</v>
      </c>
      <c r="S291" s="2722">
        <v>44.91</v>
      </c>
      <c r="T291" s="2723">
        <v>449100</v>
      </c>
      <c r="U291" s="2688">
        <v>4450</v>
      </c>
      <c r="V291" s="2727">
        <v>0.05</v>
      </c>
      <c r="W291" s="2722">
        <v>42.66</v>
      </c>
      <c r="X291" s="2725">
        <v>426600</v>
      </c>
      <c r="Y291" s="2688">
        <v>2005</v>
      </c>
      <c r="Z291" s="2688">
        <v>12</v>
      </c>
      <c r="AA291" s="2745">
        <v>2</v>
      </c>
      <c r="AB291" s="2688">
        <v>1345</v>
      </c>
      <c r="AC291" s="2688" t="s">
        <v>1605</v>
      </c>
      <c r="AD291" s="2688"/>
      <c r="AE291" s="2744" t="s">
        <v>1900</v>
      </c>
      <c r="AF291" s="2688" t="s">
        <v>1068</v>
      </c>
      <c r="AG291" s="2688" t="s">
        <v>2825</v>
      </c>
      <c r="AH291" s="2688"/>
      <c r="AI291" s="2688" t="s">
        <v>1342</v>
      </c>
      <c r="AJ291" s="2751"/>
      <c r="AK291" s="2688" t="s">
        <v>1563</v>
      </c>
      <c r="AL291" s="2688">
        <v>82253558</v>
      </c>
      <c r="AM291" s="2688"/>
      <c r="AN291" s="2688" t="s">
        <v>1087</v>
      </c>
      <c r="AO291" s="2688" t="s">
        <v>1114</v>
      </c>
      <c r="AP291" s="2688" t="s">
        <v>1208</v>
      </c>
      <c r="AQ291" s="2688" t="s">
        <v>1089</v>
      </c>
      <c r="AR291" s="2688">
        <v>2005</v>
      </c>
      <c r="AS291" s="2688">
        <v>12</v>
      </c>
      <c r="AT291" s="2688">
        <v>8</v>
      </c>
      <c r="AU291" s="2688"/>
      <c r="AV291" s="2688"/>
      <c r="AW291" s="2688" t="s">
        <v>1075</v>
      </c>
      <c r="AX291" s="2688"/>
      <c r="AY291" s="2689"/>
      <c r="AZ291" s="2688" t="s">
        <v>3101</v>
      </c>
      <c r="BA291" s="2688"/>
      <c r="BB291" s="2688"/>
      <c r="BC291" s="2688"/>
      <c r="BD291" s="2688"/>
      <c r="BE291" s="2688" t="s">
        <v>3102</v>
      </c>
      <c r="BF291" s="2688"/>
      <c r="BG291" s="2792">
        <v>38675</v>
      </c>
      <c r="BH291" s="2688"/>
      <c r="BI291" s="2688" t="s">
        <v>1900</v>
      </c>
      <c r="BJ291" s="2789">
        <v>38679</v>
      </c>
      <c r="BK291" s="2789"/>
      <c r="BL291" s="2688" t="s">
        <v>1174</v>
      </c>
      <c r="BM291" s="2688" t="s">
        <v>888</v>
      </c>
      <c r="BN291" s="2688" t="s">
        <v>1148</v>
      </c>
      <c r="BO291" s="2688" t="s">
        <v>1331</v>
      </c>
      <c r="BP291" s="2688"/>
      <c r="BQ291" s="2745" t="e">
        <v>#DIV/0!</v>
      </c>
      <c r="BR291" s="2745" t="e">
        <v>#DIV/0!</v>
      </c>
    </row>
    <row r="292" s="2504" customFormat="1" ht="12" hidden="1" spans="1:70">
      <c r="A292" s="2688" t="s">
        <v>3103</v>
      </c>
      <c r="B292" s="2688" t="s">
        <v>3104</v>
      </c>
      <c r="C292" s="2688" t="s">
        <v>3105</v>
      </c>
      <c r="D292" s="2688" t="s">
        <v>3106</v>
      </c>
      <c r="E292" s="2688" t="s">
        <v>1060</v>
      </c>
      <c r="F292" s="2688" t="s">
        <v>3107</v>
      </c>
      <c r="G292" s="2688"/>
      <c r="H292" s="2688" t="s">
        <v>1296</v>
      </c>
      <c r="I292" s="2688" t="s">
        <v>2509</v>
      </c>
      <c r="J292" s="2688" t="s">
        <v>3108</v>
      </c>
      <c r="K292" s="2688" t="s">
        <v>3104</v>
      </c>
      <c r="L292" s="2688">
        <v>60.99</v>
      </c>
      <c r="M292" s="2688">
        <v>1</v>
      </c>
      <c r="N292" s="2688" t="s">
        <v>1064</v>
      </c>
      <c r="O292" s="2688"/>
      <c r="P292" s="2688" t="s">
        <v>1065</v>
      </c>
      <c r="Q292" s="2688">
        <v>383000</v>
      </c>
      <c r="R292" s="2688">
        <v>6280</v>
      </c>
      <c r="S292" s="2722">
        <v>35.37</v>
      </c>
      <c r="T292" s="2718">
        <v>353700</v>
      </c>
      <c r="U292" s="2688">
        <v>5800</v>
      </c>
      <c r="V292" s="2724">
        <v>0.05</v>
      </c>
      <c r="W292" s="2722">
        <v>33.6</v>
      </c>
      <c r="X292" s="2725">
        <v>336000</v>
      </c>
      <c r="Y292" s="2688">
        <v>2005</v>
      </c>
      <c r="Z292" s="2688">
        <v>12</v>
      </c>
      <c r="AA292" s="2688">
        <v>6</v>
      </c>
      <c r="AB292" s="2745">
        <v>1060</v>
      </c>
      <c r="AC292" s="2688" t="s">
        <v>1605</v>
      </c>
      <c r="AD292" s="2688"/>
      <c r="AE292" s="2688" t="s">
        <v>175</v>
      </c>
      <c r="AF292" s="2688" t="s">
        <v>1068</v>
      </c>
      <c r="AG292" s="2688" t="s">
        <v>1069</v>
      </c>
      <c r="AH292" s="2688"/>
      <c r="AI292" s="2688" t="s">
        <v>2138</v>
      </c>
      <c r="AJ292" s="2753"/>
      <c r="AK292" s="2688" t="s">
        <v>1563</v>
      </c>
      <c r="AL292" s="2688">
        <v>67641700</v>
      </c>
      <c r="AM292" s="2688"/>
      <c r="AN292" s="2688" t="s">
        <v>1088</v>
      </c>
      <c r="AO292" s="2688"/>
      <c r="AP292" s="2688" t="s">
        <v>1515</v>
      </c>
      <c r="AQ292" s="2688" t="s">
        <v>1089</v>
      </c>
      <c r="AR292" s="2688"/>
      <c r="AS292" s="2688"/>
      <c r="AT292" s="2688"/>
      <c r="AU292" s="2688"/>
      <c r="AV292" s="2688"/>
      <c r="AW292" s="2688" t="s">
        <v>1343</v>
      </c>
      <c r="AX292" s="2688"/>
      <c r="AY292" s="2689"/>
      <c r="AZ292" s="2688" t="s">
        <v>3109</v>
      </c>
      <c r="BA292" s="2688"/>
      <c r="BB292" s="2689"/>
      <c r="BC292" s="2688"/>
      <c r="BD292" s="2771"/>
      <c r="BE292" s="2688"/>
      <c r="BF292" s="2793"/>
      <c r="BG292" s="2753">
        <v>38654</v>
      </c>
      <c r="BH292" s="2688"/>
      <c r="BI292" s="2688" t="s">
        <v>2140</v>
      </c>
      <c r="BJ292" s="2794">
        <v>38680</v>
      </c>
      <c r="BK292" s="2794"/>
      <c r="BL292" s="2688"/>
      <c r="BM292" s="2688" t="s">
        <v>888</v>
      </c>
      <c r="BN292" s="2688" t="s">
        <v>1077</v>
      </c>
      <c r="BO292" s="2688" t="s">
        <v>1128</v>
      </c>
      <c r="BP292" s="2688"/>
      <c r="BQ292" s="2745" t="e">
        <v>#DIV/0!</v>
      </c>
      <c r="BR292" s="2745" t="e">
        <v>#DIV/0!</v>
      </c>
    </row>
    <row r="293" s="2504" customFormat="1" ht="12" hidden="1" spans="1:70">
      <c r="A293" s="2688" t="s">
        <v>3110</v>
      </c>
      <c r="B293" s="2688" t="s">
        <v>3111</v>
      </c>
      <c r="C293" s="2689" t="s">
        <v>3112</v>
      </c>
      <c r="D293" s="2689" t="s">
        <v>3113</v>
      </c>
      <c r="E293" s="2691" t="s">
        <v>1060</v>
      </c>
      <c r="F293" s="2691" t="s">
        <v>3114</v>
      </c>
      <c r="G293" s="2688"/>
      <c r="H293" s="2691" t="s">
        <v>3115</v>
      </c>
      <c r="I293" s="2688" t="s">
        <v>3116</v>
      </c>
      <c r="J293" s="2688" t="s">
        <v>3117</v>
      </c>
      <c r="K293" s="2688" t="s">
        <v>3111</v>
      </c>
      <c r="L293" s="2688">
        <v>60.31</v>
      </c>
      <c r="M293" s="2689" t="s">
        <v>743</v>
      </c>
      <c r="N293" s="2688" t="s">
        <v>1064</v>
      </c>
      <c r="O293" s="2688"/>
      <c r="P293" s="2688" t="s">
        <v>1065</v>
      </c>
      <c r="Q293" s="2712">
        <v>290000</v>
      </c>
      <c r="R293" s="2688">
        <v>4808</v>
      </c>
      <c r="S293" s="2722">
        <v>25.81</v>
      </c>
      <c r="T293" s="2723">
        <v>258100</v>
      </c>
      <c r="U293" s="2688">
        <v>4280</v>
      </c>
      <c r="V293" s="2724">
        <v>0.05</v>
      </c>
      <c r="W293" s="2722">
        <v>24.51</v>
      </c>
      <c r="X293" s="2725">
        <v>245100</v>
      </c>
      <c r="Y293" s="2745">
        <v>2005</v>
      </c>
      <c r="Z293" s="2745">
        <v>12</v>
      </c>
      <c r="AA293" s="2745">
        <v>8</v>
      </c>
      <c r="AB293" s="2688">
        <v>770</v>
      </c>
      <c r="AC293" s="2688" t="s">
        <v>1605</v>
      </c>
      <c r="AD293" s="2688"/>
      <c r="AE293" s="2747" t="s">
        <v>1639</v>
      </c>
      <c r="AF293" s="2691" t="s">
        <v>1068</v>
      </c>
      <c r="AG293" s="2747" t="s">
        <v>1069</v>
      </c>
      <c r="AH293" s="2688"/>
      <c r="AI293" s="2747" t="s">
        <v>2138</v>
      </c>
      <c r="AJ293" s="2753"/>
      <c r="AK293" s="2755" t="s">
        <v>1563</v>
      </c>
      <c r="AL293" s="2745">
        <v>67641700</v>
      </c>
      <c r="AM293" s="2745"/>
      <c r="AN293" s="2747" t="s">
        <v>1088</v>
      </c>
      <c r="AO293" s="2688"/>
      <c r="AP293" s="2747" t="s">
        <v>1515</v>
      </c>
      <c r="AQ293" s="2745" t="s">
        <v>1074</v>
      </c>
      <c r="AR293" s="2745"/>
      <c r="AS293" s="2745"/>
      <c r="AT293" s="2745"/>
      <c r="AU293" s="2745"/>
      <c r="AV293" s="2745"/>
      <c r="AW293" s="2745" t="s">
        <v>1075</v>
      </c>
      <c r="AX293" s="2745"/>
      <c r="AY293" s="2769"/>
      <c r="AZ293" s="2688" t="s">
        <v>3118</v>
      </c>
      <c r="BA293" s="2774"/>
      <c r="BB293" s="2775"/>
      <c r="BC293" s="2774"/>
      <c r="BD293" s="2776"/>
      <c r="BE293" s="2745"/>
      <c r="BF293" s="2788"/>
      <c r="BG293" s="2798">
        <v>38673</v>
      </c>
      <c r="BH293" s="2688" t="s">
        <v>1174</v>
      </c>
      <c r="BI293" s="2748" t="s">
        <v>1515</v>
      </c>
      <c r="BJ293" s="2789">
        <v>38677</v>
      </c>
      <c r="BK293" s="2789"/>
      <c r="BL293" s="2688" t="s">
        <v>1092</v>
      </c>
      <c r="BM293" s="2745" t="s">
        <v>888</v>
      </c>
      <c r="BN293" s="2745" t="s">
        <v>1077</v>
      </c>
      <c r="BO293" s="2745" t="s">
        <v>1128</v>
      </c>
      <c r="BP293" s="2745"/>
      <c r="BQ293" s="2745" t="e">
        <v>#DIV/0!</v>
      </c>
      <c r="BR293" s="2745" t="e">
        <v>#DIV/0!</v>
      </c>
    </row>
    <row r="294" s="2504" customFormat="1" ht="12" hidden="1" spans="1:74">
      <c r="A294" s="2688" t="s">
        <v>3119</v>
      </c>
      <c r="B294" s="2688" t="s">
        <v>3120</v>
      </c>
      <c r="C294" s="2689" t="s">
        <v>3121</v>
      </c>
      <c r="D294" s="2688">
        <v>13521878045</v>
      </c>
      <c r="E294" s="2688" t="s">
        <v>1060</v>
      </c>
      <c r="F294" s="2688" t="s">
        <v>2710</v>
      </c>
      <c r="G294" s="2688"/>
      <c r="H294" s="2688" t="s">
        <v>1296</v>
      </c>
      <c r="I294" s="2688"/>
      <c r="J294" s="2688" t="s">
        <v>3122</v>
      </c>
      <c r="K294" s="2691" t="s">
        <v>3120</v>
      </c>
      <c r="L294" s="2688">
        <v>81.32</v>
      </c>
      <c r="M294" s="2688">
        <v>4</v>
      </c>
      <c r="N294" s="2688" t="s">
        <v>1123</v>
      </c>
      <c r="O294" s="2688"/>
      <c r="P294" s="2688" t="s">
        <v>1065</v>
      </c>
      <c r="Q294" s="2688">
        <v>470000</v>
      </c>
      <c r="R294" s="2688">
        <v>5780</v>
      </c>
      <c r="S294" s="2722">
        <v>46.94</v>
      </c>
      <c r="T294" s="2723">
        <v>469400</v>
      </c>
      <c r="U294" s="2688">
        <v>5773</v>
      </c>
      <c r="V294" s="2727">
        <v>0.05</v>
      </c>
      <c r="W294" s="2722">
        <v>44.59</v>
      </c>
      <c r="X294" s="2725">
        <v>445900</v>
      </c>
      <c r="Y294" s="2688">
        <v>2005</v>
      </c>
      <c r="Z294" s="2688">
        <v>11</v>
      </c>
      <c r="AA294" s="2745">
        <v>30</v>
      </c>
      <c r="AB294" s="2688">
        <v>1405</v>
      </c>
      <c r="AC294" s="2688" t="s">
        <v>3123</v>
      </c>
      <c r="AD294" s="2688"/>
      <c r="AE294" s="2745" t="s">
        <v>1900</v>
      </c>
      <c r="AF294" s="2688" t="s">
        <v>1068</v>
      </c>
      <c r="AG294" s="2688" t="s">
        <v>1069</v>
      </c>
      <c r="AH294" s="2688"/>
      <c r="AI294" s="2688" t="s">
        <v>1342</v>
      </c>
      <c r="AJ294" s="2753"/>
      <c r="AK294" s="2688" t="s">
        <v>1136</v>
      </c>
      <c r="AL294" s="2688">
        <v>82253558</v>
      </c>
      <c r="AM294" s="2688"/>
      <c r="AN294" s="2688" t="s">
        <v>1182</v>
      </c>
      <c r="AO294" s="2688" t="s">
        <v>1114</v>
      </c>
      <c r="AP294" s="2688" t="s">
        <v>1208</v>
      </c>
      <c r="AQ294" s="2688" t="s">
        <v>1607</v>
      </c>
      <c r="AR294" s="2688"/>
      <c r="AS294" s="2688"/>
      <c r="AT294" s="2688"/>
      <c r="AU294" s="2688"/>
      <c r="AV294" s="2688"/>
      <c r="AW294" s="2688" t="s">
        <v>1075</v>
      </c>
      <c r="AX294" s="2688"/>
      <c r="AY294" s="2689"/>
      <c r="AZ294" s="2688" t="s">
        <v>3124</v>
      </c>
      <c r="BA294" s="2688"/>
      <c r="BB294" s="2688"/>
      <c r="BC294" s="2688"/>
      <c r="BD294" s="2688"/>
      <c r="BE294" s="2688">
        <v>13301369664</v>
      </c>
      <c r="BF294" s="2688"/>
      <c r="BG294" s="2792">
        <v>38676</v>
      </c>
      <c r="BH294" s="2688"/>
      <c r="BI294" s="2688" t="s">
        <v>2044</v>
      </c>
      <c r="BJ294" s="2789">
        <v>38684</v>
      </c>
      <c r="BK294" s="2789"/>
      <c r="BL294" s="2688" t="s">
        <v>1174</v>
      </c>
      <c r="BM294" s="2688" t="s">
        <v>888</v>
      </c>
      <c r="BN294" s="2688" t="s">
        <v>1148</v>
      </c>
      <c r="BO294" s="2688" t="s">
        <v>1331</v>
      </c>
      <c r="BP294" s="2688"/>
      <c r="BQ294" s="2745" t="e">
        <v>#DIV/0!</v>
      </c>
      <c r="BR294" s="2745" t="e">
        <v>#DIV/0!</v>
      </c>
      <c r="BV294" s="2505"/>
    </row>
    <row r="295" s="2504" customFormat="1" ht="12" hidden="1" spans="1:74">
      <c r="A295" s="2688" t="s">
        <v>3125</v>
      </c>
      <c r="B295" s="2688" t="s">
        <v>3126</v>
      </c>
      <c r="C295" s="2689" t="s">
        <v>3127</v>
      </c>
      <c r="D295" s="2688">
        <v>13801269243</v>
      </c>
      <c r="E295" s="2688" t="s">
        <v>1060</v>
      </c>
      <c r="F295" s="2688" t="s">
        <v>3128</v>
      </c>
      <c r="G295" s="2688"/>
      <c r="H295" s="2688" t="s">
        <v>1084</v>
      </c>
      <c r="I295" s="2688" t="s">
        <v>1392</v>
      </c>
      <c r="J295" s="2688" t="s">
        <v>1527</v>
      </c>
      <c r="K295" s="2691" t="s">
        <v>3126</v>
      </c>
      <c r="L295" s="2688">
        <v>132.57</v>
      </c>
      <c r="M295" s="2688">
        <v>2</v>
      </c>
      <c r="N295" s="2688" t="s">
        <v>1101</v>
      </c>
      <c r="O295" s="2688"/>
      <c r="P295" s="2688" t="s">
        <v>1065</v>
      </c>
      <c r="Q295" s="2688">
        <v>729000</v>
      </c>
      <c r="R295" s="2688">
        <v>5499</v>
      </c>
      <c r="S295" s="2722">
        <v>71.09</v>
      </c>
      <c r="T295" s="2723">
        <v>710900</v>
      </c>
      <c r="U295" s="2688">
        <v>5363</v>
      </c>
      <c r="V295" s="2727">
        <v>0.05</v>
      </c>
      <c r="W295" s="2722">
        <v>67.53</v>
      </c>
      <c r="X295" s="2725">
        <v>675300</v>
      </c>
      <c r="Y295" s="2688">
        <v>2005</v>
      </c>
      <c r="Z295" s="2688">
        <v>11</v>
      </c>
      <c r="AA295" s="2745">
        <v>30</v>
      </c>
      <c r="AB295" s="2688">
        <v>1500</v>
      </c>
      <c r="AC295" s="2688" t="s">
        <v>3123</v>
      </c>
      <c r="AD295" s="2688"/>
      <c r="AE295" s="2745" t="s">
        <v>1900</v>
      </c>
      <c r="AF295" s="2688" t="s">
        <v>1068</v>
      </c>
      <c r="AG295" s="2688" t="s">
        <v>1069</v>
      </c>
      <c r="AH295" s="2688"/>
      <c r="AI295" s="2688" t="s">
        <v>1342</v>
      </c>
      <c r="AJ295" s="2753"/>
      <c r="AK295" s="2688" t="s">
        <v>1563</v>
      </c>
      <c r="AL295" s="2688">
        <v>82253558</v>
      </c>
      <c r="AM295" s="2688"/>
      <c r="AN295" s="2688" t="s">
        <v>1087</v>
      </c>
      <c r="AO295" s="2688" t="s">
        <v>1114</v>
      </c>
      <c r="AP295" s="2688" t="s">
        <v>1208</v>
      </c>
      <c r="AQ295" s="2688" t="s">
        <v>1607</v>
      </c>
      <c r="AR295" s="2688"/>
      <c r="AS295" s="2688"/>
      <c r="AT295" s="2688"/>
      <c r="AU295" s="2688"/>
      <c r="AV295" s="2688"/>
      <c r="AW295" s="2688" t="s">
        <v>1075</v>
      </c>
      <c r="AX295" s="2688"/>
      <c r="AY295" s="2689"/>
      <c r="AZ295" s="2688" t="s">
        <v>3129</v>
      </c>
      <c r="BA295" s="2688"/>
      <c r="BB295" s="2688"/>
      <c r="BC295" s="2688"/>
      <c r="BD295" s="2688"/>
      <c r="BE295" s="2688">
        <v>13691291729</v>
      </c>
      <c r="BF295" s="2688"/>
      <c r="BG295" s="2792">
        <v>38671</v>
      </c>
      <c r="BH295" s="2688"/>
      <c r="BI295" s="2688" t="s">
        <v>2044</v>
      </c>
      <c r="BJ295" s="2789">
        <v>38673</v>
      </c>
      <c r="BK295" s="2789"/>
      <c r="BL295" s="2688" t="s">
        <v>1174</v>
      </c>
      <c r="BM295" s="2688" t="s">
        <v>888</v>
      </c>
      <c r="BN295" s="2688" t="s">
        <v>1148</v>
      </c>
      <c r="BO295" s="2688" t="s">
        <v>1331</v>
      </c>
      <c r="BP295" s="2688"/>
      <c r="BQ295" s="2745" t="e">
        <v>#DIV/0!</v>
      </c>
      <c r="BR295" s="2745" t="e">
        <v>#DIV/0!</v>
      </c>
      <c r="BV295" s="2505"/>
    </row>
    <row r="296" s="2510" customFormat="1" ht="12" hidden="1" spans="1:70">
      <c r="A296" s="2693" t="s">
        <v>3130</v>
      </c>
      <c r="B296" s="2693" t="s">
        <v>3131</v>
      </c>
      <c r="C296" s="2694" t="s">
        <v>3132</v>
      </c>
      <c r="D296" s="2694" t="s">
        <v>3133</v>
      </c>
      <c r="E296" s="2710" t="s">
        <v>1060</v>
      </c>
      <c r="F296" s="2710" t="s">
        <v>3134</v>
      </c>
      <c r="G296" s="2693"/>
      <c r="H296" s="2710" t="s">
        <v>1062</v>
      </c>
      <c r="I296" s="2710"/>
      <c r="J296" s="2693" t="s">
        <v>1275</v>
      </c>
      <c r="K296" s="2693" t="s">
        <v>3131</v>
      </c>
      <c r="L296" s="2693">
        <v>106</v>
      </c>
      <c r="M296" s="2693">
        <v>1</v>
      </c>
      <c r="N296" s="2693" t="s">
        <v>1123</v>
      </c>
      <c r="O296" s="2693"/>
      <c r="P296" s="2693" t="s">
        <v>1065</v>
      </c>
      <c r="Q296" s="2728">
        <v>660000</v>
      </c>
      <c r="R296" s="2693">
        <v>6226</v>
      </c>
      <c r="S296" s="2730">
        <v>59.36</v>
      </c>
      <c r="T296" s="2731">
        <v>593600</v>
      </c>
      <c r="U296" s="2693">
        <v>5600</v>
      </c>
      <c r="V296" s="2732">
        <v>0.05</v>
      </c>
      <c r="W296" s="2730">
        <v>56.39</v>
      </c>
      <c r="X296" s="2733">
        <v>563900</v>
      </c>
      <c r="Y296" s="2706">
        <v>2005</v>
      </c>
      <c r="Z296" s="2706">
        <v>12</v>
      </c>
      <c r="AA296" s="2706">
        <v>6</v>
      </c>
      <c r="AB296" s="2693">
        <v>1500</v>
      </c>
      <c r="AC296" s="2693" t="s">
        <v>1605</v>
      </c>
      <c r="AD296" s="2693"/>
      <c r="AE296" s="2757" t="s">
        <v>1342</v>
      </c>
      <c r="AF296" s="2710" t="s">
        <v>1068</v>
      </c>
      <c r="AG296" s="2757" t="s">
        <v>1069</v>
      </c>
      <c r="AH296" s="2693"/>
      <c r="AI296" s="2757" t="s">
        <v>2138</v>
      </c>
      <c r="AJ296" s="2758"/>
      <c r="AK296" s="2759" t="s">
        <v>1563</v>
      </c>
      <c r="AL296" s="2706">
        <v>67641700</v>
      </c>
      <c r="AM296" s="2706"/>
      <c r="AN296" s="2757" t="s">
        <v>1088</v>
      </c>
      <c r="AO296" s="2706"/>
      <c r="AP296" s="2757" t="s">
        <v>1515</v>
      </c>
      <c r="AQ296" s="2706" t="s">
        <v>1074</v>
      </c>
      <c r="AR296" s="2706"/>
      <c r="AS296" s="2706"/>
      <c r="AT296" s="2706"/>
      <c r="AU296" s="2706"/>
      <c r="AV296" s="2706"/>
      <c r="AW296" s="2706" t="s">
        <v>1343</v>
      </c>
      <c r="AX296" s="2706"/>
      <c r="AY296" s="2772"/>
      <c r="AZ296" s="2693" t="s">
        <v>3135</v>
      </c>
      <c r="BA296" s="2897"/>
      <c r="BB296" s="2898"/>
      <c r="BC296" s="2897"/>
      <c r="BD296" s="2899"/>
      <c r="BE296" s="2706"/>
      <c r="BF296" s="2795"/>
      <c r="BG296" s="2902">
        <v>38684</v>
      </c>
      <c r="BH296" s="2693" t="s">
        <v>1174</v>
      </c>
      <c r="BI296" s="2892" t="s">
        <v>1515</v>
      </c>
      <c r="BJ296" s="2797">
        <v>38684</v>
      </c>
      <c r="BK296" s="2797"/>
      <c r="BL296" s="2693" t="s">
        <v>1092</v>
      </c>
      <c r="BM296" s="2706" t="s">
        <v>888</v>
      </c>
      <c r="BN296" s="2706" t="s">
        <v>1077</v>
      </c>
      <c r="BO296" s="2706" t="s">
        <v>1331</v>
      </c>
      <c r="BP296" s="2706"/>
      <c r="BQ296" s="2706" t="e">
        <v>#DIV/0!</v>
      </c>
      <c r="BR296" s="2706" t="e">
        <v>#DIV/0!</v>
      </c>
    </row>
    <row r="297" s="2504" customFormat="1" ht="12" hidden="1" spans="1:70">
      <c r="A297" s="2688" t="s">
        <v>3136</v>
      </c>
      <c r="B297" s="2688" t="s">
        <v>3137</v>
      </c>
      <c r="C297" s="2689" t="s">
        <v>3138</v>
      </c>
      <c r="D297" s="2689" t="s">
        <v>3139</v>
      </c>
      <c r="E297" s="2691" t="s">
        <v>1060</v>
      </c>
      <c r="F297" s="2691" t="s">
        <v>3140</v>
      </c>
      <c r="G297" s="2688"/>
      <c r="H297" s="2691" t="s">
        <v>1421</v>
      </c>
      <c r="I297" s="2691" t="s">
        <v>1638</v>
      </c>
      <c r="J297" s="2688" t="s">
        <v>1166</v>
      </c>
      <c r="K297" s="2688" t="s">
        <v>3137</v>
      </c>
      <c r="L297" s="2688">
        <v>72.7</v>
      </c>
      <c r="M297" s="2688">
        <v>3</v>
      </c>
      <c r="N297" s="2688" t="s">
        <v>1064</v>
      </c>
      <c r="O297" s="2688" t="s">
        <v>1114</v>
      </c>
      <c r="P297" s="2688" t="s">
        <v>1065</v>
      </c>
      <c r="Q297" s="2712">
        <v>300000</v>
      </c>
      <c r="R297" s="2688">
        <v>4127</v>
      </c>
      <c r="S297" s="2722">
        <v>27.62</v>
      </c>
      <c r="T297" s="2723">
        <v>276200</v>
      </c>
      <c r="U297" s="2688">
        <v>3800</v>
      </c>
      <c r="V297" s="2724">
        <v>0.05</v>
      </c>
      <c r="W297" s="2722">
        <v>26.23</v>
      </c>
      <c r="X297" s="2725">
        <v>262300</v>
      </c>
      <c r="Y297" s="2745">
        <v>2005</v>
      </c>
      <c r="Z297" s="2745">
        <v>12</v>
      </c>
      <c r="AA297" s="2745">
        <v>26</v>
      </c>
      <c r="AB297" s="2688">
        <v>825</v>
      </c>
      <c r="AC297" s="2688" t="s">
        <v>1605</v>
      </c>
      <c r="AD297" s="2688"/>
      <c r="AE297" s="2747" t="s">
        <v>1067</v>
      </c>
      <c r="AF297" s="2691" t="s">
        <v>1068</v>
      </c>
      <c r="AG297" s="2747" t="s">
        <v>1069</v>
      </c>
      <c r="AH297" s="2688"/>
      <c r="AI297" s="2747" t="s">
        <v>2138</v>
      </c>
      <c r="AJ297" s="2753"/>
      <c r="AK297" s="2755" t="s">
        <v>1563</v>
      </c>
      <c r="AL297" s="2745">
        <v>67641700</v>
      </c>
      <c r="AM297" s="2745"/>
      <c r="AN297" s="2747" t="s">
        <v>1071</v>
      </c>
      <c r="AO297" s="2745"/>
      <c r="AP297" s="2747" t="s">
        <v>1515</v>
      </c>
      <c r="AQ297" s="2745" t="s">
        <v>1607</v>
      </c>
      <c r="AR297" s="2745"/>
      <c r="AS297" s="2745"/>
      <c r="AT297" s="2745"/>
      <c r="AU297" s="2745"/>
      <c r="AV297" s="2745"/>
      <c r="AW297" s="2745" t="s">
        <v>1343</v>
      </c>
      <c r="AX297" s="2745"/>
      <c r="AY297" s="2769"/>
      <c r="AZ297" s="2688" t="s">
        <v>3141</v>
      </c>
      <c r="BA297" s="2774"/>
      <c r="BB297" s="2775"/>
      <c r="BC297" s="2774"/>
      <c r="BD297" s="2776"/>
      <c r="BE297" s="2745"/>
      <c r="BF297" s="2788"/>
      <c r="BG297" s="2798">
        <v>38680</v>
      </c>
      <c r="BH297" s="2688" t="s">
        <v>1174</v>
      </c>
      <c r="BI297" s="2748" t="s">
        <v>1515</v>
      </c>
      <c r="BJ297" s="2789">
        <v>38686</v>
      </c>
      <c r="BK297" s="2789"/>
      <c r="BL297" s="2688" t="s">
        <v>1092</v>
      </c>
      <c r="BM297" s="2745" t="s">
        <v>888</v>
      </c>
      <c r="BN297" s="2745" t="s">
        <v>1077</v>
      </c>
      <c r="BO297" s="2745" t="s">
        <v>1721</v>
      </c>
      <c r="BP297" s="2745"/>
      <c r="BQ297" s="2745" t="e">
        <v>#VALUE!</v>
      </c>
      <c r="BR297" s="2745" t="e">
        <v>#VALUE!</v>
      </c>
    </row>
    <row r="298" s="2506" customFormat="1" ht="12" hidden="1" spans="1:73">
      <c r="A298" s="2684" t="s">
        <v>3142</v>
      </c>
      <c r="B298" s="2685" t="s">
        <v>3143</v>
      </c>
      <c r="C298" s="2686" t="s">
        <v>3144</v>
      </c>
      <c r="D298" s="2686" t="s">
        <v>3145</v>
      </c>
      <c r="E298" s="2685" t="s">
        <v>1060</v>
      </c>
      <c r="F298" s="2687" t="s">
        <v>3146</v>
      </c>
      <c r="G298" s="2685"/>
      <c r="H298" s="2685" t="s">
        <v>1688</v>
      </c>
      <c r="I298" s="2685" t="s">
        <v>1099</v>
      </c>
      <c r="J298" s="2686" t="s">
        <v>1166</v>
      </c>
      <c r="K298" s="2685" t="s">
        <v>3143</v>
      </c>
      <c r="L298" s="2685">
        <v>149.29</v>
      </c>
      <c r="M298" s="2685">
        <v>3</v>
      </c>
      <c r="N298" s="2685" t="s">
        <v>1299</v>
      </c>
      <c r="O298" s="2685">
        <v>131.68</v>
      </c>
      <c r="P298" s="2685" t="s">
        <v>1065</v>
      </c>
      <c r="Q298" s="2716">
        <v>800000</v>
      </c>
      <c r="R298" s="2685">
        <v>5359</v>
      </c>
      <c r="S298" s="2717">
        <v>72.85</v>
      </c>
      <c r="T298" s="2718">
        <v>728500</v>
      </c>
      <c r="U298" s="2685">
        <v>4880</v>
      </c>
      <c r="V298" s="2719">
        <v>0.05</v>
      </c>
      <c r="W298" s="2717">
        <v>69.2</v>
      </c>
      <c r="X298" s="2720">
        <v>692000</v>
      </c>
      <c r="Y298" s="2744">
        <v>2005</v>
      </c>
      <c r="Z298" s="2744">
        <v>12</v>
      </c>
      <c r="AA298" s="2744">
        <v>7</v>
      </c>
      <c r="AB298" s="2685">
        <v>1500</v>
      </c>
      <c r="AC298" s="2685" t="s">
        <v>1605</v>
      </c>
      <c r="AD298" s="2685"/>
      <c r="AE298" s="2685" t="s">
        <v>1067</v>
      </c>
      <c r="AF298" s="2685" t="s">
        <v>1068</v>
      </c>
      <c r="AG298" s="2685" t="s">
        <v>1069</v>
      </c>
      <c r="AH298" s="2685"/>
      <c r="AI298" s="2685"/>
      <c r="AJ298" s="2751"/>
      <c r="AK298" s="2756" t="s">
        <v>1563</v>
      </c>
      <c r="AL298" s="2744"/>
      <c r="AM298" s="2744"/>
      <c r="AN298" s="2744" t="s">
        <v>1088</v>
      </c>
      <c r="AO298" s="2744"/>
      <c r="AP298" s="2744"/>
      <c r="AQ298" s="2685" t="s">
        <v>1074</v>
      </c>
      <c r="AR298" s="2744"/>
      <c r="AS298" s="2744"/>
      <c r="AT298" s="2744"/>
      <c r="AU298" s="2744"/>
      <c r="AV298" s="2744"/>
      <c r="AW298" s="2685" t="s">
        <v>1343</v>
      </c>
      <c r="AX298" s="2744"/>
      <c r="AY298" s="2767"/>
      <c r="AZ298" s="2685" t="s">
        <v>3147</v>
      </c>
      <c r="BA298" s="2744"/>
      <c r="BB298" s="2767"/>
      <c r="BC298" s="2744"/>
      <c r="BD298" s="2768"/>
      <c r="BE298" s="2744"/>
      <c r="BF298" s="2784"/>
      <c r="BG298" s="2785">
        <v>38676</v>
      </c>
      <c r="BH298" s="2744"/>
      <c r="BI298" s="2744" t="s">
        <v>1342</v>
      </c>
      <c r="BJ298" s="2787">
        <v>38688</v>
      </c>
      <c r="BK298" s="2787"/>
      <c r="BL298" s="2685" t="s">
        <v>1174</v>
      </c>
      <c r="BM298" s="2744" t="s">
        <v>888</v>
      </c>
      <c r="BN298" s="2744" t="s">
        <v>1077</v>
      </c>
      <c r="BO298" s="2744" t="s">
        <v>1721</v>
      </c>
      <c r="BP298" s="2744"/>
      <c r="BQ298" s="2744">
        <v>5532</v>
      </c>
      <c r="BR298" s="2744">
        <v>6075</v>
      </c>
      <c r="BS298" s="2504"/>
      <c r="BT298" s="2504"/>
      <c r="BU298" s="2504"/>
    </row>
    <row r="299" s="2510" customFormat="1" ht="12" hidden="1" spans="1:70">
      <c r="A299" s="2693" t="s">
        <v>3148</v>
      </c>
      <c r="B299" s="2693" t="s">
        <v>3149</v>
      </c>
      <c r="C299" s="2694" t="s">
        <v>3150</v>
      </c>
      <c r="D299" s="2693">
        <v>13718177970</v>
      </c>
      <c r="E299" s="2693" t="s">
        <v>1060</v>
      </c>
      <c r="F299" s="2693" t="s">
        <v>3151</v>
      </c>
      <c r="G299" s="2693"/>
      <c r="H299" s="2693" t="s">
        <v>1248</v>
      </c>
      <c r="I299" s="2693"/>
      <c r="J299" s="2693" t="s">
        <v>3152</v>
      </c>
      <c r="K299" s="2710" t="s">
        <v>3153</v>
      </c>
      <c r="L299" s="2693">
        <v>83.02</v>
      </c>
      <c r="M299" s="2693">
        <v>4</v>
      </c>
      <c r="N299" s="2693" t="s">
        <v>1123</v>
      </c>
      <c r="O299" s="2693"/>
      <c r="P299" s="2693" t="s">
        <v>1065</v>
      </c>
      <c r="Q299" s="2693">
        <v>400000</v>
      </c>
      <c r="R299" s="2693">
        <v>4818</v>
      </c>
      <c r="S299" s="2730">
        <v>40.58</v>
      </c>
      <c r="T299" s="2731">
        <v>405800</v>
      </c>
      <c r="U299" s="2693">
        <v>4888</v>
      </c>
      <c r="V299" s="2859">
        <v>0.05</v>
      </c>
      <c r="W299" s="2730">
        <v>38.55</v>
      </c>
      <c r="X299" s="2733">
        <v>385500</v>
      </c>
      <c r="Y299" s="2693">
        <v>2005</v>
      </c>
      <c r="Z299" s="2693">
        <v>12</v>
      </c>
      <c r="AA299" s="2706">
        <v>9</v>
      </c>
      <c r="AB299" s="2693">
        <v>1215</v>
      </c>
      <c r="AC299" s="2693" t="s">
        <v>1605</v>
      </c>
      <c r="AD299" s="2693"/>
      <c r="AE299" s="2693" t="s">
        <v>1067</v>
      </c>
      <c r="AF299" s="2693" t="s">
        <v>1068</v>
      </c>
      <c r="AG299" s="2693" t="s">
        <v>1069</v>
      </c>
      <c r="AH299" s="2693"/>
      <c r="AI299" s="2693" t="s">
        <v>1342</v>
      </c>
      <c r="AJ299" s="2758"/>
      <c r="AK299" s="2693" t="s">
        <v>1563</v>
      </c>
      <c r="AL299" s="2693">
        <v>82253558</v>
      </c>
      <c r="AM299" s="2693"/>
      <c r="AN299" s="2693" t="s">
        <v>1088</v>
      </c>
      <c r="AO299" s="2693" t="s">
        <v>1114</v>
      </c>
      <c r="AP299" s="2693" t="s">
        <v>1067</v>
      </c>
      <c r="AQ299" s="2693" t="s">
        <v>1074</v>
      </c>
      <c r="AR299" s="2693"/>
      <c r="AS299" s="2693"/>
      <c r="AT299" s="2693"/>
      <c r="AU299" s="2693"/>
      <c r="AV299" s="2693"/>
      <c r="AW299" s="2693" t="s">
        <v>1075</v>
      </c>
      <c r="AX299" s="2693"/>
      <c r="AY299" s="2694"/>
      <c r="AZ299" s="2693" t="s">
        <v>3153</v>
      </c>
      <c r="BA299" s="2693"/>
      <c r="BB299" s="2693"/>
      <c r="BC299" s="2693"/>
      <c r="BD299" s="2693"/>
      <c r="BE299" s="2693">
        <v>68285816</v>
      </c>
      <c r="BF299" s="2693"/>
      <c r="BG299" s="2893">
        <v>38520</v>
      </c>
      <c r="BH299" s="2693"/>
      <c r="BI299" s="2693" t="s">
        <v>2044</v>
      </c>
      <c r="BJ299" s="2797">
        <v>38692</v>
      </c>
      <c r="BK299" s="2797"/>
      <c r="BL299" s="2693" t="s">
        <v>1174</v>
      </c>
      <c r="BM299" s="2693" t="s">
        <v>888</v>
      </c>
      <c r="BN299" s="2693" t="s">
        <v>1077</v>
      </c>
      <c r="BO299" s="2693" t="s">
        <v>1331</v>
      </c>
      <c r="BP299" s="2693"/>
      <c r="BQ299" s="2706" t="e">
        <v>#DIV/0!</v>
      </c>
      <c r="BR299" s="2706" t="e">
        <v>#DIV/0!</v>
      </c>
    </row>
    <row r="300" s="2508" customFormat="1" ht="12" hidden="1" spans="1:73">
      <c r="A300" s="2685" t="s">
        <v>3154</v>
      </c>
      <c r="B300" s="2685" t="s">
        <v>3155</v>
      </c>
      <c r="C300" s="2686" t="s">
        <v>3156</v>
      </c>
      <c r="D300" s="2686" t="s">
        <v>3157</v>
      </c>
      <c r="E300" s="2684" t="s">
        <v>1060</v>
      </c>
      <c r="F300" s="2684" t="s">
        <v>3158</v>
      </c>
      <c r="G300" s="2685"/>
      <c r="H300" s="2684" t="s">
        <v>2114</v>
      </c>
      <c r="I300" s="2684" t="s">
        <v>1585</v>
      </c>
      <c r="J300" s="2685" t="s">
        <v>1365</v>
      </c>
      <c r="K300" s="2685" t="s">
        <v>3155</v>
      </c>
      <c r="L300" s="2685">
        <v>110.44</v>
      </c>
      <c r="M300" s="2685">
        <v>6</v>
      </c>
      <c r="N300" s="2685" t="s">
        <v>1123</v>
      </c>
      <c r="O300" s="2685">
        <v>99.28</v>
      </c>
      <c r="P300" s="2685" t="s">
        <v>1065</v>
      </c>
      <c r="Q300" s="2716">
        <v>680000</v>
      </c>
      <c r="R300" s="2688">
        <v>6157</v>
      </c>
      <c r="S300" s="2722">
        <v>65.36</v>
      </c>
      <c r="T300" s="2723">
        <v>653600</v>
      </c>
      <c r="U300" s="2685">
        <v>5919</v>
      </c>
      <c r="V300" s="2719">
        <v>0.05</v>
      </c>
      <c r="W300" s="2722">
        <v>62.09</v>
      </c>
      <c r="X300" s="2725">
        <v>620900</v>
      </c>
      <c r="Y300" s="2744">
        <v>2005</v>
      </c>
      <c r="Z300" s="2744">
        <v>12</v>
      </c>
      <c r="AA300" s="2744">
        <v>15</v>
      </c>
      <c r="AB300" s="2685">
        <v>1500</v>
      </c>
      <c r="AC300" s="2685" t="s">
        <v>1605</v>
      </c>
      <c r="AD300" s="2685"/>
      <c r="AE300" s="2749" t="s">
        <v>1070</v>
      </c>
      <c r="AF300" s="2684" t="s">
        <v>1068</v>
      </c>
      <c r="AG300" s="2749" t="s">
        <v>1069</v>
      </c>
      <c r="AH300" s="2685"/>
      <c r="AI300" s="2749" t="s">
        <v>2138</v>
      </c>
      <c r="AJ300" s="2751"/>
      <c r="AK300" s="2752" t="s">
        <v>1563</v>
      </c>
      <c r="AL300" s="2744">
        <v>67641700</v>
      </c>
      <c r="AM300" s="2744"/>
      <c r="AN300" s="2749" t="s">
        <v>1072</v>
      </c>
      <c r="AO300" s="2744"/>
      <c r="AP300" s="2749" t="s">
        <v>1515</v>
      </c>
      <c r="AQ300" s="2744" t="s">
        <v>1607</v>
      </c>
      <c r="AR300" s="2744"/>
      <c r="AS300" s="2744"/>
      <c r="AT300" s="2744"/>
      <c r="AU300" s="2744"/>
      <c r="AV300" s="2744"/>
      <c r="AW300" s="2744" t="s">
        <v>1075</v>
      </c>
      <c r="AX300" s="2744"/>
      <c r="AY300" s="2767"/>
      <c r="AZ300" s="2685" t="s">
        <v>3159</v>
      </c>
      <c r="BA300" s="2777"/>
      <c r="BB300" s="2778"/>
      <c r="BC300" s="2777"/>
      <c r="BD300" s="2779"/>
      <c r="BE300" s="2744">
        <v>13701078535</v>
      </c>
      <c r="BF300" s="2784"/>
      <c r="BG300" s="2801">
        <v>38653</v>
      </c>
      <c r="BH300" s="2685" t="s">
        <v>1174</v>
      </c>
      <c r="BI300" s="2786" t="s">
        <v>1515</v>
      </c>
      <c r="BJ300" s="2787">
        <v>38692</v>
      </c>
      <c r="BK300" s="2787"/>
      <c r="BL300" s="2685" t="s">
        <v>1092</v>
      </c>
      <c r="BM300" s="2744" t="s">
        <v>888</v>
      </c>
      <c r="BN300" s="2744" t="s">
        <v>1077</v>
      </c>
      <c r="BO300" s="2744" t="s">
        <v>1128</v>
      </c>
      <c r="BP300" s="2744"/>
      <c r="BQ300" s="2744">
        <v>6583</v>
      </c>
      <c r="BR300" s="2745">
        <v>6849</v>
      </c>
      <c r="BS300" s="2504"/>
      <c r="BT300" s="2504"/>
      <c r="BU300" s="2504"/>
    </row>
    <row r="301" s="2506" customFormat="1" ht="12" hidden="1" spans="1:73">
      <c r="A301" s="2685" t="s">
        <v>3160</v>
      </c>
      <c r="B301" s="2685" t="s">
        <v>3161</v>
      </c>
      <c r="C301" s="2686" t="s">
        <v>3162</v>
      </c>
      <c r="D301" s="2686" t="s">
        <v>3163</v>
      </c>
      <c r="E301" s="2685" t="s">
        <v>1060</v>
      </c>
      <c r="F301" s="2685" t="s">
        <v>1630</v>
      </c>
      <c r="G301" s="2685"/>
      <c r="H301" s="2685" t="s">
        <v>2114</v>
      </c>
      <c r="I301" s="2685" t="s">
        <v>1364</v>
      </c>
      <c r="J301" s="2686" t="s">
        <v>3164</v>
      </c>
      <c r="K301" s="2685" t="s">
        <v>3165</v>
      </c>
      <c r="L301" s="2685">
        <v>151.5</v>
      </c>
      <c r="M301" s="2685">
        <v>6</v>
      </c>
      <c r="N301" s="2685" t="s">
        <v>3166</v>
      </c>
      <c r="O301" s="2685"/>
      <c r="P301" s="2685" t="s">
        <v>1065</v>
      </c>
      <c r="Q301" s="2716">
        <v>795000</v>
      </c>
      <c r="R301" s="2688">
        <v>5248</v>
      </c>
      <c r="S301" s="2722">
        <v>74.2</v>
      </c>
      <c r="T301" s="2723">
        <v>742000</v>
      </c>
      <c r="U301" s="2685">
        <v>4898</v>
      </c>
      <c r="V301" s="2719">
        <v>0.05</v>
      </c>
      <c r="W301" s="2722">
        <v>70.49</v>
      </c>
      <c r="X301" s="2725">
        <v>704900</v>
      </c>
      <c r="Y301" s="2685">
        <v>2005</v>
      </c>
      <c r="Z301" s="2685">
        <v>12</v>
      </c>
      <c r="AA301" s="2744">
        <v>19</v>
      </c>
      <c r="AB301" s="2685">
        <v>1500</v>
      </c>
      <c r="AC301" s="2685" t="s">
        <v>1605</v>
      </c>
      <c r="AD301" s="2685"/>
      <c r="AE301" s="2685" t="s">
        <v>179</v>
      </c>
      <c r="AF301" s="2685" t="s">
        <v>1068</v>
      </c>
      <c r="AG301" s="2685" t="s">
        <v>1069</v>
      </c>
      <c r="AH301" s="2685"/>
      <c r="AI301" s="2685" t="s">
        <v>2138</v>
      </c>
      <c r="AJ301" s="2751"/>
      <c r="AK301" s="2752" t="s">
        <v>1563</v>
      </c>
      <c r="AL301" s="2685">
        <v>67641700</v>
      </c>
      <c r="AM301" s="2744"/>
      <c r="AN301" s="2744" t="s">
        <v>1182</v>
      </c>
      <c r="AO301" s="2744"/>
      <c r="AP301" s="2744" t="s">
        <v>1073</v>
      </c>
      <c r="AQ301" s="2685" t="s">
        <v>3167</v>
      </c>
      <c r="AR301" s="2744"/>
      <c r="AS301" s="2744"/>
      <c r="AT301" s="2744"/>
      <c r="AU301" s="2744"/>
      <c r="AV301" s="2744"/>
      <c r="AW301" s="2685" t="s">
        <v>1343</v>
      </c>
      <c r="AX301" s="2744"/>
      <c r="AY301" s="2767"/>
      <c r="AZ301" s="2744" t="s">
        <v>3165</v>
      </c>
      <c r="BA301" s="2744"/>
      <c r="BB301" s="2767"/>
      <c r="BC301" s="2744"/>
      <c r="BD301" s="2768"/>
      <c r="BE301" s="2744"/>
      <c r="BF301" s="2784"/>
      <c r="BG301" s="2751">
        <v>38695</v>
      </c>
      <c r="BH301" s="2744"/>
      <c r="BI301" s="2744" t="s">
        <v>1900</v>
      </c>
      <c r="BJ301" s="2802">
        <v>38698</v>
      </c>
      <c r="BK301" s="2787"/>
      <c r="BL301" s="2685" t="s">
        <v>1174</v>
      </c>
      <c r="BM301" s="2685" t="s">
        <v>888</v>
      </c>
      <c r="BN301" s="2744" t="s">
        <v>1148</v>
      </c>
      <c r="BO301" s="2685" t="s">
        <v>1128</v>
      </c>
      <c r="BP301" s="2744"/>
      <c r="BQ301" s="2744" t="e">
        <v>#DIV/0!</v>
      </c>
      <c r="BR301" s="2745" t="e">
        <v>#DIV/0!</v>
      </c>
      <c r="BS301" s="2504"/>
      <c r="BT301" s="2504"/>
      <c r="BU301" s="2504"/>
    </row>
    <row r="302" s="2506" customFormat="1" ht="12" hidden="1" spans="1:73">
      <c r="A302" s="2685" t="s">
        <v>3168</v>
      </c>
      <c r="B302" s="2685" t="s">
        <v>3169</v>
      </c>
      <c r="C302" s="2686" t="s">
        <v>3170</v>
      </c>
      <c r="D302" s="2686" t="s">
        <v>3171</v>
      </c>
      <c r="E302" s="2685" t="s">
        <v>1060</v>
      </c>
      <c r="F302" s="2685" t="s">
        <v>2041</v>
      </c>
      <c r="G302" s="2685"/>
      <c r="H302" s="2685" t="s">
        <v>1121</v>
      </c>
      <c r="I302" s="2685" t="s">
        <v>3172</v>
      </c>
      <c r="J302" s="2686" t="s">
        <v>3173</v>
      </c>
      <c r="K302" s="2685" t="s">
        <v>3174</v>
      </c>
      <c r="L302" s="2685">
        <v>118.61</v>
      </c>
      <c r="M302" s="2685">
        <v>6</v>
      </c>
      <c r="N302" s="2685" t="s">
        <v>1299</v>
      </c>
      <c r="O302" s="2685"/>
      <c r="P302" s="2685" t="s">
        <v>1065</v>
      </c>
      <c r="Q302" s="2716">
        <v>600000</v>
      </c>
      <c r="R302" s="2688">
        <v>5059</v>
      </c>
      <c r="S302" s="2722">
        <v>46.25</v>
      </c>
      <c r="T302" s="2723">
        <v>462500</v>
      </c>
      <c r="U302" s="2685">
        <v>3900</v>
      </c>
      <c r="V302" s="2719">
        <v>0.05</v>
      </c>
      <c r="W302" s="2722">
        <v>43.93</v>
      </c>
      <c r="X302" s="2725">
        <v>439300</v>
      </c>
      <c r="Y302" s="2685">
        <v>2005</v>
      </c>
      <c r="Z302" s="2685">
        <v>12</v>
      </c>
      <c r="AA302" s="2744">
        <v>19</v>
      </c>
      <c r="AB302" s="2688">
        <v>1385</v>
      </c>
      <c r="AC302" s="2685" t="s">
        <v>1605</v>
      </c>
      <c r="AD302" s="2685"/>
      <c r="AE302" s="2685" t="s">
        <v>179</v>
      </c>
      <c r="AF302" s="2685" t="s">
        <v>1068</v>
      </c>
      <c r="AG302" s="2685" t="s">
        <v>3175</v>
      </c>
      <c r="AH302" s="2685"/>
      <c r="AI302" s="2685" t="s">
        <v>2138</v>
      </c>
      <c r="AJ302" s="2751"/>
      <c r="AK302" s="2752" t="s">
        <v>1563</v>
      </c>
      <c r="AL302" s="2685">
        <v>67641700</v>
      </c>
      <c r="AM302" s="2744"/>
      <c r="AN302" s="2744" t="s">
        <v>1182</v>
      </c>
      <c r="AO302" s="2744"/>
      <c r="AP302" s="2744" t="s">
        <v>1073</v>
      </c>
      <c r="AQ302" s="2745" t="s">
        <v>1089</v>
      </c>
      <c r="AR302" s="2744">
        <v>2005</v>
      </c>
      <c r="AS302" s="2744">
        <v>12</v>
      </c>
      <c r="AT302" s="2744">
        <v>29</v>
      </c>
      <c r="AU302" s="2744"/>
      <c r="AV302" s="2744"/>
      <c r="AW302" s="2685" t="s">
        <v>1343</v>
      </c>
      <c r="AX302" s="2744"/>
      <c r="AY302" s="2767"/>
      <c r="AZ302" s="2744" t="s">
        <v>3174</v>
      </c>
      <c r="BA302" s="2744"/>
      <c r="BB302" s="2767"/>
      <c r="BC302" s="2744"/>
      <c r="BD302" s="2768"/>
      <c r="BE302" s="2744" t="s">
        <v>3176</v>
      </c>
      <c r="BF302" s="2784"/>
      <c r="BG302" s="2751">
        <v>38681</v>
      </c>
      <c r="BH302" s="2744"/>
      <c r="BI302" s="2744" t="s">
        <v>1900</v>
      </c>
      <c r="BJ302" s="2802">
        <v>38699</v>
      </c>
      <c r="BK302" s="2787"/>
      <c r="BL302" s="2685" t="s">
        <v>1174</v>
      </c>
      <c r="BM302" s="2685" t="s">
        <v>888</v>
      </c>
      <c r="BN302" s="2744" t="s">
        <v>1148</v>
      </c>
      <c r="BO302" s="2685" t="s">
        <v>1128</v>
      </c>
      <c r="BP302" s="2744"/>
      <c r="BQ302" s="2745" t="e">
        <v>#DIV/0!</v>
      </c>
      <c r="BR302" s="2745" t="e">
        <v>#DIV/0!</v>
      </c>
      <c r="BS302" s="2504"/>
      <c r="BT302" s="2504"/>
      <c r="BU302" s="2504"/>
    </row>
    <row r="303" s="2504" customFormat="1" ht="12" hidden="1" spans="1:70">
      <c r="A303" s="2688" t="s">
        <v>3177</v>
      </c>
      <c r="B303" s="2688" t="s">
        <v>3178</v>
      </c>
      <c r="C303" s="2689" t="s">
        <v>3179</v>
      </c>
      <c r="D303" s="2689" t="s">
        <v>3180</v>
      </c>
      <c r="E303" s="2691" t="s">
        <v>1060</v>
      </c>
      <c r="F303" s="2691" t="s">
        <v>3181</v>
      </c>
      <c r="G303" s="2688"/>
      <c r="H303" s="2691" t="s">
        <v>1180</v>
      </c>
      <c r="I303" s="2691" t="s">
        <v>1196</v>
      </c>
      <c r="J303" s="2688" t="s">
        <v>1562</v>
      </c>
      <c r="K303" s="2685" t="s">
        <v>3178</v>
      </c>
      <c r="L303" s="2688">
        <v>71.3</v>
      </c>
      <c r="M303" s="2688">
        <v>2</v>
      </c>
      <c r="N303" s="2688" t="s">
        <v>1123</v>
      </c>
      <c r="O303" s="2688"/>
      <c r="P303" s="2688" t="s">
        <v>1065</v>
      </c>
      <c r="Q303" s="2712">
        <v>525000</v>
      </c>
      <c r="R303" s="2688">
        <v>7363</v>
      </c>
      <c r="S303" s="2722">
        <v>42.2</v>
      </c>
      <c r="T303" s="2723">
        <v>422000</v>
      </c>
      <c r="U303" s="2688">
        <v>5920</v>
      </c>
      <c r="V303" s="2724">
        <v>0.05</v>
      </c>
      <c r="W303" s="2722">
        <v>40.09</v>
      </c>
      <c r="X303" s="2725">
        <v>400900</v>
      </c>
      <c r="Y303" s="2745">
        <v>2005</v>
      </c>
      <c r="Z303" s="2745">
        <v>12</v>
      </c>
      <c r="AA303" s="2745">
        <v>22</v>
      </c>
      <c r="AB303" s="2688">
        <v>1265</v>
      </c>
      <c r="AC303" s="2688" t="s">
        <v>1605</v>
      </c>
      <c r="AD303" s="2688"/>
      <c r="AE303" s="2747" t="s">
        <v>175</v>
      </c>
      <c r="AF303" s="2691" t="s">
        <v>1068</v>
      </c>
      <c r="AG303" s="2747" t="s">
        <v>1069</v>
      </c>
      <c r="AH303" s="2688"/>
      <c r="AI303" s="2747" t="s">
        <v>2138</v>
      </c>
      <c r="AJ303" s="2753"/>
      <c r="AK303" s="2755" t="s">
        <v>1563</v>
      </c>
      <c r="AL303" s="2745">
        <v>67641700</v>
      </c>
      <c r="AM303" s="2745"/>
      <c r="AN303" s="2747" t="s">
        <v>1182</v>
      </c>
      <c r="AO303" s="2688" t="s">
        <v>1114</v>
      </c>
      <c r="AP303" s="2747" t="s">
        <v>1515</v>
      </c>
      <c r="AQ303" s="2745" t="s">
        <v>1607</v>
      </c>
      <c r="AR303" s="2745"/>
      <c r="AS303" s="2745"/>
      <c r="AT303" s="2745"/>
      <c r="AU303" s="2745"/>
      <c r="AV303" s="2745"/>
      <c r="AW303" s="2745" t="s">
        <v>1075</v>
      </c>
      <c r="AX303" s="2745"/>
      <c r="AY303" s="2769"/>
      <c r="AZ303" s="2685" t="s">
        <v>3182</v>
      </c>
      <c r="BA303" s="2774"/>
      <c r="BB303" s="2775"/>
      <c r="BC303" s="2774"/>
      <c r="BD303" s="2776"/>
      <c r="BE303" s="2745"/>
      <c r="BF303" s="2788"/>
      <c r="BG303" s="2789">
        <v>38696</v>
      </c>
      <c r="BH303" s="2688" t="s">
        <v>1174</v>
      </c>
      <c r="BI303" s="2748" t="s">
        <v>1515</v>
      </c>
      <c r="BJ303" s="2789">
        <v>38700</v>
      </c>
      <c r="BK303" s="2789"/>
      <c r="BL303" s="2688" t="s">
        <v>1092</v>
      </c>
      <c r="BM303" s="2745" t="s">
        <v>888</v>
      </c>
      <c r="BN303" s="2745" t="s">
        <v>1077</v>
      </c>
      <c r="BO303" s="2745" t="s">
        <v>1149</v>
      </c>
      <c r="BP303" s="2745"/>
      <c r="BQ303" s="2745" t="e">
        <v>#DIV/0!</v>
      </c>
      <c r="BR303" s="2745" t="e">
        <v>#DIV/0!</v>
      </c>
    </row>
    <row r="304" s="2504" customFormat="1" ht="12" hidden="1" spans="1:70">
      <c r="A304" s="2688" t="s">
        <v>3183</v>
      </c>
      <c r="B304" s="2688" t="s">
        <v>3184</v>
      </c>
      <c r="C304" s="2689" t="s">
        <v>3185</v>
      </c>
      <c r="D304" s="2689" t="s">
        <v>3186</v>
      </c>
      <c r="E304" s="2688" t="s">
        <v>1060</v>
      </c>
      <c r="F304" s="2688" t="s">
        <v>1475</v>
      </c>
      <c r="G304" s="2688"/>
      <c r="H304" s="2688" t="s">
        <v>1180</v>
      </c>
      <c r="I304" s="2691" t="s">
        <v>2575</v>
      </c>
      <c r="J304" s="2689" t="s">
        <v>3187</v>
      </c>
      <c r="K304" s="2688" t="s">
        <v>3184</v>
      </c>
      <c r="L304" s="2702">
        <v>56.33</v>
      </c>
      <c r="M304" s="2688">
        <v>5</v>
      </c>
      <c r="N304" s="2688" t="s">
        <v>1259</v>
      </c>
      <c r="O304" s="2688"/>
      <c r="P304" s="2688" t="s">
        <v>1065</v>
      </c>
      <c r="Q304" s="2726">
        <v>355000</v>
      </c>
      <c r="R304" s="2688">
        <v>6302</v>
      </c>
      <c r="S304" s="2722">
        <v>34.36</v>
      </c>
      <c r="T304" s="2723">
        <v>343600</v>
      </c>
      <c r="U304" s="2688">
        <v>6100</v>
      </c>
      <c r="V304" s="2724">
        <v>0.05</v>
      </c>
      <c r="W304" s="2722">
        <v>32.64</v>
      </c>
      <c r="X304" s="2725">
        <v>326400</v>
      </c>
      <c r="Y304" s="2745">
        <v>2005</v>
      </c>
      <c r="Z304" s="2745">
        <v>12</v>
      </c>
      <c r="AA304" s="2745">
        <v>26</v>
      </c>
      <c r="AB304" s="2688">
        <v>1030</v>
      </c>
      <c r="AC304" s="2688" t="s">
        <v>1605</v>
      </c>
      <c r="AD304" s="2688"/>
      <c r="AE304" s="2748" t="s">
        <v>1342</v>
      </c>
      <c r="AF304" s="2691" t="s">
        <v>1068</v>
      </c>
      <c r="AG304" s="2688" t="s">
        <v>1069</v>
      </c>
      <c r="AH304" s="2688"/>
      <c r="AI304" s="2747" t="s">
        <v>2138</v>
      </c>
      <c r="AJ304" s="2760"/>
      <c r="AK304" s="2755" t="s">
        <v>1563</v>
      </c>
      <c r="AL304" s="2745">
        <v>67641700</v>
      </c>
      <c r="AM304" s="2745"/>
      <c r="AN304" s="2747" t="s">
        <v>1071</v>
      </c>
      <c r="AO304" s="2688"/>
      <c r="AP304" s="2747" t="s">
        <v>1515</v>
      </c>
      <c r="AQ304" s="2745" t="s">
        <v>1607</v>
      </c>
      <c r="AR304" s="2688"/>
      <c r="AS304" s="2688"/>
      <c r="AT304" s="2688"/>
      <c r="AU304" s="2688"/>
      <c r="AV304" s="2745"/>
      <c r="AW304" s="2745" t="s">
        <v>1343</v>
      </c>
      <c r="AX304" s="2745"/>
      <c r="AY304" s="2769"/>
      <c r="AZ304" s="2688" t="s">
        <v>3188</v>
      </c>
      <c r="BA304" s="2745"/>
      <c r="BB304" s="2769"/>
      <c r="BC304" s="2745"/>
      <c r="BD304" s="2770"/>
      <c r="BE304" s="2769"/>
      <c r="BF304" s="2788"/>
      <c r="BG304" s="2798">
        <v>38694</v>
      </c>
      <c r="BH304" s="2745" t="s">
        <v>1174</v>
      </c>
      <c r="BI304" s="2748" t="s">
        <v>1515</v>
      </c>
      <c r="BJ304" s="2789">
        <v>38701</v>
      </c>
      <c r="BK304" s="2790"/>
      <c r="BL304" s="2745" t="s">
        <v>1092</v>
      </c>
      <c r="BM304" s="2745" t="s">
        <v>888</v>
      </c>
      <c r="BN304" s="2688" t="s">
        <v>1077</v>
      </c>
      <c r="BO304" s="2745" t="s">
        <v>1128</v>
      </c>
      <c r="BP304" s="2745"/>
      <c r="BQ304" s="2745" t="e">
        <v>#DIV/0!</v>
      </c>
      <c r="BR304" s="2745" t="e">
        <v>#DIV/0!</v>
      </c>
    </row>
    <row r="305" s="2504" customFormat="1" ht="12" hidden="1" spans="1:70">
      <c r="A305" s="2688" t="s">
        <v>3189</v>
      </c>
      <c r="B305" s="2688" t="s">
        <v>3190</v>
      </c>
      <c r="C305" s="2689" t="s">
        <v>3191</v>
      </c>
      <c r="D305" s="2688">
        <v>13910653623</v>
      </c>
      <c r="E305" s="2688" t="s">
        <v>1060</v>
      </c>
      <c r="F305" s="2688" t="s">
        <v>3192</v>
      </c>
      <c r="G305" s="2688"/>
      <c r="H305" s="2688" t="s">
        <v>1098</v>
      </c>
      <c r="I305" s="2688" t="s">
        <v>2509</v>
      </c>
      <c r="J305" s="2688" t="s">
        <v>1365</v>
      </c>
      <c r="K305" s="2691" t="s">
        <v>3193</v>
      </c>
      <c r="L305" s="2688">
        <v>119.14</v>
      </c>
      <c r="M305" s="2688">
        <v>6</v>
      </c>
      <c r="N305" s="2688" t="s">
        <v>1299</v>
      </c>
      <c r="O305" s="2688"/>
      <c r="P305" s="2688" t="s">
        <v>1690</v>
      </c>
      <c r="Q305" s="2688">
        <v>550000</v>
      </c>
      <c r="R305" s="2688">
        <v>4616</v>
      </c>
      <c r="S305" s="2722">
        <v>54.58</v>
      </c>
      <c r="T305" s="2723">
        <v>545800</v>
      </c>
      <c r="U305" s="2688">
        <v>4582</v>
      </c>
      <c r="V305" s="2727">
        <v>0.05</v>
      </c>
      <c r="W305" s="2722">
        <v>51.85</v>
      </c>
      <c r="X305" s="2725">
        <v>518500</v>
      </c>
      <c r="Y305" s="2688">
        <v>2005</v>
      </c>
      <c r="Z305" s="2688">
        <v>12</v>
      </c>
      <c r="AA305" s="2745">
        <v>26</v>
      </c>
      <c r="AB305" s="2688">
        <v>1500</v>
      </c>
      <c r="AC305" s="2688" t="s">
        <v>1605</v>
      </c>
      <c r="AD305" s="2688"/>
      <c r="AE305" s="2688" t="s">
        <v>1067</v>
      </c>
      <c r="AF305" s="2688" t="s">
        <v>1068</v>
      </c>
      <c r="AG305" s="2688" t="s">
        <v>1069</v>
      </c>
      <c r="AH305" s="2688"/>
      <c r="AI305" s="2688" t="s">
        <v>1342</v>
      </c>
      <c r="AJ305" s="2751"/>
      <c r="AK305" s="2688" t="s">
        <v>1563</v>
      </c>
      <c r="AL305" s="2688">
        <v>82253558</v>
      </c>
      <c r="AM305" s="2688"/>
      <c r="AN305" s="2688" t="s">
        <v>1071</v>
      </c>
      <c r="AO305" s="2688" t="s">
        <v>1114</v>
      </c>
      <c r="AP305" s="2688" t="s">
        <v>1208</v>
      </c>
      <c r="AQ305" s="2688" t="s">
        <v>1074</v>
      </c>
      <c r="AR305" s="2688"/>
      <c r="AS305" s="2688"/>
      <c r="AT305" s="2688"/>
      <c r="AU305" s="2688"/>
      <c r="AV305" s="2688"/>
      <c r="AW305" s="2688" t="s">
        <v>1075</v>
      </c>
      <c r="AX305" s="2688"/>
      <c r="AY305" s="2689"/>
      <c r="AZ305" s="2688" t="s">
        <v>3193</v>
      </c>
      <c r="BA305" s="2688"/>
      <c r="BB305" s="2688"/>
      <c r="BC305" s="2688"/>
      <c r="BD305" s="2688"/>
      <c r="BE305" s="2688">
        <v>13311379007</v>
      </c>
      <c r="BF305" s="2688"/>
      <c r="BG305" s="2792">
        <v>38696</v>
      </c>
      <c r="BH305" s="2688"/>
      <c r="BI305" s="2688" t="s">
        <v>2044</v>
      </c>
      <c r="BJ305" s="2789">
        <v>38707</v>
      </c>
      <c r="BK305" s="2789"/>
      <c r="BL305" s="2688" t="s">
        <v>1174</v>
      </c>
      <c r="BM305" s="2688" t="s">
        <v>888</v>
      </c>
      <c r="BN305" s="2688" t="s">
        <v>1148</v>
      </c>
      <c r="BO305" s="2688" t="s">
        <v>1331</v>
      </c>
      <c r="BP305" s="2688"/>
      <c r="BQ305" s="2745" t="e">
        <v>#DIV/0!</v>
      </c>
      <c r="BR305" s="2745" t="e">
        <v>#DIV/0!</v>
      </c>
    </row>
    <row r="306" s="2504" customFormat="1" ht="12" hidden="1" spans="1:70">
      <c r="A306" s="2688" t="s">
        <v>3194</v>
      </c>
      <c r="B306" s="2688" t="s">
        <v>3195</v>
      </c>
      <c r="C306" s="2689" t="s">
        <v>3196</v>
      </c>
      <c r="D306" s="2691">
        <v>13381366871</v>
      </c>
      <c r="E306" s="2688" t="s">
        <v>1060</v>
      </c>
      <c r="F306" s="2688" t="s">
        <v>3197</v>
      </c>
      <c r="G306" s="2688"/>
      <c r="H306" s="2688" t="s">
        <v>3198</v>
      </c>
      <c r="I306" s="2688"/>
      <c r="J306" s="2689" t="s">
        <v>3199</v>
      </c>
      <c r="K306" s="2688"/>
      <c r="L306" s="2688">
        <v>76.4</v>
      </c>
      <c r="M306" s="2688">
        <v>7</v>
      </c>
      <c r="N306" s="2688" t="s">
        <v>3200</v>
      </c>
      <c r="O306" s="2688"/>
      <c r="P306" s="2688" t="s">
        <v>1065</v>
      </c>
      <c r="Q306" s="2712">
        <v>595000</v>
      </c>
      <c r="R306" s="2688">
        <v>7788</v>
      </c>
      <c r="S306" s="2722">
        <v>48.43</v>
      </c>
      <c r="T306" s="2723">
        <v>484300</v>
      </c>
      <c r="U306" s="2688">
        <v>6340</v>
      </c>
      <c r="V306" s="2724">
        <v>0.05</v>
      </c>
      <c r="W306" s="2722">
        <v>46</v>
      </c>
      <c r="X306" s="2725">
        <v>460000</v>
      </c>
      <c r="Y306" s="2745">
        <v>2005</v>
      </c>
      <c r="Z306" s="2745">
        <v>12</v>
      </c>
      <c r="AA306" s="2745">
        <v>27</v>
      </c>
      <c r="AB306" s="2688">
        <v>1450</v>
      </c>
      <c r="AC306" s="2688" t="s">
        <v>1605</v>
      </c>
      <c r="AD306" s="2688"/>
      <c r="AE306" s="2745" t="s">
        <v>1070</v>
      </c>
      <c r="AF306" s="2691" t="s">
        <v>1068</v>
      </c>
      <c r="AG306" s="2747" t="s">
        <v>1069</v>
      </c>
      <c r="AH306" s="2688"/>
      <c r="AI306" s="2688" t="s">
        <v>2138</v>
      </c>
      <c r="AJ306" s="2753"/>
      <c r="AK306" s="2688" t="s">
        <v>1563</v>
      </c>
      <c r="AL306" s="2745">
        <v>67641700</v>
      </c>
      <c r="AM306" s="2745"/>
      <c r="AN306" s="2747" t="s">
        <v>1071</v>
      </c>
      <c r="AO306" s="2688"/>
      <c r="AP306" s="2747" t="s">
        <v>1515</v>
      </c>
      <c r="AQ306" s="2688" t="s">
        <v>2045</v>
      </c>
      <c r="AR306" s="2745"/>
      <c r="AS306" s="2745"/>
      <c r="AT306" s="2745"/>
      <c r="AU306" s="2745"/>
      <c r="AV306" s="2745"/>
      <c r="AW306" s="2691" t="s">
        <v>1250</v>
      </c>
      <c r="AX306" s="2745"/>
      <c r="AY306" s="2769"/>
      <c r="AZ306" s="2745" t="s">
        <v>3201</v>
      </c>
      <c r="BA306" s="2745"/>
      <c r="BB306" s="2769"/>
      <c r="BC306" s="2745"/>
      <c r="BD306" s="2770"/>
      <c r="BE306" s="2745">
        <v>13051055654</v>
      </c>
      <c r="BF306" s="2788"/>
      <c r="BG306" s="2790">
        <v>38707</v>
      </c>
      <c r="BH306" s="2691"/>
      <c r="BI306" s="2744" t="s">
        <v>2140</v>
      </c>
      <c r="BJ306" s="2789">
        <v>38707</v>
      </c>
      <c r="BK306" s="2790"/>
      <c r="BL306" s="2688" t="s">
        <v>1174</v>
      </c>
      <c r="BM306" s="2745" t="s">
        <v>888</v>
      </c>
      <c r="BN306" s="2688" t="s">
        <v>1148</v>
      </c>
      <c r="BO306" s="2745" t="s">
        <v>1128</v>
      </c>
      <c r="BP306" s="2745"/>
      <c r="BQ306" s="2745" t="e">
        <v>#DIV/0!</v>
      </c>
      <c r="BR306" s="2745" t="e">
        <v>#DIV/0!</v>
      </c>
    </row>
    <row r="307" s="2504" customFormat="1" ht="12" hidden="1" spans="1:70">
      <c r="A307" s="2688" t="s">
        <v>3202</v>
      </c>
      <c r="B307" s="2688" t="s">
        <v>3203</v>
      </c>
      <c r="C307" s="2689" t="s">
        <v>3204</v>
      </c>
      <c r="D307" s="2688" t="s">
        <v>3205</v>
      </c>
      <c r="E307" s="2688" t="s">
        <v>1060</v>
      </c>
      <c r="F307" s="2688" t="s">
        <v>3206</v>
      </c>
      <c r="G307" s="2688"/>
      <c r="H307" s="2688" t="s">
        <v>1121</v>
      </c>
      <c r="I307" s="2688"/>
      <c r="J307" s="2688" t="s">
        <v>3207</v>
      </c>
      <c r="K307" s="2691" t="s">
        <v>3203</v>
      </c>
      <c r="L307" s="2688">
        <v>98.74</v>
      </c>
      <c r="M307" s="2688">
        <v>2</v>
      </c>
      <c r="N307" s="2688" t="s">
        <v>1513</v>
      </c>
      <c r="O307" s="2688"/>
      <c r="P307" s="2688" t="s">
        <v>1065</v>
      </c>
      <c r="Q307" s="2688">
        <v>600000</v>
      </c>
      <c r="R307" s="2688">
        <v>6077</v>
      </c>
      <c r="S307" s="2722">
        <v>61.78</v>
      </c>
      <c r="T307" s="2723">
        <v>617800</v>
      </c>
      <c r="U307" s="2688">
        <v>6257</v>
      </c>
      <c r="V307" s="2727">
        <v>0.05</v>
      </c>
      <c r="W307" s="2722">
        <v>58.69</v>
      </c>
      <c r="X307" s="2725">
        <v>586900</v>
      </c>
      <c r="Y307" s="2688">
        <v>2005</v>
      </c>
      <c r="Z307" s="2688">
        <v>12</v>
      </c>
      <c r="AA307" s="2745">
        <v>28</v>
      </c>
      <c r="AB307" s="2688">
        <v>1500</v>
      </c>
      <c r="AC307" s="2688" t="s">
        <v>1605</v>
      </c>
      <c r="AD307" s="2688"/>
      <c r="AE307" s="2688" t="s">
        <v>1067</v>
      </c>
      <c r="AF307" s="2688" t="s">
        <v>1068</v>
      </c>
      <c r="AG307" s="2688" t="s">
        <v>1069</v>
      </c>
      <c r="AH307" s="2688"/>
      <c r="AI307" s="2688" t="s">
        <v>1342</v>
      </c>
      <c r="AJ307" s="2751"/>
      <c r="AK307" s="2688" t="s">
        <v>1563</v>
      </c>
      <c r="AL307" s="2688">
        <v>82253558</v>
      </c>
      <c r="AM307" s="2688"/>
      <c r="AN307" s="2688" t="s">
        <v>1071</v>
      </c>
      <c r="AO307" s="2688" t="s">
        <v>1114</v>
      </c>
      <c r="AP307" s="2688" t="s">
        <v>1208</v>
      </c>
      <c r="AQ307" s="2688" t="s">
        <v>1074</v>
      </c>
      <c r="AR307" s="2688"/>
      <c r="AS307" s="2688"/>
      <c r="AT307" s="2688"/>
      <c r="AU307" s="2688"/>
      <c r="AV307" s="2688"/>
      <c r="AW307" s="2688" t="s">
        <v>1075</v>
      </c>
      <c r="AX307" s="2688"/>
      <c r="AY307" s="2689"/>
      <c r="AZ307" s="2688" t="s">
        <v>3208</v>
      </c>
      <c r="BA307" s="2688"/>
      <c r="BB307" s="2688"/>
      <c r="BC307" s="2688"/>
      <c r="BD307" s="2688"/>
      <c r="BE307" s="2688">
        <v>13521823453</v>
      </c>
      <c r="BF307" s="2688"/>
      <c r="BG307" s="2792">
        <v>38612</v>
      </c>
      <c r="BH307" s="2688"/>
      <c r="BI307" s="2688" t="s">
        <v>2044</v>
      </c>
      <c r="BJ307" s="2789">
        <v>38707</v>
      </c>
      <c r="BK307" s="2789"/>
      <c r="BL307" s="2688" t="s">
        <v>1174</v>
      </c>
      <c r="BM307" s="2688" t="s">
        <v>888</v>
      </c>
      <c r="BN307" s="2688" t="s">
        <v>1077</v>
      </c>
      <c r="BO307" s="2688" t="s">
        <v>1331</v>
      </c>
      <c r="BP307" s="2688"/>
      <c r="BQ307" s="2745" t="e">
        <v>#DIV/0!</v>
      </c>
      <c r="BR307" s="2745" t="e">
        <v>#DIV/0!</v>
      </c>
    </row>
    <row r="308" s="2504" customFormat="1" ht="12" hidden="1" spans="1:70">
      <c r="A308" s="2688" t="s">
        <v>3209</v>
      </c>
      <c r="B308" s="2688" t="s">
        <v>3210</v>
      </c>
      <c r="C308" s="2689" t="s">
        <v>3211</v>
      </c>
      <c r="D308" s="2689" t="s">
        <v>3212</v>
      </c>
      <c r="E308" s="2691" t="s">
        <v>1060</v>
      </c>
      <c r="F308" s="2691" t="s">
        <v>3213</v>
      </c>
      <c r="G308" s="2688"/>
      <c r="H308" s="2691" t="s">
        <v>3214</v>
      </c>
      <c r="I308" s="2691" t="s">
        <v>3215</v>
      </c>
      <c r="J308" s="2688" t="s">
        <v>3117</v>
      </c>
      <c r="K308" s="2688" t="s">
        <v>3216</v>
      </c>
      <c r="L308" s="2688">
        <v>130.57</v>
      </c>
      <c r="M308" s="2688" t="s">
        <v>1182</v>
      </c>
      <c r="N308" s="2688" t="s">
        <v>1299</v>
      </c>
      <c r="O308" s="2688"/>
      <c r="P308" s="2688" t="s">
        <v>1065</v>
      </c>
      <c r="Q308" s="2712">
        <v>700000</v>
      </c>
      <c r="R308" s="2688">
        <v>5361</v>
      </c>
      <c r="S308" s="2722">
        <v>68.54</v>
      </c>
      <c r="T308" s="2723">
        <v>685400</v>
      </c>
      <c r="U308" s="2688">
        <v>5250</v>
      </c>
      <c r="V308" s="2724">
        <v>0.05</v>
      </c>
      <c r="W308" s="2722">
        <v>65.11</v>
      </c>
      <c r="X308" s="2725">
        <v>651100</v>
      </c>
      <c r="Y308" s="2745">
        <v>2005</v>
      </c>
      <c r="Z308" s="2745">
        <v>12</v>
      </c>
      <c r="AA308" s="2745">
        <v>28</v>
      </c>
      <c r="AB308" s="2688">
        <v>1500</v>
      </c>
      <c r="AC308" s="2688" t="s">
        <v>1605</v>
      </c>
      <c r="AD308" s="2688"/>
      <c r="AE308" s="2747" t="s">
        <v>1639</v>
      </c>
      <c r="AF308" s="2691" t="s">
        <v>1068</v>
      </c>
      <c r="AG308" s="2747" t="s">
        <v>1069</v>
      </c>
      <c r="AH308" s="2688"/>
      <c r="AI308" s="2747" t="s">
        <v>2138</v>
      </c>
      <c r="AJ308" s="2753"/>
      <c r="AK308" s="2755" t="s">
        <v>1563</v>
      </c>
      <c r="AL308" s="2745">
        <v>67641700</v>
      </c>
      <c r="AM308" s="2745"/>
      <c r="AN308" s="2747" t="s">
        <v>1071</v>
      </c>
      <c r="AO308" s="2688"/>
      <c r="AP308" s="2747" t="s">
        <v>1515</v>
      </c>
      <c r="AQ308" s="2745" t="s">
        <v>1674</v>
      </c>
      <c r="AR308" s="2745"/>
      <c r="AS308" s="2745"/>
      <c r="AT308" s="2745"/>
      <c r="AU308" s="2745"/>
      <c r="AV308" s="2745"/>
      <c r="AW308" s="2745" t="s">
        <v>1075</v>
      </c>
      <c r="AX308" s="2745"/>
      <c r="AY308" s="2769"/>
      <c r="AZ308" s="2688" t="s">
        <v>3216</v>
      </c>
      <c r="BA308" s="2774"/>
      <c r="BB308" s="2775"/>
      <c r="BC308" s="2774"/>
      <c r="BD308" s="2776"/>
      <c r="BE308" s="2745"/>
      <c r="BF308" s="2788"/>
      <c r="BG308" s="2798">
        <v>38696</v>
      </c>
      <c r="BH308" s="2688" t="s">
        <v>1174</v>
      </c>
      <c r="BI308" s="2748" t="s">
        <v>1515</v>
      </c>
      <c r="BJ308" s="2789">
        <v>38708</v>
      </c>
      <c r="BK308" s="2789"/>
      <c r="BL308" s="2688" t="s">
        <v>1092</v>
      </c>
      <c r="BM308" s="2745" t="s">
        <v>888</v>
      </c>
      <c r="BN308" s="2745" t="s">
        <v>1148</v>
      </c>
      <c r="BO308" s="2745" t="s">
        <v>1128</v>
      </c>
      <c r="BP308" s="2745"/>
      <c r="BQ308" s="2745" t="e">
        <v>#DIV/0!</v>
      </c>
      <c r="BR308" s="2745" t="e">
        <v>#DIV/0!</v>
      </c>
    </row>
    <row r="309" s="2504" customFormat="1" ht="12" hidden="1" spans="1:70">
      <c r="A309" s="2688" t="s">
        <v>3217</v>
      </c>
      <c r="B309" s="2688" t="s">
        <v>3218</v>
      </c>
      <c r="C309" s="2689" t="s">
        <v>3219</v>
      </c>
      <c r="D309" s="2689" t="s">
        <v>3220</v>
      </c>
      <c r="E309" s="2691" t="s">
        <v>1060</v>
      </c>
      <c r="F309" s="2691" t="s">
        <v>1258</v>
      </c>
      <c r="G309" s="2688"/>
      <c r="H309" s="2691" t="s">
        <v>1084</v>
      </c>
      <c r="I309" s="2691"/>
      <c r="J309" s="2688" t="s">
        <v>1190</v>
      </c>
      <c r="K309" s="2688" t="s">
        <v>3221</v>
      </c>
      <c r="L309" s="2688">
        <v>66.91</v>
      </c>
      <c r="M309" s="2688">
        <v>15</v>
      </c>
      <c r="N309" s="2688" t="s">
        <v>1064</v>
      </c>
      <c r="O309" s="2688"/>
      <c r="P309" s="2688" t="s">
        <v>1065</v>
      </c>
      <c r="Q309" s="2712">
        <v>450000</v>
      </c>
      <c r="R309" s="2688">
        <v>6725</v>
      </c>
      <c r="S309" s="2722">
        <v>40.81</v>
      </c>
      <c r="T309" s="2723">
        <v>408100</v>
      </c>
      <c r="U309" s="2688">
        <v>6100</v>
      </c>
      <c r="V309" s="2724">
        <v>0.05</v>
      </c>
      <c r="W309" s="2722">
        <v>38.76</v>
      </c>
      <c r="X309" s="2725">
        <v>387600</v>
      </c>
      <c r="Y309" s="2745">
        <v>2005</v>
      </c>
      <c r="Z309" s="2745">
        <v>12</v>
      </c>
      <c r="AA309" s="2745">
        <v>28</v>
      </c>
      <c r="AB309" s="2688">
        <v>1220</v>
      </c>
      <c r="AC309" s="2688" t="s">
        <v>1605</v>
      </c>
      <c r="AD309" s="2688"/>
      <c r="AE309" s="2747" t="s">
        <v>1342</v>
      </c>
      <c r="AF309" s="2691" t="s">
        <v>1068</v>
      </c>
      <c r="AG309" s="2747" t="s">
        <v>1069</v>
      </c>
      <c r="AH309" s="2688"/>
      <c r="AI309" s="2747" t="s">
        <v>2138</v>
      </c>
      <c r="AJ309" s="2753"/>
      <c r="AK309" s="2755" t="s">
        <v>1563</v>
      </c>
      <c r="AL309" s="2745">
        <v>67641700</v>
      </c>
      <c r="AM309" s="2745"/>
      <c r="AN309" s="2747" t="s">
        <v>1071</v>
      </c>
      <c r="AO309" s="2745"/>
      <c r="AP309" s="2747" t="s">
        <v>1515</v>
      </c>
      <c r="AQ309" s="2745" t="s">
        <v>1674</v>
      </c>
      <c r="AR309" s="2745"/>
      <c r="AS309" s="2745"/>
      <c r="AT309" s="2745"/>
      <c r="AU309" s="2745"/>
      <c r="AV309" s="2745"/>
      <c r="AW309" s="2745" t="s">
        <v>1075</v>
      </c>
      <c r="AX309" s="2745"/>
      <c r="AY309" s="2769"/>
      <c r="AZ309" s="2688" t="s">
        <v>3221</v>
      </c>
      <c r="BA309" s="2774"/>
      <c r="BB309" s="2775"/>
      <c r="BC309" s="2774"/>
      <c r="BD309" s="2776"/>
      <c r="BE309" s="2745">
        <v>13311090587</v>
      </c>
      <c r="BF309" s="2788"/>
      <c r="BG309" s="2798">
        <v>38707</v>
      </c>
      <c r="BH309" s="2688" t="s">
        <v>1174</v>
      </c>
      <c r="BI309" s="2748" t="s">
        <v>1515</v>
      </c>
      <c r="BJ309" s="2789">
        <v>38708</v>
      </c>
      <c r="BK309" s="2789"/>
      <c r="BL309" s="2688" t="s">
        <v>1092</v>
      </c>
      <c r="BM309" s="2745" t="s">
        <v>888</v>
      </c>
      <c r="BN309" s="2745" t="s">
        <v>1148</v>
      </c>
      <c r="BO309" s="2745" t="s">
        <v>1709</v>
      </c>
      <c r="BP309" s="2745"/>
      <c r="BQ309" s="2745" t="e">
        <v>#DIV/0!</v>
      </c>
      <c r="BR309" s="2745" t="e">
        <v>#DIV/0!</v>
      </c>
    </row>
    <row r="310" s="2508" customFormat="1" ht="12" hidden="1" spans="1:73">
      <c r="A310" s="2685" t="s">
        <v>3222</v>
      </c>
      <c r="B310" s="2685" t="s">
        <v>3223</v>
      </c>
      <c r="C310" s="2686" t="s">
        <v>3224</v>
      </c>
      <c r="D310" s="2686" t="s">
        <v>3225</v>
      </c>
      <c r="E310" s="2685" t="s">
        <v>1060</v>
      </c>
      <c r="F310" s="2692" t="s">
        <v>2830</v>
      </c>
      <c r="G310" s="2685"/>
      <c r="H310" s="2685" t="s">
        <v>2122</v>
      </c>
      <c r="I310" s="2684"/>
      <c r="J310" s="2686" t="s">
        <v>3226</v>
      </c>
      <c r="K310" s="2685"/>
      <c r="L310" s="2685">
        <v>55.45</v>
      </c>
      <c r="M310" s="2685">
        <v>1</v>
      </c>
      <c r="N310" s="2685" t="s">
        <v>3227</v>
      </c>
      <c r="O310" s="2685"/>
      <c r="P310" s="2685" t="s">
        <v>1065</v>
      </c>
      <c r="Q310" s="2716">
        <v>460000</v>
      </c>
      <c r="R310" s="2688">
        <v>8296</v>
      </c>
      <c r="S310" s="2722">
        <v>31.6</v>
      </c>
      <c r="T310" s="2723">
        <v>316000</v>
      </c>
      <c r="U310" s="2685">
        <v>5700</v>
      </c>
      <c r="V310" s="2741">
        <v>0.05</v>
      </c>
      <c r="W310" s="2722">
        <v>30.02</v>
      </c>
      <c r="X310" s="2725">
        <v>300200</v>
      </c>
      <c r="Y310" s="2685">
        <v>2005</v>
      </c>
      <c r="Z310" s="2685">
        <v>12</v>
      </c>
      <c r="AA310" s="2744">
        <v>29</v>
      </c>
      <c r="AB310" s="2688">
        <v>945</v>
      </c>
      <c r="AC310" s="2685" t="s">
        <v>1605</v>
      </c>
      <c r="AD310" s="2685"/>
      <c r="AE310" s="2685" t="s">
        <v>1070</v>
      </c>
      <c r="AF310" s="2684" t="s">
        <v>1068</v>
      </c>
      <c r="AG310" s="2749" t="s">
        <v>1069</v>
      </c>
      <c r="AH310" s="2685"/>
      <c r="AI310" s="2685" t="s">
        <v>2138</v>
      </c>
      <c r="AJ310" s="2751"/>
      <c r="AK310" s="2685" t="s">
        <v>1563</v>
      </c>
      <c r="AL310" s="2685">
        <v>67641672</v>
      </c>
      <c r="AM310" s="2744"/>
      <c r="AN310" s="2688" t="s">
        <v>1071</v>
      </c>
      <c r="AO310" s="2744" t="s">
        <v>1114</v>
      </c>
      <c r="AP310" s="2713" t="s">
        <v>1515</v>
      </c>
      <c r="AQ310" s="2685" t="s">
        <v>2045</v>
      </c>
      <c r="AR310" s="2744"/>
      <c r="AS310" s="2744"/>
      <c r="AT310" s="2744"/>
      <c r="AU310" s="2744"/>
      <c r="AV310" s="2744"/>
      <c r="AW310" s="2685" t="s">
        <v>1075</v>
      </c>
      <c r="AX310" s="2685"/>
      <c r="AY310" s="2780"/>
      <c r="AZ310" s="2685" t="s">
        <v>3228</v>
      </c>
      <c r="BA310" s="2744"/>
      <c r="BB310" s="2767"/>
      <c r="BC310" s="2744"/>
      <c r="BD310" s="2768"/>
      <c r="BE310" s="2744"/>
      <c r="BF310" s="2784"/>
      <c r="BG310" s="2802">
        <v>38703</v>
      </c>
      <c r="BH310" s="2744"/>
      <c r="BI310" s="2688" t="s">
        <v>2140</v>
      </c>
      <c r="BJ310" s="2787">
        <v>38709</v>
      </c>
      <c r="BK310" s="2787"/>
      <c r="BL310" s="2685" t="s">
        <v>1174</v>
      </c>
      <c r="BM310" s="2744" t="s">
        <v>3229</v>
      </c>
      <c r="BN310" s="2744" t="s">
        <v>1148</v>
      </c>
      <c r="BO310" s="2744" t="s">
        <v>1160</v>
      </c>
      <c r="BP310" s="2744"/>
      <c r="BQ310" s="2745" t="e">
        <v>#DIV/0!</v>
      </c>
      <c r="BR310" s="2745" t="e">
        <v>#DIV/0!</v>
      </c>
      <c r="BS310" s="2504"/>
      <c r="BT310" s="2504"/>
      <c r="BU310" s="2504"/>
    </row>
    <row r="311" s="2504" customFormat="1" ht="12" hidden="1" spans="1:70">
      <c r="A311" s="2688" t="s">
        <v>3230</v>
      </c>
      <c r="B311" s="2688" t="s">
        <v>3231</v>
      </c>
      <c r="C311" s="2689" t="s">
        <v>3232</v>
      </c>
      <c r="D311" s="2689" t="s">
        <v>3233</v>
      </c>
      <c r="E311" s="2691" t="s">
        <v>1060</v>
      </c>
      <c r="F311" s="2691" t="s">
        <v>3234</v>
      </c>
      <c r="G311" s="2688"/>
      <c r="H311" s="2691" t="s">
        <v>1221</v>
      </c>
      <c r="I311" s="2691" t="s">
        <v>1134</v>
      </c>
      <c r="J311" s="2688" t="s">
        <v>1166</v>
      </c>
      <c r="K311" s="2688" t="s">
        <v>3235</v>
      </c>
      <c r="L311" s="2688">
        <v>64.49</v>
      </c>
      <c r="M311" s="2688">
        <v>3</v>
      </c>
      <c r="N311" s="2688" t="s">
        <v>1064</v>
      </c>
      <c r="O311" s="2688"/>
      <c r="P311" s="2688" t="s">
        <v>1065</v>
      </c>
      <c r="Q311" s="2712">
        <v>330000</v>
      </c>
      <c r="R311" s="2688">
        <v>5117</v>
      </c>
      <c r="S311" s="2722">
        <v>25.47</v>
      </c>
      <c r="T311" s="2723">
        <v>254700</v>
      </c>
      <c r="U311" s="2688">
        <v>3950</v>
      </c>
      <c r="V311" s="2724">
        <v>0.05</v>
      </c>
      <c r="W311" s="2722">
        <v>24.19</v>
      </c>
      <c r="X311" s="2725">
        <v>241900</v>
      </c>
      <c r="Y311" s="2745">
        <v>2005</v>
      </c>
      <c r="Z311" s="2745">
        <v>12</v>
      </c>
      <c r="AA311" s="2745">
        <v>28</v>
      </c>
      <c r="AB311" s="2688">
        <v>760</v>
      </c>
      <c r="AC311" s="2688" t="s">
        <v>1605</v>
      </c>
      <c r="AD311" s="2688"/>
      <c r="AE311" s="2747" t="s">
        <v>1342</v>
      </c>
      <c r="AF311" s="2691" t="s">
        <v>1068</v>
      </c>
      <c r="AG311" s="2747" t="s">
        <v>1069</v>
      </c>
      <c r="AH311" s="2688"/>
      <c r="AI311" s="2747" t="s">
        <v>2138</v>
      </c>
      <c r="AJ311" s="2753"/>
      <c r="AK311" s="2755" t="s">
        <v>1563</v>
      </c>
      <c r="AL311" s="2745">
        <v>67641700</v>
      </c>
      <c r="AM311" s="2745"/>
      <c r="AN311" s="2747" t="s">
        <v>1071</v>
      </c>
      <c r="AO311" s="2745"/>
      <c r="AP311" s="2747" t="s">
        <v>1515</v>
      </c>
      <c r="AQ311" s="2745" t="s">
        <v>1674</v>
      </c>
      <c r="AR311" s="2745"/>
      <c r="AS311" s="2745"/>
      <c r="AT311" s="2745"/>
      <c r="AU311" s="2745"/>
      <c r="AV311" s="2745"/>
      <c r="AW311" s="2745" t="s">
        <v>1075</v>
      </c>
      <c r="AX311" s="2745"/>
      <c r="AY311" s="2769"/>
      <c r="AZ311" s="2688" t="s">
        <v>3235</v>
      </c>
      <c r="BA311" s="2774"/>
      <c r="BB311" s="2775"/>
      <c r="BC311" s="2774"/>
      <c r="BD311" s="2776"/>
      <c r="BE311" s="2745">
        <v>86651762</v>
      </c>
      <c r="BF311" s="2788"/>
      <c r="BG311" s="2798">
        <v>38701</v>
      </c>
      <c r="BH311" s="2688" t="s">
        <v>1174</v>
      </c>
      <c r="BI311" s="2748" t="s">
        <v>1515</v>
      </c>
      <c r="BJ311" s="2789">
        <v>38709</v>
      </c>
      <c r="BK311" s="2789"/>
      <c r="BL311" s="2688" t="s">
        <v>1092</v>
      </c>
      <c r="BM311" s="2745" t="s">
        <v>888</v>
      </c>
      <c r="BN311" s="2745" t="s">
        <v>1148</v>
      </c>
      <c r="BO311" s="2745" t="s">
        <v>1709</v>
      </c>
      <c r="BP311" s="2745"/>
      <c r="BQ311" s="2745" t="e">
        <v>#DIV/0!</v>
      </c>
      <c r="BR311" s="2745" t="e">
        <v>#DIV/0!</v>
      </c>
    </row>
  </sheetData>
  <autoFilter ref="A2:IU311">
    <filterColumn colId="5">
      <colorFilter dxfId="11"/>
    </filterColumn>
    <filterColumn colId="24">
      <customFilters>
        <customFilter operator="equal" val="2004"/>
      </customFilters>
    </filterColumn>
    <extLst/>
  </autoFilter>
  <mergeCells count="1">
    <mergeCell ref="AL1:AM1"/>
  </mergeCells>
  <pageMargins left="0.7" right="0.7" top="0.75" bottom="0.75" header="0.3" footer="0.3"/>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15"/>
  <sheetViews>
    <sheetView workbookViewId="0">
      <selection activeCell="L5" sqref="L5"/>
    </sheetView>
  </sheetViews>
  <sheetFormatPr defaultColWidth="9" defaultRowHeight="13.5"/>
  <cols>
    <col min="1" max="1" width="9" style="2481"/>
    <col min="2" max="2" width="13" style="2481" customWidth="1"/>
    <col min="3" max="3" width="27.25" style="2481" customWidth="1"/>
    <col min="4" max="16384" width="9" style="2481"/>
  </cols>
  <sheetData>
    <row r="1" spans="1:70">
      <c r="A1" s="2482"/>
      <c r="B1" s="2482"/>
      <c r="C1" s="2483"/>
      <c r="D1" s="2482"/>
      <c r="E1" s="2482"/>
      <c r="F1" s="2482" t="s">
        <v>3236</v>
      </c>
      <c r="G1" s="2482"/>
      <c r="H1" s="2482"/>
      <c r="I1" s="2482"/>
      <c r="J1" s="2482"/>
      <c r="K1" s="2482"/>
      <c r="L1" s="2482"/>
      <c r="M1" s="2482"/>
      <c r="N1" s="2490"/>
      <c r="O1" s="2491" t="s">
        <v>3237</v>
      </c>
      <c r="P1" s="2492"/>
      <c r="Q1" s="2492"/>
      <c r="R1" s="2493"/>
      <c r="S1" s="2482"/>
      <c r="T1" s="2482"/>
      <c r="U1" s="2482"/>
      <c r="V1" s="2482"/>
      <c r="W1" s="2482" t="s">
        <v>3238</v>
      </c>
      <c r="X1" s="2482"/>
      <c r="Y1" s="2482"/>
      <c r="Z1" s="2482"/>
      <c r="AA1" s="2482"/>
      <c r="AB1" s="2482"/>
      <c r="AC1" s="2482"/>
      <c r="AD1" s="2482"/>
      <c r="AE1" s="2482"/>
      <c r="AF1" s="2482" t="s">
        <v>3239</v>
      </c>
      <c r="AG1" s="2482"/>
      <c r="AH1" s="2482"/>
      <c r="AI1" s="2482"/>
      <c r="AJ1" s="2496"/>
      <c r="AK1" s="2496"/>
      <c r="AL1" s="2497"/>
      <c r="AM1" s="2497"/>
      <c r="AN1" s="2497"/>
      <c r="AO1" s="2497"/>
      <c r="AP1" s="2497"/>
      <c r="AQ1" s="2497"/>
      <c r="AR1" s="2497"/>
      <c r="AS1" s="2497"/>
      <c r="AT1" s="2497"/>
      <c r="AU1" s="2497"/>
      <c r="AV1" s="2497"/>
      <c r="AW1" s="2497"/>
      <c r="AX1" s="2497"/>
      <c r="AY1" s="2497"/>
      <c r="AZ1" s="2497"/>
      <c r="BA1" s="2497"/>
      <c r="BB1" s="2497"/>
      <c r="BC1" s="2497"/>
      <c r="BD1" s="2497"/>
      <c r="BE1" s="2497"/>
      <c r="BF1" s="2497"/>
      <c r="BG1" s="2497"/>
      <c r="BH1" s="2497"/>
      <c r="BI1" s="2497"/>
      <c r="BJ1" s="2497"/>
      <c r="BK1" s="2497"/>
      <c r="BL1" s="2497"/>
      <c r="BM1" s="2497"/>
      <c r="BN1" s="2497"/>
      <c r="BO1" s="2497"/>
      <c r="BP1" s="2497"/>
      <c r="BQ1" s="2497"/>
      <c r="BR1" s="2497"/>
    </row>
    <row r="2" spans="1:70">
      <c r="A2" s="2484" t="s">
        <v>1031</v>
      </c>
      <c r="B2" s="2484" t="s">
        <v>3240</v>
      </c>
      <c r="C2" s="2485" t="s">
        <v>3241</v>
      </c>
      <c r="D2" s="2484" t="s">
        <v>3242</v>
      </c>
      <c r="E2" s="2484" t="s">
        <v>3243</v>
      </c>
      <c r="F2" s="2484" t="s">
        <v>3244</v>
      </c>
      <c r="G2" s="2484" t="s">
        <v>3245</v>
      </c>
      <c r="H2" s="2484" t="s">
        <v>3246</v>
      </c>
      <c r="I2" s="2484" t="s">
        <v>3247</v>
      </c>
      <c r="J2" s="2484" t="s">
        <v>3248</v>
      </c>
      <c r="K2" s="2484" t="s">
        <v>3249</v>
      </c>
      <c r="L2" s="2484" t="s">
        <v>904</v>
      </c>
      <c r="M2" s="2484" t="s">
        <v>1024</v>
      </c>
      <c r="N2" s="2490" t="s">
        <v>3250</v>
      </c>
      <c r="O2" s="2490" t="s">
        <v>3251</v>
      </c>
      <c r="P2" s="2490" t="s">
        <v>3252</v>
      </c>
      <c r="Q2" s="2494" t="s">
        <v>3253</v>
      </c>
      <c r="R2" s="2495" t="s">
        <v>3254</v>
      </c>
      <c r="S2" s="2484" t="s">
        <v>1017</v>
      </c>
      <c r="T2" s="2484" t="s">
        <v>3255</v>
      </c>
      <c r="U2" s="2484" t="s">
        <v>1016</v>
      </c>
      <c r="V2" s="2484" t="s">
        <v>1017</v>
      </c>
      <c r="W2" s="2484" t="s">
        <v>3256</v>
      </c>
      <c r="X2" s="2484" t="s">
        <v>3257</v>
      </c>
      <c r="Y2" s="2484" t="s">
        <v>3258</v>
      </c>
      <c r="Z2" s="2484" t="s">
        <v>3259</v>
      </c>
      <c r="AA2" s="2484" t="s">
        <v>3260</v>
      </c>
      <c r="AB2" s="2484" t="s">
        <v>3261</v>
      </c>
      <c r="AC2" s="2484" t="s">
        <v>3262</v>
      </c>
      <c r="AD2" s="2484" t="s">
        <v>3263</v>
      </c>
      <c r="AE2" s="2484" t="s">
        <v>3264</v>
      </c>
      <c r="AF2" s="2484" t="s">
        <v>1015</v>
      </c>
      <c r="AG2" s="2484" t="s">
        <v>1016</v>
      </c>
      <c r="AH2" s="2484" t="s">
        <v>1017</v>
      </c>
      <c r="AI2" s="2484" t="s">
        <v>1030</v>
      </c>
      <c r="AJ2" s="2498" t="s">
        <v>3265</v>
      </c>
      <c r="AK2" s="2498" t="s">
        <v>3266</v>
      </c>
      <c r="AL2" s="2497"/>
      <c r="AM2" s="2497"/>
      <c r="AN2" s="2497"/>
      <c r="AO2" s="2497"/>
      <c r="AP2" s="2497"/>
      <c r="AQ2" s="2497"/>
      <c r="AR2" s="2497"/>
      <c r="AS2" s="2497"/>
      <c r="AT2" s="2497"/>
      <c r="AU2" s="2497"/>
      <c r="AV2" s="2497"/>
      <c r="AW2" s="2497"/>
      <c r="AX2" s="2497"/>
      <c r="AY2" s="2497"/>
      <c r="AZ2" s="2497"/>
      <c r="BA2" s="2497"/>
      <c r="BB2" s="2497"/>
      <c r="BC2" s="2497"/>
      <c r="BD2" s="2497"/>
      <c r="BE2" s="2497"/>
      <c r="BF2" s="2497"/>
      <c r="BG2" s="2497"/>
      <c r="BH2" s="2497"/>
      <c r="BI2" s="2497"/>
      <c r="BJ2" s="2497"/>
      <c r="BK2" s="2497"/>
      <c r="BL2" s="2497"/>
      <c r="BM2" s="2497"/>
      <c r="BN2" s="2497"/>
      <c r="BO2" s="2497"/>
      <c r="BP2" s="2497"/>
      <c r="BQ2" s="2497"/>
      <c r="BR2" s="2497"/>
    </row>
    <row r="3" ht="14.25" spans="1:64">
      <c r="A3" s="2486" t="s">
        <v>1368</v>
      </c>
      <c r="B3" s="2487" t="s">
        <v>3267</v>
      </c>
      <c r="C3" s="2488" t="s">
        <v>3268</v>
      </c>
      <c r="D3" s="2487"/>
      <c r="E3" s="2487" t="s">
        <v>3269</v>
      </c>
      <c r="F3" s="2487" t="s">
        <v>1421</v>
      </c>
      <c r="G3" s="2487">
        <v>801</v>
      </c>
      <c r="H3" s="2487" t="s">
        <v>920</v>
      </c>
      <c r="I3" s="2487" t="s">
        <v>3270</v>
      </c>
      <c r="J3" s="2487" t="s">
        <v>461</v>
      </c>
      <c r="K3" s="2487">
        <v>1998</v>
      </c>
      <c r="L3" s="2487" t="s">
        <v>3271</v>
      </c>
      <c r="M3" s="2487"/>
      <c r="N3" s="2487"/>
      <c r="O3" s="2487"/>
      <c r="P3" s="2487"/>
      <c r="Q3" s="2487"/>
      <c r="R3" s="2487"/>
      <c r="S3" s="2487"/>
      <c r="T3" s="2487"/>
      <c r="U3" s="2487"/>
      <c r="V3" s="2487"/>
      <c r="W3" s="2487"/>
      <c r="X3" s="2487"/>
      <c r="Y3" s="2487"/>
      <c r="Z3" s="2487"/>
      <c r="AA3" s="2487"/>
      <c r="AB3" s="2487"/>
      <c r="AC3" s="2487"/>
      <c r="AD3" s="2487"/>
      <c r="AE3" s="2487" t="s">
        <v>1375</v>
      </c>
      <c r="AF3" s="2487">
        <v>2004</v>
      </c>
      <c r="AG3" s="2487">
        <v>8</v>
      </c>
      <c r="AH3" s="2487">
        <v>25</v>
      </c>
      <c r="AI3" s="2487" t="s">
        <v>1182</v>
      </c>
      <c r="AJ3" s="2487"/>
      <c r="AK3" s="2487">
        <v>-24</v>
      </c>
      <c r="AL3" s="2499"/>
      <c r="AM3" s="2499"/>
      <c r="AN3" s="2499"/>
      <c r="AO3" s="2499"/>
      <c r="AP3" s="2499"/>
      <c r="AQ3" s="2499"/>
      <c r="AR3" s="2499"/>
      <c r="AS3" s="2499"/>
      <c r="AT3" s="2499"/>
      <c r="AU3" s="2499"/>
      <c r="AV3" s="2499"/>
      <c r="AW3" s="2499"/>
      <c r="AX3" s="2499"/>
      <c r="AY3" s="2499"/>
      <c r="AZ3" s="2499"/>
      <c r="BA3" s="2499"/>
      <c r="BB3" s="2499"/>
      <c r="BC3" s="2499"/>
      <c r="BD3" s="2499"/>
      <c r="BE3" s="2499"/>
      <c r="BF3" s="2499"/>
      <c r="BG3" s="2499"/>
      <c r="BH3" s="2499"/>
      <c r="BI3" s="2499"/>
      <c r="BJ3" s="2499"/>
      <c r="BK3" s="2499"/>
      <c r="BL3" s="2499"/>
    </row>
    <row r="4" ht="14.25" spans="1:70">
      <c r="A4" s="2486" t="s">
        <v>1332</v>
      </c>
      <c r="B4" s="2487" t="s">
        <v>3272</v>
      </c>
      <c r="C4" s="2488" t="s">
        <v>3273</v>
      </c>
      <c r="D4" s="2487"/>
      <c r="E4" s="2487" t="s">
        <v>3269</v>
      </c>
      <c r="F4" s="2487">
        <v>1</v>
      </c>
      <c r="G4" s="2487" t="s">
        <v>3274</v>
      </c>
      <c r="H4" s="2487" t="s">
        <v>920</v>
      </c>
      <c r="I4" s="2487">
        <v>9</v>
      </c>
      <c r="J4" s="2487" t="s">
        <v>461</v>
      </c>
      <c r="K4" s="2487">
        <v>1999</v>
      </c>
      <c r="L4" s="2487" t="s">
        <v>906</v>
      </c>
      <c r="M4" s="2487"/>
      <c r="N4" s="2487"/>
      <c r="O4" s="2487"/>
      <c r="P4" s="2487"/>
      <c r="Q4" s="2487"/>
      <c r="R4" s="2487"/>
      <c r="S4" s="2487"/>
      <c r="T4" s="2487"/>
      <c r="U4" s="2487"/>
      <c r="V4" s="2487"/>
      <c r="W4" s="2487"/>
      <c r="X4" s="2487"/>
      <c r="Y4" s="2487"/>
      <c r="Z4" s="2487"/>
      <c r="AA4" s="2487"/>
      <c r="AB4" s="2487"/>
      <c r="AC4" s="2487"/>
      <c r="AD4" s="2487"/>
      <c r="AE4" s="2487" t="s">
        <v>1073</v>
      </c>
      <c r="AF4" s="2487">
        <v>2004</v>
      </c>
      <c r="AG4" s="2487">
        <v>7</v>
      </c>
      <c r="AH4" s="2487">
        <v>29</v>
      </c>
      <c r="AI4" s="2487" t="s">
        <v>1071</v>
      </c>
      <c r="AJ4" s="2487"/>
      <c r="AK4" s="2487">
        <v>-23</v>
      </c>
      <c r="AL4" s="2499"/>
      <c r="AM4" s="2499"/>
      <c r="AN4" s="2499"/>
      <c r="AO4" s="2499"/>
      <c r="AP4" s="2499"/>
      <c r="AQ4" s="2499"/>
      <c r="AR4" s="2499"/>
      <c r="AS4" s="2499"/>
      <c r="AT4" s="2499"/>
      <c r="AU4" s="2499"/>
      <c r="AV4" s="2499"/>
      <c r="AW4" s="2499"/>
      <c r="AX4" s="2499"/>
      <c r="AY4" s="2499"/>
      <c r="AZ4" s="2499"/>
      <c r="BA4" s="2499"/>
      <c r="BB4" s="2499"/>
      <c r="BC4" s="2499"/>
      <c r="BD4" s="2499"/>
      <c r="BE4" s="2499"/>
      <c r="BF4" s="2499"/>
      <c r="BG4" s="2499"/>
      <c r="BH4" s="2499"/>
      <c r="BI4" s="2499"/>
      <c r="BJ4" s="2499"/>
      <c r="BK4" s="2499"/>
      <c r="BL4" s="2499"/>
      <c r="BM4" s="2499"/>
      <c r="BN4" s="2499"/>
      <c r="BO4" s="2499"/>
      <c r="BP4" s="2499"/>
      <c r="BQ4" s="2499"/>
      <c r="BR4" s="2499"/>
    </row>
    <row r="5" ht="14.25" spans="1:38">
      <c r="A5" s="2486" t="s">
        <v>1359</v>
      </c>
      <c r="B5" s="2487" t="s">
        <v>3275</v>
      </c>
      <c r="C5" s="2488" t="s">
        <v>3276</v>
      </c>
      <c r="D5" s="2487" t="s">
        <v>3277</v>
      </c>
      <c r="E5" s="2487" t="s">
        <v>3269</v>
      </c>
      <c r="F5" s="2487">
        <v>2</v>
      </c>
      <c r="G5" s="2487" t="s">
        <v>3278</v>
      </c>
      <c r="H5" s="2487" t="s">
        <v>919</v>
      </c>
      <c r="I5" s="2487">
        <v>6</v>
      </c>
      <c r="J5" s="2487" t="s">
        <v>461</v>
      </c>
      <c r="K5" s="2487">
        <v>1998</v>
      </c>
      <c r="L5" s="2487"/>
      <c r="M5" s="2487" t="s">
        <v>3279</v>
      </c>
      <c r="N5" s="2487"/>
      <c r="O5" s="2487"/>
      <c r="P5" s="2487"/>
      <c r="Q5" s="2487"/>
      <c r="R5" s="2487"/>
      <c r="S5" s="2487"/>
      <c r="T5" s="2487"/>
      <c r="U5" s="2487"/>
      <c r="V5" s="2487"/>
      <c r="W5" s="2487"/>
      <c r="X5" s="2487"/>
      <c r="Y5" s="2487"/>
      <c r="Z5" s="2487"/>
      <c r="AA5" s="2487"/>
      <c r="AB5" s="2487"/>
      <c r="AC5" s="2487"/>
      <c r="AD5" s="2487"/>
      <c r="AE5" s="2487" t="s">
        <v>1073</v>
      </c>
      <c r="AF5" s="2487">
        <v>2004</v>
      </c>
      <c r="AG5" s="2487">
        <v>8</v>
      </c>
      <c r="AH5" s="2487">
        <v>18</v>
      </c>
      <c r="AI5" s="2487" t="s">
        <v>1072</v>
      </c>
      <c r="AJ5" s="2487"/>
      <c r="AK5" s="2487">
        <v>-24</v>
      </c>
      <c r="AL5" s="2499"/>
    </row>
    <row r="11" spans="1:66">
      <c r="A11" s="2482"/>
      <c r="B11" s="2483"/>
      <c r="C11" s="2482"/>
      <c r="D11" s="2482"/>
      <c r="E11" s="2482"/>
      <c r="F11" s="2482"/>
      <c r="G11" s="2482"/>
      <c r="H11" s="2482"/>
      <c r="I11" s="2482" t="s">
        <v>3280</v>
      </c>
      <c r="J11" s="2482" t="s">
        <v>3281</v>
      </c>
      <c r="K11" s="2482" t="s">
        <v>3282</v>
      </c>
      <c r="L11" s="2482" t="s">
        <v>3280</v>
      </c>
      <c r="M11" s="2482" t="s">
        <v>3281</v>
      </c>
      <c r="N11" s="2482" t="s">
        <v>3282</v>
      </c>
      <c r="O11" s="2482" t="s">
        <v>3280</v>
      </c>
      <c r="P11" s="2482" t="s">
        <v>3281</v>
      </c>
      <c r="Q11" s="2482" t="s">
        <v>3282</v>
      </c>
      <c r="R11" s="2482"/>
      <c r="S11" s="2482" t="s">
        <v>3280</v>
      </c>
      <c r="T11" s="2482" t="s">
        <v>3281</v>
      </c>
      <c r="U11" s="2482" t="s">
        <v>3282</v>
      </c>
      <c r="V11" s="2482"/>
      <c r="W11" s="2482" t="s">
        <v>3283</v>
      </c>
      <c r="X11" s="2482"/>
      <c r="Y11" s="2482"/>
      <c r="Z11" s="2482"/>
      <c r="AA11" s="2482"/>
      <c r="AB11" s="2482"/>
      <c r="AC11" s="2482"/>
      <c r="AD11" s="2482"/>
      <c r="AE11" s="2482"/>
      <c r="AF11" s="2482"/>
      <c r="AG11" s="2482"/>
      <c r="AH11" s="2482"/>
      <c r="AI11" s="2482"/>
      <c r="AJ11" s="2482"/>
      <c r="AK11" s="2482"/>
      <c r="AL11" s="2482"/>
      <c r="AM11" s="2482"/>
      <c r="AN11" s="2482"/>
      <c r="AO11" s="2482"/>
      <c r="AP11" s="2482"/>
      <c r="AQ11" s="2482"/>
      <c r="AR11" s="2482"/>
      <c r="AS11" s="2500"/>
      <c r="AT11" s="2482"/>
      <c r="AU11" s="2482"/>
      <c r="AV11" s="2482"/>
      <c r="AW11" s="2482"/>
      <c r="AX11" s="2482"/>
      <c r="AY11" s="2482"/>
      <c r="AZ11" s="2482"/>
      <c r="BA11" s="2482"/>
      <c r="BB11" s="2482"/>
      <c r="BC11" s="2482" t="s">
        <v>3239</v>
      </c>
      <c r="BD11" s="2482"/>
      <c r="BE11" s="2482"/>
      <c r="BF11" s="2482"/>
      <c r="BG11" s="2482"/>
      <c r="BH11" s="2482"/>
      <c r="BI11" s="2482"/>
      <c r="BJ11" s="2482"/>
      <c r="BK11" s="2482"/>
      <c r="BL11" s="2502"/>
      <c r="BM11" s="2502"/>
      <c r="BN11" s="2502"/>
    </row>
    <row r="12" spans="1:66">
      <c r="A12" s="2484" t="s">
        <v>690</v>
      </c>
      <c r="B12" s="2485" t="s">
        <v>3284</v>
      </c>
      <c r="C12" s="2484" t="s">
        <v>996</v>
      </c>
      <c r="D12" s="2484" t="s">
        <v>999</v>
      </c>
      <c r="E12" s="2484" t="s">
        <v>3285</v>
      </c>
      <c r="F12" s="2484" t="s">
        <v>3286</v>
      </c>
      <c r="G12" s="2484" t="s">
        <v>3287</v>
      </c>
      <c r="H12" s="2484" t="s">
        <v>3288</v>
      </c>
      <c r="I12" s="2484" t="s">
        <v>3289</v>
      </c>
      <c r="J12" s="2484" t="s">
        <v>3289</v>
      </c>
      <c r="K12" s="2484" t="s">
        <v>3289</v>
      </c>
      <c r="L12" s="2484" t="s">
        <v>3290</v>
      </c>
      <c r="M12" s="2484" t="s">
        <v>3290</v>
      </c>
      <c r="N12" s="2484" t="s">
        <v>3290</v>
      </c>
      <c r="O12" s="2484" t="s">
        <v>3291</v>
      </c>
      <c r="P12" s="2484" t="s">
        <v>3291</v>
      </c>
      <c r="Q12" s="2484" t="s">
        <v>3291</v>
      </c>
      <c r="R12" s="2484" t="s">
        <v>3292</v>
      </c>
      <c r="S12" s="2484" t="s">
        <v>3293</v>
      </c>
      <c r="T12" s="2484" t="s">
        <v>3293</v>
      </c>
      <c r="U12" s="2484" t="s">
        <v>3293</v>
      </c>
      <c r="V12" s="2484" t="s">
        <v>3294</v>
      </c>
      <c r="W12" s="2484" t="s">
        <v>3295</v>
      </c>
      <c r="X12" s="2484" t="s">
        <v>3296</v>
      </c>
      <c r="Y12" s="2484" t="s">
        <v>3297</v>
      </c>
      <c r="Z12" s="2484" t="s">
        <v>3298</v>
      </c>
      <c r="AA12" s="2484" t="s">
        <v>3299</v>
      </c>
      <c r="AB12" s="2484" t="s">
        <v>3300</v>
      </c>
      <c r="AC12" s="2484" t="s">
        <v>3301</v>
      </c>
      <c r="AD12" s="2484" t="s">
        <v>3302</v>
      </c>
      <c r="AE12" s="2484" t="s">
        <v>3303</v>
      </c>
      <c r="AF12" s="2484" t="s">
        <v>3304</v>
      </c>
      <c r="AG12" s="2484" t="s">
        <v>3305</v>
      </c>
      <c r="AH12" s="2484" t="s">
        <v>3306</v>
      </c>
      <c r="AI12" s="2484" t="s">
        <v>3307</v>
      </c>
      <c r="AJ12" s="2484" t="s">
        <v>3308</v>
      </c>
      <c r="AK12" s="2484" t="s">
        <v>3309</v>
      </c>
      <c r="AL12" s="2484" t="s">
        <v>3310</v>
      </c>
      <c r="AM12" s="2484" t="s">
        <v>3311</v>
      </c>
      <c r="AN12" s="2484" t="s">
        <v>3312</v>
      </c>
      <c r="AO12" s="2484" t="s">
        <v>3313</v>
      </c>
      <c r="AP12" s="2484" t="s">
        <v>3314</v>
      </c>
      <c r="AQ12" s="2484" t="s">
        <v>3315</v>
      </c>
      <c r="AR12" s="2484" t="s">
        <v>3316</v>
      </c>
      <c r="AS12" s="2501" t="s">
        <v>3317</v>
      </c>
      <c r="AT12" s="2484" t="s">
        <v>3318</v>
      </c>
      <c r="AU12" s="2484" t="s">
        <v>3319</v>
      </c>
      <c r="AV12" s="2484" t="s">
        <v>3320</v>
      </c>
      <c r="AW12" s="2484" t="s">
        <v>3321</v>
      </c>
      <c r="AX12" s="2484" t="s">
        <v>3322</v>
      </c>
      <c r="AY12" s="2484" t="s">
        <v>3323</v>
      </c>
      <c r="AZ12" s="2484" t="s">
        <v>3324</v>
      </c>
      <c r="BA12" s="2484" t="s">
        <v>3325</v>
      </c>
      <c r="BB12" s="2484" t="s">
        <v>3326</v>
      </c>
      <c r="BC12" s="2484" t="s">
        <v>1015</v>
      </c>
      <c r="BD12" s="2484" t="s">
        <v>1016</v>
      </c>
      <c r="BE12" s="2484" t="s">
        <v>1017</v>
      </c>
      <c r="BF12" s="2484" t="s">
        <v>1030</v>
      </c>
      <c r="BG12" s="2484" t="s">
        <v>3327</v>
      </c>
      <c r="BH12" s="2484" t="s">
        <v>3249</v>
      </c>
      <c r="BI12" s="2484" t="s">
        <v>904</v>
      </c>
      <c r="BJ12" s="2484" t="s">
        <v>3328</v>
      </c>
      <c r="BK12" s="2484" t="s">
        <v>3329</v>
      </c>
      <c r="BL12" s="2502"/>
      <c r="BM12" s="2502"/>
      <c r="BN12" s="2502"/>
    </row>
    <row r="13" spans="1:63">
      <c r="A13" s="2489" t="s">
        <v>1368</v>
      </c>
      <c r="B13" s="2488" t="s">
        <v>3330</v>
      </c>
      <c r="C13" s="2487" t="s">
        <v>1060</v>
      </c>
      <c r="D13" s="2487" t="s">
        <v>3331</v>
      </c>
      <c r="E13" s="2487"/>
      <c r="F13" s="2489" t="s">
        <v>3332</v>
      </c>
      <c r="G13" s="2489" t="s">
        <v>3333</v>
      </c>
      <c r="H13" s="2487" t="s">
        <v>3334</v>
      </c>
      <c r="I13" s="2487" t="s">
        <v>3335</v>
      </c>
      <c r="J13" s="2489" t="s">
        <v>3336</v>
      </c>
      <c r="K13" s="2489" t="s">
        <v>3336</v>
      </c>
      <c r="L13" s="2487" t="s">
        <v>3337</v>
      </c>
      <c r="M13" s="2487" t="s">
        <v>3338</v>
      </c>
      <c r="N13" s="2487" t="s">
        <v>3338</v>
      </c>
      <c r="O13" s="2489" t="s">
        <v>3339</v>
      </c>
      <c r="P13" s="2487" t="s">
        <v>3340</v>
      </c>
      <c r="Q13" s="2489" t="s">
        <v>3340</v>
      </c>
      <c r="R13" s="2489" t="s">
        <v>3341</v>
      </c>
      <c r="S13" s="2487" t="s">
        <v>3342</v>
      </c>
      <c r="T13" s="2489" t="s">
        <v>3343</v>
      </c>
      <c r="U13" s="2489" t="s">
        <v>3344</v>
      </c>
      <c r="V13" s="2487"/>
      <c r="W13" s="2487"/>
      <c r="X13" s="2489" t="s">
        <v>3345</v>
      </c>
      <c r="Y13" s="2487"/>
      <c r="Z13" s="2489" t="s">
        <v>3346</v>
      </c>
      <c r="AA13" s="2489" t="s">
        <v>3347</v>
      </c>
      <c r="AB13" s="2489" t="s">
        <v>3348</v>
      </c>
      <c r="AC13" s="2487" t="s">
        <v>3349</v>
      </c>
      <c r="AD13" s="2489" t="s">
        <v>3350</v>
      </c>
      <c r="AE13" s="2489" t="s">
        <v>3351</v>
      </c>
      <c r="AF13" s="2487"/>
      <c r="AG13" s="2487" t="s">
        <v>3352</v>
      </c>
      <c r="AH13" s="2489" t="s">
        <v>3353</v>
      </c>
      <c r="AI13" s="2489" t="s">
        <v>3354</v>
      </c>
      <c r="AJ13" s="2487" t="s">
        <v>3355</v>
      </c>
      <c r="AK13" s="2489" t="s">
        <v>3356</v>
      </c>
      <c r="AL13" s="2487" t="s">
        <v>3357</v>
      </c>
      <c r="AM13" s="2489" t="s">
        <v>3358</v>
      </c>
      <c r="AN13" s="2489" t="s">
        <v>3359</v>
      </c>
      <c r="AO13" s="2489" t="s">
        <v>3360</v>
      </c>
      <c r="AP13" s="2487" t="s">
        <v>3361</v>
      </c>
      <c r="AQ13" s="2489" t="s">
        <v>3362</v>
      </c>
      <c r="AR13" s="2489"/>
      <c r="AS13" s="2487"/>
      <c r="AT13" s="2487"/>
      <c r="AU13" s="2489" t="s">
        <v>915</v>
      </c>
      <c r="AV13" s="2489" t="s">
        <v>3363</v>
      </c>
      <c r="AW13" s="2489" t="s">
        <v>3363</v>
      </c>
      <c r="AX13" s="2489" t="s">
        <v>3364</v>
      </c>
      <c r="AY13" s="2489" t="s">
        <v>3363</v>
      </c>
      <c r="AZ13" s="2489" t="s">
        <v>899</v>
      </c>
      <c r="BA13" s="2489" t="s">
        <v>175</v>
      </c>
      <c r="BB13" s="2489"/>
      <c r="BC13" s="2489">
        <v>2004</v>
      </c>
      <c r="BD13" s="2489">
        <v>8</v>
      </c>
      <c r="BE13" s="2489">
        <v>4</v>
      </c>
      <c r="BF13" s="2489" t="s">
        <v>1182</v>
      </c>
      <c r="BG13" s="2489" t="s">
        <v>1074</v>
      </c>
      <c r="BH13" s="2489"/>
      <c r="BI13" s="2487"/>
      <c r="BJ13" s="2487"/>
      <c r="BK13" s="2487"/>
    </row>
    <row r="14" ht="14.25" spans="1:64">
      <c r="A14" s="2489" t="s">
        <v>1332</v>
      </c>
      <c r="B14" s="2488" t="s">
        <v>3365</v>
      </c>
      <c r="C14" s="2487" t="s">
        <v>1060</v>
      </c>
      <c r="D14" s="2487" t="s">
        <v>3366</v>
      </c>
      <c r="E14" s="2487"/>
      <c r="F14" s="2489" t="s">
        <v>3332</v>
      </c>
      <c r="G14" s="2489" t="s">
        <v>3333</v>
      </c>
      <c r="H14" s="2487" t="s">
        <v>3367</v>
      </c>
      <c r="I14" s="2487" t="s">
        <v>3333</v>
      </c>
      <c r="J14" s="2489" t="s">
        <v>3336</v>
      </c>
      <c r="K14" s="2489" t="s">
        <v>3336</v>
      </c>
      <c r="L14" s="2487" t="s">
        <v>3333</v>
      </c>
      <c r="M14" s="2487" t="s">
        <v>3338</v>
      </c>
      <c r="N14" s="2487" t="s">
        <v>3338</v>
      </c>
      <c r="O14" s="2489" t="s">
        <v>3368</v>
      </c>
      <c r="P14" s="2487" t="s">
        <v>3340</v>
      </c>
      <c r="Q14" s="2489" t="s">
        <v>3340</v>
      </c>
      <c r="R14" s="2489" t="s">
        <v>3341</v>
      </c>
      <c r="S14" s="2487"/>
      <c r="T14" s="2489" t="s">
        <v>3369</v>
      </c>
      <c r="U14" s="2489" t="s">
        <v>3370</v>
      </c>
      <c r="V14" s="2487"/>
      <c r="W14" s="2487"/>
      <c r="X14" s="2489" t="s">
        <v>3371</v>
      </c>
      <c r="Y14" s="2487"/>
      <c r="Z14" s="2489" t="s">
        <v>3346</v>
      </c>
      <c r="AA14" s="2489" t="s">
        <v>3347</v>
      </c>
      <c r="AB14" s="2489" t="s">
        <v>3348</v>
      </c>
      <c r="AC14" s="2487" t="s">
        <v>3349</v>
      </c>
      <c r="AD14" s="2489" t="s">
        <v>3372</v>
      </c>
      <c r="AE14" s="2489" t="s">
        <v>3373</v>
      </c>
      <c r="AF14" s="2487"/>
      <c r="AG14" s="2487" t="s">
        <v>3352</v>
      </c>
      <c r="AH14" s="2489" t="s">
        <v>3374</v>
      </c>
      <c r="AI14" s="2489" t="s">
        <v>3375</v>
      </c>
      <c r="AJ14" s="2487" t="s">
        <v>3376</v>
      </c>
      <c r="AK14" s="2489" t="s">
        <v>3356</v>
      </c>
      <c r="AL14" s="2487" t="s">
        <v>926</v>
      </c>
      <c r="AM14" s="2489" t="s">
        <v>3377</v>
      </c>
      <c r="AN14" s="2489" t="s">
        <v>3378</v>
      </c>
      <c r="AO14" s="2489" t="s">
        <v>3379</v>
      </c>
      <c r="AP14" s="2487" t="s">
        <v>3380</v>
      </c>
      <c r="AQ14" s="2489" t="s">
        <v>3381</v>
      </c>
      <c r="AR14" s="2489" t="s">
        <v>3382</v>
      </c>
      <c r="AS14" s="2487"/>
      <c r="AT14" s="2487"/>
      <c r="AU14" s="2489" t="s">
        <v>915</v>
      </c>
      <c r="AV14" s="2489" t="s">
        <v>3383</v>
      </c>
      <c r="AW14" s="2489" t="s">
        <v>3384</v>
      </c>
      <c r="AX14" s="2489" t="s">
        <v>3364</v>
      </c>
      <c r="AY14" s="2489" t="s">
        <v>3384</v>
      </c>
      <c r="AZ14" s="2489" t="s">
        <v>3384</v>
      </c>
      <c r="BA14" s="2489" t="s">
        <v>1073</v>
      </c>
      <c r="BB14" s="2489"/>
      <c r="BC14" s="2489">
        <v>2004</v>
      </c>
      <c r="BD14" s="2489">
        <v>7</v>
      </c>
      <c r="BE14" s="2489">
        <v>6</v>
      </c>
      <c r="BF14" s="2489" t="s">
        <v>1088</v>
      </c>
      <c r="BG14" s="2489" t="s">
        <v>1074</v>
      </c>
      <c r="BH14" s="2489"/>
      <c r="BI14" s="2487"/>
      <c r="BJ14" s="2487"/>
      <c r="BK14" s="2487"/>
      <c r="BL14" s="2499"/>
    </row>
    <row r="15" spans="1:63">
      <c r="A15" s="2489" t="s">
        <v>1359</v>
      </c>
      <c r="B15" s="2488" t="s">
        <v>3385</v>
      </c>
      <c r="C15" s="2487" t="s">
        <v>1060</v>
      </c>
      <c r="D15" s="2487" t="s">
        <v>3386</v>
      </c>
      <c r="E15" s="2487"/>
      <c r="F15" s="2489" t="s">
        <v>3332</v>
      </c>
      <c r="G15" s="2489" t="s">
        <v>3333</v>
      </c>
      <c r="H15" s="2487" t="s">
        <v>3387</v>
      </c>
      <c r="I15" s="2487" t="s">
        <v>3333</v>
      </c>
      <c r="J15" s="2489" t="s">
        <v>3388</v>
      </c>
      <c r="K15" s="2489" t="s">
        <v>3388</v>
      </c>
      <c r="L15" s="2487" t="s">
        <v>3333</v>
      </c>
      <c r="M15" s="2487" t="s">
        <v>3338</v>
      </c>
      <c r="N15" s="2487" t="s">
        <v>3338</v>
      </c>
      <c r="O15" s="2489" t="s">
        <v>3389</v>
      </c>
      <c r="P15" s="2487" t="s">
        <v>3340</v>
      </c>
      <c r="Q15" s="2489" t="s">
        <v>3340</v>
      </c>
      <c r="R15" s="2489" t="s">
        <v>3341</v>
      </c>
      <c r="S15" s="2487" t="s">
        <v>1572</v>
      </c>
      <c r="T15" s="2489" t="s">
        <v>3390</v>
      </c>
      <c r="U15" s="2489" t="s">
        <v>3391</v>
      </c>
      <c r="V15" s="2487"/>
      <c r="W15" s="2487"/>
      <c r="X15" s="2489" t="s">
        <v>3345</v>
      </c>
      <c r="Y15" s="2487"/>
      <c r="Z15" s="2489" t="s">
        <v>3346</v>
      </c>
      <c r="AA15" s="2489" t="s">
        <v>3347</v>
      </c>
      <c r="AB15" s="2489" t="s">
        <v>3348</v>
      </c>
      <c r="AC15" s="2487" t="s">
        <v>3392</v>
      </c>
      <c r="AD15" s="2489" t="s">
        <v>3350</v>
      </c>
      <c r="AE15" s="2489" t="s">
        <v>3373</v>
      </c>
      <c r="AF15" s="2487"/>
      <c r="AG15" s="2487" t="s">
        <v>3393</v>
      </c>
      <c r="AH15" s="2489" t="s">
        <v>3353</v>
      </c>
      <c r="AI15" s="2489" t="s">
        <v>3394</v>
      </c>
      <c r="AJ15" s="2487" t="s">
        <v>1572</v>
      </c>
      <c r="AK15" s="2489" t="s">
        <v>3356</v>
      </c>
      <c r="AL15" s="2487" t="s">
        <v>3395</v>
      </c>
      <c r="AM15" s="2489" t="s">
        <v>3377</v>
      </c>
      <c r="AN15" s="2489" t="s">
        <v>3396</v>
      </c>
      <c r="AO15" s="2489" t="s">
        <v>3379</v>
      </c>
      <c r="AP15" s="2487" t="s">
        <v>3397</v>
      </c>
      <c r="AQ15" s="2489" t="s">
        <v>3362</v>
      </c>
      <c r="AR15" s="2489" t="s">
        <v>3382</v>
      </c>
      <c r="AS15" s="2487"/>
      <c r="AT15" s="2487"/>
      <c r="AU15" s="2489" t="s">
        <v>3398</v>
      </c>
      <c r="AV15" s="2489" t="s">
        <v>3399</v>
      </c>
      <c r="AW15" s="2489" t="s">
        <v>3363</v>
      </c>
      <c r="AX15" s="2489" t="s">
        <v>3364</v>
      </c>
      <c r="AY15" s="2489" t="s">
        <v>3363</v>
      </c>
      <c r="AZ15" s="2489" t="s">
        <v>3363</v>
      </c>
      <c r="BA15" s="2489" t="s">
        <v>1067</v>
      </c>
      <c r="BB15" s="2489"/>
      <c r="BC15" s="2489">
        <v>2004</v>
      </c>
      <c r="BD15" s="2489">
        <v>8</v>
      </c>
      <c r="BE15" s="2489">
        <v>2</v>
      </c>
      <c r="BF15" s="2489"/>
      <c r="BG15" s="2489" t="s">
        <v>1074</v>
      </c>
      <c r="BH15" s="2489"/>
      <c r="BI15" s="2487"/>
      <c r="BJ15" s="2487"/>
      <c r="BK15" s="2487"/>
    </row>
  </sheetData>
  <mergeCells count="1">
    <mergeCell ref="O1:R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986"/>
      <c r="B1" s="3987"/>
    </row>
    <row r="2" spans="1:2">
      <c r="A2" s="3986"/>
      <c r="B2" s="3987"/>
    </row>
    <row r="3" spans="1:2">
      <c r="A3" s="3986"/>
      <c r="B3" s="3987"/>
    </row>
    <row r="4" spans="1:2">
      <c r="A4" s="3986"/>
      <c r="B4" s="3987"/>
    </row>
    <row r="5" spans="1:2">
      <c r="A5" s="3986"/>
      <c r="B5" s="3987"/>
    </row>
    <row r="6" spans="1:2">
      <c r="A6" s="3986"/>
      <c r="B6" s="3987"/>
    </row>
    <row r="7" spans="1:2">
      <c r="A7" s="3986"/>
      <c r="B7" s="3987"/>
    </row>
    <row r="8" spans="1:3">
      <c r="A8" s="3988" t="s">
        <v>71</v>
      </c>
      <c r="B8" s="3989" t="s">
        <v>72</v>
      </c>
      <c r="C8" s="3990"/>
    </row>
    <row r="9" spans="1:7">
      <c r="A9" s="3986"/>
      <c r="B9" s="3991" t="str">
        <f>项目基本情况!B1</f>
        <v>北京市预评估</v>
      </c>
      <c r="C9" s="3992"/>
      <c r="D9" s="3993"/>
      <c r="E9" s="3993"/>
      <c r="F9" s="3993"/>
      <c r="G9" s="3993"/>
    </row>
    <row r="10" spans="1:7">
      <c r="A10" s="3986"/>
      <c r="B10" s="3994"/>
      <c r="C10" s="3992"/>
      <c r="D10" s="3993"/>
      <c r="E10" s="3993"/>
      <c r="F10" s="3993"/>
      <c r="G10" s="3993"/>
    </row>
    <row r="11" spans="1:3">
      <c r="A11" s="3988" t="s">
        <v>71</v>
      </c>
      <c r="B11" s="3989" t="s">
        <v>73</v>
      </c>
      <c r="C11" s="3990"/>
    </row>
    <row r="12" spans="1:3">
      <c r="A12" s="3986"/>
      <c r="B12" s="3995" t="str">
        <f>项目基本情况!B4</f>
        <v>xx</v>
      </c>
      <c r="C12" s="3990"/>
    </row>
    <row r="13" spans="1:3">
      <c r="A13" s="3986"/>
      <c r="B13" s="3989"/>
      <c r="C13" s="3990"/>
    </row>
    <row r="14" spans="1:3">
      <c r="A14" s="3988" t="s">
        <v>71</v>
      </c>
      <c r="B14" s="3989" t="s">
        <v>74</v>
      </c>
      <c r="C14" s="3990"/>
    </row>
    <row r="15" spans="1:3">
      <c r="A15" s="3986"/>
      <c r="B15" s="3995" t="s">
        <v>75</v>
      </c>
      <c r="C15" s="3990"/>
    </row>
    <row r="16" spans="1:3">
      <c r="A16" s="3986"/>
      <c r="B16" s="3989"/>
      <c r="C16" s="3990"/>
    </row>
    <row r="17" spans="1:3">
      <c r="A17" s="3988" t="s">
        <v>71</v>
      </c>
      <c r="B17" s="3989" t="s">
        <v>76</v>
      </c>
      <c r="C17" s="3990"/>
    </row>
    <row r="18" s="3985" customFormat="1" spans="1:5">
      <c r="A18" s="3996"/>
      <c r="B18" s="3995" t="str">
        <f ca="1">CONCATENATE(项目基本情况!B3,"（注册号:",项目基本情况!C3,"）、",项目基本情况!D3,"（注册号:",项目基本情况!E3,")")</f>
        <v>陈颖（注册号:0）、（注册号:0)</v>
      </c>
      <c r="C18" s="3997"/>
      <c r="E18" s="3997"/>
    </row>
    <row r="19" spans="1:3">
      <c r="A19" s="3986"/>
      <c r="B19" s="3989"/>
      <c r="C19" s="3990"/>
    </row>
    <row r="20" spans="1:3">
      <c r="A20" s="3988" t="s">
        <v>71</v>
      </c>
      <c r="B20" s="3989" t="s">
        <v>77</v>
      </c>
      <c r="C20" s="3990"/>
    </row>
    <row r="21" spans="1:2">
      <c r="A21" s="3986"/>
      <c r="B21" s="3995" t="str">
        <f>"康正预评字"&amp;项目基本情况!G1&amp;"号"</f>
        <v>康正预评字号</v>
      </c>
    </row>
    <row r="22" spans="1:2">
      <c r="A22" s="3986"/>
      <c r="B22" s="3987"/>
    </row>
    <row r="23" spans="2:2">
      <c r="B23" s="399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8" sqref="G8"/>
    </sheetView>
  </sheetViews>
  <sheetFormatPr defaultColWidth="8.375" defaultRowHeight="12.75"/>
  <cols>
    <col min="1" max="1" width="9.375" style="2408" customWidth="1"/>
    <col min="2" max="2" width="29.25" style="2409" customWidth="1"/>
    <col min="3" max="3" width="12.125" style="2409" customWidth="1"/>
    <col min="4" max="4" width="12.25" style="2410" customWidth="1"/>
    <col min="5" max="5" width="11.25" style="2410" customWidth="1"/>
    <col min="6" max="6" width="9.5" style="2409" customWidth="1"/>
    <col min="7" max="7" width="31.875" style="2409" customWidth="1"/>
    <col min="8" max="123" width="9" style="2407" customWidth="1"/>
    <col min="124" max="254" width="9" style="2409" customWidth="1"/>
    <col min="255" max="16384" width="8.375" style="2409"/>
  </cols>
  <sheetData>
    <row r="1" s="2403" customFormat="1" ht="20.25" spans="1:123">
      <c r="A1" s="2316" t="s">
        <v>3400</v>
      </c>
      <c r="B1" s="2318"/>
      <c r="C1" s="2411"/>
      <c r="D1" s="2411"/>
      <c r="E1" s="2411"/>
      <c r="F1" s="2411"/>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03" customFormat="1" ht="18" customHeight="1" spans="1:123">
      <c r="A2" s="721" t="s">
        <v>870</v>
      </c>
      <c r="B2" s="2412">
        <f ca="1">IF(D2="——",IF(C2="元",C52,ROUND(C52/10000,0)),IF(C2="元",C52,ROUND(C52/10000,0))-E2)</f>
        <v>775139</v>
      </c>
      <c r="C2" s="1426" t="str">
        <f>'数据-取费表'!B3</f>
        <v>元</v>
      </c>
      <c r="D2" s="2413" t="s">
        <v>121</v>
      </c>
      <c r="E2" s="2414" t="e">
        <f ca="1">SUMIF(INDIRECT("'"&amp;G2&amp;"'"&amp;"!A:A"),"承租人权益价值",INDIRECT("'"&amp;G2&amp;"'"&amp;"!c:c"))</f>
        <v>#REF!</v>
      </c>
      <c r="F2" s="2415" t="str">
        <f>C2</f>
        <v>元</v>
      </c>
      <c r="G2" s="2416"/>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03" customFormat="1" ht="18" customHeight="1" spans="1:123">
      <c r="A3" s="726" t="s">
        <v>871</v>
      </c>
      <c r="B3" s="2321">
        <f ca="1">ROUND(C52/IF(B1="仅计算典型户型",'数据-取费表'!E5,'数据-取费表'!B5),0)</f>
        <v>6532</v>
      </c>
      <c r="C3" s="1426" t="s">
        <v>3401</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04" customFormat="1" ht="15.75" spans="1:123">
      <c r="A4" s="2417" t="s">
        <v>3402</v>
      </c>
      <c r="B4" s="2418"/>
      <c r="C4" s="2418"/>
      <c r="D4" s="2418"/>
      <c r="E4" s="2418"/>
      <c r="F4" s="2418"/>
      <c r="G4" s="2419"/>
      <c r="H4" s="2420"/>
      <c r="I4" s="2420"/>
      <c r="J4" s="2420"/>
      <c r="K4" s="2420"/>
      <c r="L4" s="2420"/>
      <c r="M4" s="2420"/>
      <c r="N4" s="2420"/>
      <c r="O4" s="2420"/>
      <c r="P4" s="2420"/>
      <c r="Q4" s="2420"/>
      <c r="R4" s="2420"/>
      <c r="S4" s="2420"/>
      <c r="T4" s="2420"/>
      <c r="U4" s="2420"/>
      <c r="V4" s="2420"/>
      <c r="W4" s="2420"/>
      <c r="X4" s="2420"/>
      <c r="Y4" s="2420"/>
      <c r="Z4" s="2420"/>
      <c r="AA4" s="2420"/>
      <c r="AB4" s="2420"/>
      <c r="AC4" s="2420"/>
      <c r="AD4" s="2420"/>
      <c r="AE4" s="2420"/>
      <c r="AF4" s="2420"/>
      <c r="AG4" s="2420"/>
      <c r="AH4" s="2420"/>
      <c r="AI4" s="2420"/>
      <c r="AJ4" s="2420"/>
      <c r="AK4" s="2420"/>
      <c r="AL4" s="2420"/>
      <c r="AM4" s="2420"/>
      <c r="AN4" s="2420"/>
      <c r="AO4" s="2420"/>
      <c r="AP4" s="2420"/>
      <c r="AQ4" s="2420"/>
      <c r="AR4" s="2420"/>
      <c r="AS4" s="2420"/>
      <c r="AT4" s="2420"/>
      <c r="AU4" s="2420"/>
      <c r="AV4" s="2420"/>
      <c r="AW4" s="2420"/>
      <c r="AX4" s="2420"/>
      <c r="AY4" s="2420"/>
      <c r="AZ4" s="2420"/>
      <c r="BA4" s="2420"/>
      <c r="BB4" s="2420"/>
      <c r="BC4" s="2420"/>
      <c r="BD4" s="2420"/>
      <c r="BE4" s="2420"/>
      <c r="BF4" s="2420"/>
      <c r="BG4" s="2420"/>
      <c r="BH4" s="2420"/>
      <c r="BI4" s="2420"/>
      <c r="BJ4" s="2420"/>
      <c r="BK4" s="2420"/>
      <c r="BL4" s="2420"/>
      <c r="BM4" s="2420"/>
      <c r="BN4" s="2420"/>
      <c r="BO4" s="2420"/>
      <c r="BP4" s="2420"/>
      <c r="BQ4" s="2420"/>
      <c r="BR4" s="2420"/>
      <c r="BS4" s="2420"/>
      <c r="BT4" s="2420"/>
      <c r="BU4" s="2420"/>
      <c r="BV4" s="2420"/>
      <c r="BW4" s="2420"/>
      <c r="BX4" s="2420"/>
      <c r="BY4" s="2420"/>
      <c r="BZ4" s="2420"/>
      <c r="CA4" s="2420"/>
      <c r="CB4" s="2420"/>
      <c r="CC4" s="2420"/>
      <c r="CD4" s="2420"/>
      <c r="CE4" s="2420"/>
      <c r="CF4" s="2420"/>
      <c r="CG4" s="2420"/>
      <c r="CH4" s="2420"/>
      <c r="CI4" s="2420"/>
      <c r="CJ4" s="2420"/>
      <c r="CK4" s="2420"/>
      <c r="CL4" s="2420"/>
      <c r="CM4" s="2420"/>
      <c r="CN4" s="2420"/>
      <c r="CO4" s="2420"/>
      <c r="CP4" s="2420"/>
      <c r="CQ4" s="2420"/>
      <c r="CR4" s="2420"/>
      <c r="CS4" s="2420"/>
      <c r="CT4" s="2420"/>
      <c r="CU4" s="2420"/>
      <c r="CV4" s="2420"/>
      <c r="CW4" s="2420"/>
      <c r="CX4" s="2420"/>
      <c r="CY4" s="2420"/>
      <c r="CZ4" s="2420"/>
      <c r="DA4" s="2420"/>
      <c r="DB4" s="2420"/>
      <c r="DC4" s="2420"/>
      <c r="DD4" s="2420"/>
      <c r="DE4" s="2420"/>
      <c r="DF4" s="2420"/>
      <c r="DG4" s="2420"/>
      <c r="DH4" s="2420"/>
      <c r="DI4" s="2420"/>
      <c r="DJ4" s="2420"/>
      <c r="DK4" s="2420"/>
      <c r="DL4" s="2420"/>
      <c r="DM4" s="2420"/>
      <c r="DN4" s="2420"/>
      <c r="DO4" s="2420"/>
      <c r="DP4" s="2420"/>
      <c r="DQ4" s="2420"/>
      <c r="DR4" s="2420"/>
      <c r="DS4" s="2420"/>
    </row>
    <row r="5" s="2405" customFormat="1" ht="13.5" customHeight="1" spans="1:123">
      <c r="A5" s="2421" t="s">
        <v>3403</v>
      </c>
      <c r="B5" s="2422" t="s">
        <v>3404</v>
      </c>
      <c r="C5" s="2423">
        <f>C6+C7+C8</f>
        <v>398175</v>
      </c>
      <c r="D5" s="2423" t="s">
        <v>3405</v>
      </c>
      <c r="E5" s="2424" t="s">
        <v>3406</v>
      </c>
      <c r="F5" s="2424" t="s">
        <v>724</v>
      </c>
      <c r="G5" s="2425"/>
      <c r="H5" s="2406"/>
      <c r="I5" s="2406"/>
      <c r="J5" s="2406"/>
      <c r="K5" s="2406"/>
      <c r="L5" s="2406"/>
      <c r="M5" s="2406"/>
      <c r="N5" s="2406"/>
      <c r="O5" s="2406"/>
      <c r="P5" s="2406"/>
      <c r="Q5" s="2406"/>
      <c r="R5" s="2406"/>
      <c r="S5" s="2406"/>
      <c r="T5" s="2406"/>
      <c r="U5" s="2406"/>
      <c r="V5" s="2406"/>
      <c r="W5" s="2406"/>
      <c r="X5" s="2406"/>
      <c r="Y5" s="2406"/>
      <c r="Z5" s="2406"/>
      <c r="AA5" s="2406"/>
      <c r="AB5" s="2406"/>
      <c r="AC5" s="2406"/>
      <c r="AD5" s="2406"/>
      <c r="AE5" s="2406"/>
      <c r="AF5" s="2406"/>
      <c r="AG5" s="2406"/>
      <c r="AH5" s="2406"/>
      <c r="AI5" s="2406"/>
      <c r="AJ5" s="2406"/>
      <c r="AK5" s="2406"/>
      <c r="AL5" s="2406"/>
      <c r="AM5" s="2406"/>
      <c r="AN5" s="2406"/>
      <c r="AO5" s="2406"/>
      <c r="AP5" s="2406"/>
      <c r="AQ5" s="2406"/>
      <c r="AR5" s="2406"/>
      <c r="AS5" s="2406"/>
      <c r="AT5" s="2406"/>
      <c r="AU5" s="2406"/>
      <c r="AV5" s="2406"/>
      <c r="AW5" s="2406"/>
      <c r="AX5" s="2406"/>
      <c r="AY5" s="2406"/>
      <c r="AZ5" s="2406"/>
      <c r="BA5" s="2406"/>
      <c r="BB5" s="2406"/>
      <c r="BC5" s="2406"/>
      <c r="BD5" s="2406"/>
      <c r="BE5" s="2406"/>
      <c r="BF5" s="2406"/>
      <c r="BG5" s="2406"/>
      <c r="BH5" s="2406"/>
      <c r="BI5" s="2406"/>
      <c r="BJ5" s="2406"/>
      <c r="BK5" s="2406"/>
      <c r="BL5" s="2406"/>
      <c r="BM5" s="2406"/>
      <c r="BN5" s="2406"/>
      <c r="BO5" s="2406"/>
      <c r="BP5" s="2406"/>
      <c r="BQ5" s="2406"/>
      <c r="BR5" s="2406"/>
      <c r="BS5" s="2406"/>
      <c r="BT5" s="2406"/>
      <c r="BU5" s="2406"/>
      <c r="BV5" s="2406"/>
      <c r="BW5" s="2406"/>
      <c r="BX5" s="2406"/>
      <c r="BY5" s="2406"/>
      <c r="BZ5" s="2406"/>
      <c r="CA5" s="2406"/>
      <c r="CB5" s="2406"/>
      <c r="CC5" s="2406"/>
      <c r="CD5" s="2406"/>
      <c r="CE5" s="2406"/>
      <c r="CF5" s="2406"/>
      <c r="CG5" s="2406"/>
      <c r="CH5" s="2406"/>
      <c r="CI5" s="2406"/>
      <c r="CJ5" s="2406"/>
      <c r="CK5" s="2406"/>
      <c r="CL5" s="2406"/>
      <c r="CM5" s="2406"/>
      <c r="CN5" s="2406"/>
      <c r="CO5" s="2406"/>
      <c r="CP5" s="2406"/>
      <c r="CQ5" s="2406"/>
      <c r="CR5" s="2406"/>
      <c r="CS5" s="2406"/>
      <c r="CT5" s="2406"/>
      <c r="CU5" s="2406"/>
      <c r="CV5" s="2406"/>
      <c r="CW5" s="2406"/>
      <c r="CX5" s="2406"/>
      <c r="CY5" s="2406"/>
      <c r="CZ5" s="2406"/>
      <c r="DA5" s="2406"/>
      <c r="DB5" s="2406"/>
      <c r="DC5" s="2406"/>
      <c r="DD5" s="2406"/>
      <c r="DE5" s="2406"/>
      <c r="DF5" s="2406"/>
      <c r="DG5" s="2406"/>
      <c r="DH5" s="2406"/>
      <c r="DI5" s="2406"/>
      <c r="DJ5" s="2406"/>
      <c r="DK5" s="2406"/>
      <c r="DL5" s="2406"/>
      <c r="DM5" s="2406"/>
      <c r="DN5" s="2406"/>
      <c r="DO5" s="2406"/>
      <c r="DP5" s="2406"/>
      <c r="DQ5" s="2406"/>
      <c r="DR5" s="2406"/>
      <c r="DS5" s="2406"/>
    </row>
    <row r="6" s="2405" customFormat="1" ht="13.5" customHeight="1" spans="1:123">
      <c r="A6" s="2426" t="s">
        <v>3407</v>
      </c>
      <c r="B6" s="2427" t="s">
        <v>3408</v>
      </c>
      <c r="C6" s="2428">
        <f>'[2]2002基准地价'!$E$18</f>
        <v>386390</v>
      </c>
      <c r="D6" s="2429"/>
      <c r="E6" s="2430"/>
      <c r="F6" s="2430"/>
      <c r="G6" s="2431"/>
      <c r="H6" s="2406"/>
      <c r="I6" s="2406"/>
      <c r="J6" s="2406"/>
      <c r="K6" s="2406"/>
      <c r="L6" s="2406"/>
      <c r="M6" s="2406"/>
      <c r="N6" s="2406"/>
      <c r="O6" s="2406"/>
      <c r="P6" s="2406"/>
      <c r="Q6" s="2406"/>
      <c r="R6" s="2406"/>
      <c r="S6" s="2406"/>
      <c r="T6" s="2406"/>
      <c r="U6" s="2406"/>
      <c r="V6" s="2406"/>
      <c r="W6" s="2406"/>
      <c r="X6" s="2406"/>
      <c r="Y6" s="2406"/>
      <c r="Z6" s="2406"/>
      <c r="AA6" s="2406"/>
      <c r="AB6" s="2406"/>
      <c r="AC6" s="2406"/>
      <c r="AD6" s="2406"/>
      <c r="AE6" s="2406"/>
      <c r="AF6" s="2406"/>
      <c r="AG6" s="2406"/>
      <c r="AH6" s="2406"/>
      <c r="AI6" s="2406"/>
      <c r="AJ6" s="2406"/>
      <c r="AK6" s="2406"/>
      <c r="AL6" s="2406"/>
      <c r="AM6" s="2406"/>
      <c r="AN6" s="2406"/>
      <c r="AO6" s="2406"/>
      <c r="AP6" s="2406"/>
      <c r="AQ6" s="2406"/>
      <c r="AR6" s="2406"/>
      <c r="AS6" s="2406"/>
      <c r="AT6" s="2406"/>
      <c r="AU6" s="2406"/>
      <c r="AV6" s="2406"/>
      <c r="AW6" s="2406"/>
      <c r="AX6" s="2406"/>
      <c r="AY6" s="2406"/>
      <c r="AZ6" s="2406"/>
      <c r="BA6" s="2406"/>
      <c r="BB6" s="2406"/>
      <c r="BC6" s="2406"/>
      <c r="BD6" s="2406"/>
      <c r="BE6" s="2406"/>
      <c r="BF6" s="2406"/>
      <c r="BG6" s="2406"/>
      <c r="BH6" s="2406"/>
      <c r="BI6" s="2406"/>
      <c r="BJ6" s="2406"/>
      <c r="BK6" s="2406"/>
      <c r="BL6" s="2406"/>
      <c r="BM6" s="2406"/>
      <c r="BN6" s="2406"/>
      <c r="BO6" s="2406"/>
      <c r="BP6" s="2406"/>
      <c r="BQ6" s="2406"/>
      <c r="BR6" s="2406"/>
      <c r="BS6" s="2406"/>
      <c r="BT6" s="2406"/>
      <c r="BU6" s="2406"/>
      <c r="BV6" s="2406"/>
      <c r="BW6" s="2406"/>
      <c r="BX6" s="2406"/>
      <c r="BY6" s="2406"/>
      <c r="BZ6" s="2406"/>
      <c r="CA6" s="2406"/>
      <c r="CB6" s="2406"/>
      <c r="CC6" s="2406"/>
      <c r="CD6" s="2406"/>
      <c r="CE6" s="2406"/>
      <c r="CF6" s="2406"/>
      <c r="CG6" s="2406"/>
      <c r="CH6" s="2406"/>
      <c r="CI6" s="2406"/>
      <c r="CJ6" s="2406"/>
      <c r="CK6" s="2406"/>
      <c r="CL6" s="2406"/>
      <c r="CM6" s="2406"/>
      <c r="CN6" s="2406"/>
      <c r="CO6" s="2406"/>
      <c r="CP6" s="2406"/>
      <c r="CQ6" s="2406"/>
      <c r="CR6" s="2406"/>
      <c r="CS6" s="2406"/>
      <c r="CT6" s="2406"/>
      <c r="CU6" s="2406"/>
      <c r="CV6" s="2406"/>
      <c r="CW6" s="2406"/>
      <c r="CX6" s="2406"/>
      <c r="CY6" s="2406"/>
      <c r="CZ6" s="2406"/>
      <c r="DA6" s="2406"/>
      <c r="DB6" s="2406"/>
      <c r="DC6" s="2406"/>
      <c r="DD6" s="2406"/>
      <c r="DE6" s="2406"/>
      <c r="DF6" s="2406"/>
      <c r="DG6" s="2406"/>
      <c r="DH6" s="2406"/>
      <c r="DI6" s="2406"/>
      <c r="DJ6" s="2406"/>
      <c r="DK6" s="2406"/>
      <c r="DL6" s="2406"/>
      <c r="DM6" s="2406"/>
      <c r="DN6" s="2406"/>
      <c r="DO6" s="2406"/>
      <c r="DP6" s="2406"/>
      <c r="DQ6" s="2406"/>
      <c r="DR6" s="2406"/>
      <c r="DS6" s="2406"/>
    </row>
    <row r="7" s="2405" customFormat="1" ht="13.5" customHeight="1" spans="1:123">
      <c r="A7" s="2426" t="s">
        <v>3409</v>
      </c>
      <c r="B7" s="2427" t="s">
        <v>3410</v>
      </c>
      <c r="C7" s="2432">
        <f>ROUND(C6*F7,0)</f>
        <v>11785</v>
      </c>
      <c r="D7" s="2432"/>
      <c r="E7" s="2430"/>
      <c r="F7" s="2433">
        <f>'数据-取费表'!E36+'数据-取费表'!E37</f>
        <v>0.0305</v>
      </c>
      <c r="G7" s="2431"/>
      <c r="H7" s="2406"/>
      <c r="I7" s="2406"/>
      <c r="J7" s="2406"/>
      <c r="K7" s="2406"/>
      <c r="L7" s="2406"/>
      <c r="M7" s="2406"/>
      <c r="N7" s="2406"/>
      <c r="O7" s="2406"/>
      <c r="P7" s="2406"/>
      <c r="Q7" s="2406"/>
      <c r="R7" s="2406"/>
      <c r="S7" s="2406"/>
      <c r="T7" s="2406"/>
      <c r="U7" s="2406"/>
      <c r="V7" s="2406"/>
      <c r="W7" s="2406"/>
      <c r="X7" s="2406"/>
      <c r="Y7" s="2406"/>
      <c r="Z7" s="2406"/>
      <c r="AA7" s="2406"/>
      <c r="AB7" s="2406"/>
      <c r="AC7" s="2406"/>
      <c r="AD7" s="2406"/>
      <c r="AE7" s="2406"/>
      <c r="AF7" s="2406"/>
      <c r="AG7" s="2406"/>
      <c r="AH7" s="2406"/>
      <c r="AI7" s="2406"/>
      <c r="AJ7" s="2406"/>
      <c r="AK7" s="2406"/>
      <c r="AL7" s="2406"/>
      <c r="AM7" s="2406"/>
      <c r="AN7" s="2406"/>
      <c r="AO7" s="2406"/>
      <c r="AP7" s="2406"/>
      <c r="AQ7" s="2406"/>
      <c r="AR7" s="2406"/>
      <c r="AS7" s="2406"/>
      <c r="AT7" s="2406"/>
      <c r="AU7" s="2406"/>
      <c r="AV7" s="2406"/>
      <c r="AW7" s="2406"/>
      <c r="AX7" s="2406"/>
      <c r="AY7" s="2406"/>
      <c r="AZ7" s="2406"/>
      <c r="BA7" s="2406"/>
      <c r="BB7" s="2406"/>
      <c r="BC7" s="2406"/>
      <c r="BD7" s="2406"/>
      <c r="BE7" s="2406"/>
      <c r="BF7" s="2406"/>
      <c r="BG7" s="2406"/>
      <c r="BH7" s="2406"/>
      <c r="BI7" s="2406"/>
      <c r="BJ7" s="2406"/>
      <c r="BK7" s="2406"/>
      <c r="BL7" s="2406"/>
      <c r="BM7" s="2406"/>
      <c r="BN7" s="2406"/>
      <c r="BO7" s="2406"/>
      <c r="BP7" s="2406"/>
      <c r="BQ7" s="2406"/>
      <c r="BR7" s="2406"/>
      <c r="BS7" s="2406"/>
      <c r="BT7" s="2406"/>
      <c r="BU7" s="2406"/>
      <c r="BV7" s="2406"/>
      <c r="BW7" s="2406"/>
      <c r="BX7" s="2406"/>
      <c r="BY7" s="2406"/>
      <c r="BZ7" s="2406"/>
      <c r="CA7" s="2406"/>
      <c r="CB7" s="2406"/>
      <c r="CC7" s="2406"/>
      <c r="CD7" s="2406"/>
      <c r="CE7" s="2406"/>
      <c r="CF7" s="2406"/>
      <c r="CG7" s="2406"/>
      <c r="CH7" s="2406"/>
      <c r="CI7" s="2406"/>
      <c r="CJ7" s="2406"/>
      <c r="CK7" s="2406"/>
      <c r="CL7" s="2406"/>
      <c r="CM7" s="2406"/>
      <c r="CN7" s="2406"/>
      <c r="CO7" s="2406"/>
      <c r="CP7" s="2406"/>
      <c r="CQ7" s="2406"/>
      <c r="CR7" s="2406"/>
      <c r="CS7" s="2406"/>
      <c r="CT7" s="2406"/>
      <c r="CU7" s="2406"/>
      <c r="CV7" s="2406"/>
      <c r="CW7" s="2406"/>
      <c r="CX7" s="2406"/>
      <c r="CY7" s="2406"/>
      <c r="CZ7" s="2406"/>
      <c r="DA7" s="2406"/>
      <c r="DB7" s="2406"/>
      <c r="DC7" s="2406"/>
      <c r="DD7" s="2406"/>
      <c r="DE7" s="2406"/>
      <c r="DF7" s="2406"/>
      <c r="DG7" s="2406"/>
      <c r="DH7" s="2406"/>
      <c r="DI7" s="2406"/>
      <c r="DJ7" s="2406"/>
      <c r="DK7" s="2406"/>
      <c r="DL7" s="2406"/>
      <c r="DM7" s="2406"/>
      <c r="DN7" s="2406"/>
      <c r="DO7" s="2406"/>
      <c r="DP7" s="2406"/>
      <c r="DQ7" s="2406"/>
      <c r="DR7" s="2406"/>
      <c r="DS7" s="2406"/>
    </row>
    <row r="8" s="2406" customFormat="1" spans="1:7">
      <c r="A8" s="2426" t="s">
        <v>3411</v>
      </c>
      <c r="B8" s="2427" t="s">
        <v>3412</v>
      </c>
      <c r="C8" s="2432" t="str">
        <f>IF(G8="已包含在土地购买价格中","0",'数据-取费表'!E13)</f>
        <v>0</v>
      </c>
      <c r="D8" s="2434"/>
      <c r="E8" s="2432"/>
      <c r="F8" s="2433"/>
      <c r="G8" s="2435" t="s">
        <v>3413</v>
      </c>
    </row>
    <row r="9" s="2405" customFormat="1" ht="13.5" customHeight="1" spans="1:123">
      <c r="A9" s="2436" t="s">
        <v>3414</v>
      </c>
      <c r="B9" s="2437" t="s">
        <v>3415</v>
      </c>
      <c r="C9" s="2438">
        <f>ROUND(D9*E9,0)</f>
        <v>18987</v>
      </c>
      <c r="D9" s="2439">
        <f>IF('数据-取费表'!B10="住宅",IF(B1="仅计算典型户型",'数据-取费表'!E5,'数据-取费表'!B5),0)</f>
        <v>118.67</v>
      </c>
      <c r="E9" s="2438">
        <f>'数据-取费表'!E11</f>
        <v>160</v>
      </c>
      <c r="F9" s="2433"/>
      <c r="G9" s="2440"/>
      <c r="H9" s="2406"/>
      <c r="I9" s="2406"/>
      <c r="J9" s="2406"/>
      <c r="K9" s="2406"/>
      <c r="L9" s="2406"/>
      <c r="M9" s="2406"/>
      <c r="N9" s="2406"/>
      <c r="O9" s="2406"/>
      <c r="P9" s="2406"/>
      <c r="Q9" s="2406"/>
      <c r="R9" s="2406"/>
      <c r="S9" s="2406"/>
      <c r="T9" s="2406"/>
      <c r="U9" s="2406"/>
      <c r="V9" s="2406"/>
      <c r="W9" s="2406"/>
      <c r="X9" s="2406"/>
      <c r="Y9" s="2406"/>
      <c r="Z9" s="2406"/>
      <c r="AA9" s="2406"/>
      <c r="AB9" s="2406"/>
      <c r="AC9" s="2406"/>
      <c r="AD9" s="2406"/>
      <c r="AE9" s="2406"/>
      <c r="AF9" s="2406"/>
      <c r="AG9" s="2406"/>
      <c r="AH9" s="2406"/>
      <c r="AI9" s="2406"/>
      <c r="AJ9" s="2406"/>
      <c r="AK9" s="2406"/>
      <c r="AL9" s="2406"/>
      <c r="AM9" s="2406"/>
      <c r="AN9" s="2406"/>
      <c r="AO9" s="2406"/>
      <c r="AP9" s="2406"/>
      <c r="AQ9" s="2406"/>
      <c r="AR9" s="2406"/>
      <c r="AS9" s="2406"/>
      <c r="AT9" s="2406"/>
      <c r="AU9" s="2406"/>
      <c r="AV9" s="2406"/>
      <c r="AW9" s="2406"/>
      <c r="AX9" s="2406"/>
      <c r="AY9" s="2406"/>
      <c r="AZ9" s="2406"/>
      <c r="BA9" s="2406"/>
      <c r="BB9" s="2406"/>
      <c r="BC9" s="2406"/>
      <c r="BD9" s="2406"/>
      <c r="BE9" s="2406"/>
      <c r="BF9" s="2406"/>
      <c r="BG9" s="2406"/>
      <c r="BH9" s="2406"/>
      <c r="BI9" s="2406"/>
      <c r="BJ9" s="2406"/>
      <c r="BK9" s="2406"/>
      <c r="BL9" s="2406"/>
      <c r="BM9" s="2406"/>
      <c r="BN9" s="2406"/>
      <c r="BO9" s="2406"/>
      <c r="BP9" s="2406"/>
      <c r="BQ9" s="2406"/>
      <c r="BR9" s="2406"/>
      <c r="BS9" s="2406"/>
      <c r="BT9" s="2406"/>
      <c r="BU9" s="2406"/>
      <c r="BV9" s="2406"/>
      <c r="BW9" s="2406"/>
      <c r="BX9" s="2406"/>
      <c r="BY9" s="2406"/>
      <c r="BZ9" s="2406"/>
      <c r="CA9" s="2406"/>
      <c r="CB9" s="2406"/>
      <c r="CC9" s="2406"/>
      <c r="CD9" s="2406"/>
      <c r="CE9" s="2406"/>
      <c r="CF9" s="2406"/>
      <c r="CG9" s="2406"/>
      <c r="CH9" s="2406"/>
      <c r="CI9" s="2406"/>
      <c r="CJ9" s="2406"/>
      <c r="CK9" s="2406"/>
      <c r="CL9" s="2406"/>
      <c r="CM9" s="2406"/>
      <c r="CN9" s="2406"/>
      <c r="CO9" s="2406"/>
      <c r="CP9" s="2406"/>
      <c r="CQ9" s="2406"/>
      <c r="CR9" s="2406"/>
      <c r="CS9" s="2406"/>
      <c r="CT9" s="2406"/>
      <c r="CU9" s="2406"/>
      <c r="CV9" s="2406"/>
      <c r="CW9" s="2406"/>
      <c r="CX9" s="2406"/>
      <c r="CY9" s="2406"/>
      <c r="CZ9" s="2406"/>
      <c r="DA9" s="2406"/>
      <c r="DB9" s="2406"/>
      <c r="DC9" s="2406"/>
      <c r="DD9" s="2406"/>
      <c r="DE9" s="2406"/>
      <c r="DF9" s="2406"/>
      <c r="DG9" s="2406"/>
      <c r="DH9" s="2406"/>
      <c r="DI9" s="2406"/>
      <c r="DJ9" s="2406"/>
      <c r="DK9" s="2406"/>
      <c r="DL9" s="2406"/>
      <c r="DM9" s="2406"/>
      <c r="DN9" s="2406"/>
      <c r="DO9" s="2406"/>
      <c r="DP9" s="2406"/>
      <c r="DQ9" s="2406"/>
      <c r="DR9" s="2406"/>
      <c r="DS9" s="2406"/>
    </row>
    <row r="10" s="2405" customFormat="1" ht="13.5" customHeight="1" spans="1:123">
      <c r="A10" s="2436" t="s">
        <v>3416</v>
      </c>
      <c r="B10" s="2437" t="s">
        <v>3417</v>
      </c>
      <c r="C10" s="2438">
        <f>ROUND(D10*E10,0)</f>
        <v>0</v>
      </c>
      <c r="D10" s="2439">
        <f>IF('数据-取费表'!B10&lt;&gt;"住宅",IF(B1="仅计算典型户型",'数据-取费表'!E5,'数据-取费表'!B5),0)</f>
        <v>0</v>
      </c>
      <c r="E10" s="2438">
        <f>'数据-取费表'!E12</f>
        <v>200</v>
      </c>
      <c r="F10" s="2433"/>
      <c r="G10" s="2440"/>
      <c r="H10" s="2406"/>
      <c r="I10" s="2406"/>
      <c r="J10" s="2406"/>
      <c r="K10" s="2406"/>
      <c r="L10" s="2406"/>
      <c r="M10" s="2406"/>
      <c r="N10" s="2406"/>
      <c r="O10" s="2406"/>
      <c r="P10" s="2406"/>
      <c r="Q10" s="2406"/>
      <c r="R10" s="2406"/>
      <c r="S10" s="2406"/>
      <c r="T10" s="2406"/>
      <c r="U10" s="2406"/>
      <c r="V10" s="2406"/>
      <c r="W10" s="2406"/>
      <c r="X10" s="2406"/>
      <c r="Y10" s="2406"/>
      <c r="Z10" s="2406"/>
      <c r="AA10" s="2406"/>
      <c r="AB10" s="2406"/>
      <c r="AC10" s="2406"/>
      <c r="AD10" s="2406"/>
      <c r="AE10" s="2406"/>
      <c r="AF10" s="2406"/>
      <c r="AG10" s="2406"/>
      <c r="AH10" s="2406"/>
      <c r="AI10" s="2406"/>
      <c r="AJ10" s="2406"/>
      <c r="AK10" s="2406"/>
      <c r="AL10" s="2406"/>
      <c r="AM10" s="2406"/>
      <c r="AN10" s="2406"/>
      <c r="AO10" s="2406"/>
      <c r="AP10" s="2406"/>
      <c r="AQ10" s="2406"/>
      <c r="AR10" s="2406"/>
      <c r="AS10" s="2406"/>
      <c r="AT10" s="2406"/>
      <c r="AU10" s="2406"/>
      <c r="AV10" s="2406"/>
      <c r="AW10" s="2406"/>
      <c r="AX10" s="2406"/>
      <c r="AY10" s="2406"/>
      <c r="AZ10" s="2406"/>
      <c r="BA10" s="2406"/>
      <c r="BB10" s="2406"/>
      <c r="BC10" s="2406"/>
      <c r="BD10" s="2406"/>
      <c r="BE10" s="2406"/>
      <c r="BF10" s="2406"/>
      <c r="BG10" s="2406"/>
      <c r="BH10" s="2406"/>
      <c r="BI10" s="2406"/>
      <c r="BJ10" s="2406"/>
      <c r="BK10" s="2406"/>
      <c r="BL10" s="2406"/>
      <c r="BM10" s="2406"/>
      <c r="BN10" s="2406"/>
      <c r="BO10" s="2406"/>
      <c r="BP10" s="2406"/>
      <c r="BQ10" s="2406"/>
      <c r="BR10" s="2406"/>
      <c r="BS10" s="2406"/>
      <c r="BT10" s="2406"/>
      <c r="BU10" s="2406"/>
      <c r="BV10" s="2406"/>
      <c r="BW10" s="2406"/>
      <c r="BX10" s="2406"/>
      <c r="BY10" s="2406"/>
      <c r="BZ10" s="2406"/>
      <c r="CA10" s="2406"/>
      <c r="CB10" s="2406"/>
      <c r="CC10" s="2406"/>
      <c r="CD10" s="2406"/>
      <c r="CE10" s="2406"/>
      <c r="CF10" s="2406"/>
      <c r="CG10" s="2406"/>
      <c r="CH10" s="2406"/>
      <c r="CI10" s="2406"/>
      <c r="CJ10" s="2406"/>
      <c r="CK10" s="2406"/>
      <c r="CL10" s="2406"/>
      <c r="CM10" s="2406"/>
      <c r="CN10" s="2406"/>
      <c r="CO10" s="2406"/>
      <c r="CP10" s="2406"/>
      <c r="CQ10" s="2406"/>
      <c r="CR10" s="2406"/>
      <c r="CS10" s="2406"/>
      <c r="CT10" s="2406"/>
      <c r="CU10" s="2406"/>
      <c r="CV10" s="2406"/>
      <c r="CW10" s="2406"/>
      <c r="CX10" s="2406"/>
      <c r="CY10" s="2406"/>
      <c r="CZ10" s="2406"/>
      <c r="DA10" s="2406"/>
      <c r="DB10" s="2406"/>
      <c r="DC10" s="2406"/>
      <c r="DD10" s="2406"/>
      <c r="DE10" s="2406"/>
      <c r="DF10" s="2406"/>
      <c r="DG10" s="2406"/>
      <c r="DH10" s="2406"/>
      <c r="DI10" s="2406"/>
      <c r="DJ10" s="2406"/>
      <c r="DK10" s="2406"/>
      <c r="DL10" s="2406"/>
      <c r="DM10" s="2406"/>
      <c r="DN10" s="2406"/>
      <c r="DO10" s="2406"/>
      <c r="DP10" s="2406"/>
      <c r="DQ10" s="2406"/>
      <c r="DR10" s="2406"/>
      <c r="DS10" s="2406"/>
    </row>
    <row r="11" s="2405" customFormat="1" ht="13.5" hidden="1" customHeight="1" spans="1:123">
      <c r="A11" s="2426" t="s">
        <v>3418</v>
      </c>
      <c r="B11" s="2427" t="s">
        <v>3419</v>
      </c>
      <c r="C11" s="2423"/>
      <c r="D11" s="2432"/>
      <c r="E11" s="2430"/>
      <c r="F11" s="2430"/>
      <c r="G11" s="2431"/>
      <c r="H11" s="2406"/>
      <c r="I11" s="2406"/>
      <c r="J11" s="2406"/>
      <c r="K11" s="2406"/>
      <c r="L11" s="2406"/>
      <c r="M11" s="2406"/>
      <c r="N11" s="2406"/>
      <c r="O11" s="2406"/>
      <c r="P11" s="2406"/>
      <c r="Q11" s="2406"/>
      <c r="R11" s="2406"/>
      <c r="S11" s="2406"/>
      <c r="T11" s="2406"/>
      <c r="U11" s="2406"/>
      <c r="V11" s="2406"/>
      <c r="W11" s="2406"/>
      <c r="X11" s="2406"/>
      <c r="Y11" s="2406"/>
      <c r="Z11" s="2406"/>
      <c r="AA11" s="2406"/>
      <c r="AB11" s="2406"/>
      <c r="AC11" s="2406"/>
      <c r="AD11" s="2406"/>
      <c r="AE11" s="2406"/>
      <c r="AF11" s="2406"/>
      <c r="AG11" s="2406"/>
      <c r="AH11" s="2406"/>
      <c r="AI11" s="2406"/>
      <c r="AJ11" s="2406"/>
      <c r="AK11" s="2406"/>
      <c r="AL11" s="2406"/>
      <c r="AM11" s="2406"/>
      <c r="AN11" s="2406"/>
      <c r="AO11" s="2406"/>
      <c r="AP11" s="2406"/>
      <c r="AQ11" s="2406"/>
      <c r="AR11" s="2406"/>
      <c r="AS11" s="2406"/>
      <c r="AT11" s="2406"/>
      <c r="AU11" s="2406"/>
      <c r="AV11" s="2406"/>
      <c r="AW11" s="2406"/>
      <c r="AX11" s="2406"/>
      <c r="AY11" s="2406"/>
      <c r="AZ11" s="2406"/>
      <c r="BA11" s="2406"/>
      <c r="BB11" s="2406"/>
      <c r="BC11" s="2406"/>
      <c r="BD11" s="2406"/>
      <c r="BE11" s="2406"/>
      <c r="BF11" s="2406"/>
      <c r="BG11" s="2406"/>
      <c r="BH11" s="2406"/>
      <c r="BI11" s="2406"/>
      <c r="BJ11" s="2406"/>
      <c r="BK11" s="2406"/>
      <c r="BL11" s="2406"/>
      <c r="BM11" s="2406"/>
      <c r="BN11" s="2406"/>
      <c r="BO11" s="2406"/>
      <c r="BP11" s="2406"/>
      <c r="BQ11" s="2406"/>
      <c r="BR11" s="2406"/>
      <c r="BS11" s="2406"/>
      <c r="BT11" s="2406"/>
      <c r="BU11" s="2406"/>
      <c r="BV11" s="2406"/>
      <c r="BW11" s="2406"/>
      <c r="BX11" s="2406"/>
      <c r="BY11" s="2406"/>
      <c r="BZ11" s="2406"/>
      <c r="CA11" s="2406"/>
      <c r="CB11" s="2406"/>
      <c r="CC11" s="2406"/>
      <c r="CD11" s="2406"/>
      <c r="CE11" s="2406"/>
      <c r="CF11" s="2406"/>
      <c r="CG11" s="2406"/>
      <c r="CH11" s="2406"/>
      <c r="CI11" s="2406"/>
      <c r="CJ11" s="2406"/>
      <c r="CK11" s="2406"/>
      <c r="CL11" s="2406"/>
      <c r="CM11" s="2406"/>
      <c r="CN11" s="2406"/>
      <c r="CO11" s="2406"/>
      <c r="CP11" s="2406"/>
      <c r="CQ11" s="2406"/>
      <c r="CR11" s="2406"/>
      <c r="CS11" s="2406"/>
      <c r="CT11" s="2406"/>
      <c r="CU11" s="2406"/>
      <c r="CV11" s="2406"/>
      <c r="CW11" s="2406"/>
      <c r="CX11" s="2406"/>
      <c r="CY11" s="2406"/>
      <c r="CZ11" s="2406"/>
      <c r="DA11" s="2406"/>
      <c r="DB11" s="2406"/>
      <c r="DC11" s="2406"/>
      <c r="DD11" s="2406"/>
      <c r="DE11" s="2406"/>
      <c r="DF11" s="2406"/>
      <c r="DG11" s="2406"/>
      <c r="DH11" s="2406"/>
      <c r="DI11" s="2406"/>
      <c r="DJ11" s="2406"/>
      <c r="DK11" s="2406"/>
      <c r="DL11" s="2406"/>
      <c r="DM11" s="2406"/>
      <c r="DN11" s="2406"/>
      <c r="DO11" s="2406"/>
      <c r="DP11" s="2406"/>
      <c r="DQ11" s="2406"/>
      <c r="DR11" s="2406"/>
      <c r="DS11" s="2406"/>
    </row>
    <row r="12" s="2405" customFormat="1" ht="13.5" hidden="1" customHeight="1" spans="1:123">
      <c r="A12" s="2426" t="s">
        <v>3420</v>
      </c>
      <c r="B12" s="2427" t="s">
        <v>761</v>
      </c>
      <c r="C12" s="2423">
        <v>0</v>
      </c>
      <c r="D12" s="2432"/>
      <c r="E12" s="2441"/>
      <c r="F12" s="2433">
        <v>0.0305</v>
      </c>
      <c r="G12" s="2431"/>
      <c r="H12" s="2406"/>
      <c r="I12" s="2406"/>
      <c r="J12" s="2406"/>
      <c r="K12" s="2406"/>
      <c r="L12" s="2406"/>
      <c r="M12" s="2406"/>
      <c r="N12" s="2406"/>
      <c r="O12" s="2406"/>
      <c r="P12" s="2406"/>
      <c r="Q12" s="2406"/>
      <c r="R12" s="2406"/>
      <c r="S12" s="2406"/>
      <c r="T12" s="2406"/>
      <c r="U12" s="2406"/>
      <c r="V12" s="2406"/>
      <c r="W12" s="2406"/>
      <c r="X12" s="2406"/>
      <c r="Y12" s="2406"/>
      <c r="Z12" s="2406"/>
      <c r="AA12" s="2406"/>
      <c r="AB12" s="2406"/>
      <c r="AC12" s="2406"/>
      <c r="AD12" s="2406"/>
      <c r="AE12" s="2406"/>
      <c r="AF12" s="2406"/>
      <c r="AG12" s="2406"/>
      <c r="AH12" s="2406"/>
      <c r="AI12" s="2406"/>
      <c r="AJ12" s="2406"/>
      <c r="AK12" s="2406"/>
      <c r="AL12" s="2406"/>
      <c r="AM12" s="2406"/>
      <c r="AN12" s="2406"/>
      <c r="AO12" s="2406"/>
      <c r="AP12" s="2406"/>
      <c r="AQ12" s="2406"/>
      <c r="AR12" s="2406"/>
      <c r="AS12" s="2406"/>
      <c r="AT12" s="2406"/>
      <c r="AU12" s="2406"/>
      <c r="AV12" s="2406"/>
      <c r="AW12" s="2406"/>
      <c r="AX12" s="2406"/>
      <c r="AY12" s="2406"/>
      <c r="AZ12" s="2406"/>
      <c r="BA12" s="2406"/>
      <c r="BB12" s="2406"/>
      <c r="BC12" s="2406"/>
      <c r="BD12" s="2406"/>
      <c r="BE12" s="2406"/>
      <c r="BF12" s="2406"/>
      <c r="BG12" s="2406"/>
      <c r="BH12" s="2406"/>
      <c r="BI12" s="2406"/>
      <c r="BJ12" s="2406"/>
      <c r="BK12" s="2406"/>
      <c r="BL12" s="2406"/>
      <c r="BM12" s="2406"/>
      <c r="BN12" s="2406"/>
      <c r="BO12" s="2406"/>
      <c r="BP12" s="2406"/>
      <c r="BQ12" s="2406"/>
      <c r="BR12" s="2406"/>
      <c r="BS12" s="2406"/>
      <c r="BT12" s="2406"/>
      <c r="BU12" s="2406"/>
      <c r="BV12" s="2406"/>
      <c r="BW12" s="2406"/>
      <c r="BX12" s="2406"/>
      <c r="BY12" s="2406"/>
      <c r="BZ12" s="2406"/>
      <c r="CA12" s="2406"/>
      <c r="CB12" s="2406"/>
      <c r="CC12" s="2406"/>
      <c r="CD12" s="2406"/>
      <c r="CE12" s="2406"/>
      <c r="CF12" s="2406"/>
      <c r="CG12" s="2406"/>
      <c r="CH12" s="2406"/>
      <c r="CI12" s="2406"/>
      <c r="CJ12" s="2406"/>
      <c r="CK12" s="2406"/>
      <c r="CL12" s="2406"/>
      <c r="CM12" s="2406"/>
      <c r="CN12" s="2406"/>
      <c r="CO12" s="2406"/>
      <c r="CP12" s="2406"/>
      <c r="CQ12" s="2406"/>
      <c r="CR12" s="2406"/>
      <c r="CS12" s="2406"/>
      <c r="CT12" s="2406"/>
      <c r="CU12" s="2406"/>
      <c r="CV12" s="2406"/>
      <c r="CW12" s="2406"/>
      <c r="CX12" s="2406"/>
      <c r="CY12" s="2406"/>
      <c r="CZ12" s="2406"/>
      <c r="DA12" s="2406"/>
      <c r="DB12" s="2406"/>
      <c r="DC12" s="2406"/>
      <c r="DD12" s="2406"/>
      <c r="DE12" s="2406"/>
      <c r="DF12" s="2406"/>
      <c r="DG12" s="2406"/>
      <c r="DH12" s="2406"/>
      <c r="DI12" s="2406"/>
      <c r="DJ12" s="2406"/>
      <c r="DK12" s="2406"/>
      <c r="DL12" s="2406"/>
      <c r="DM12" s="2406"/>
      <c r="DN12" s="2406"/>
      <c r="DO12" s="2406"/>
      <c r="DP12" s="2406"/>
      <c r="DQ12" s="2406"/>
      <c r="DR12" s="2406"/>
      <c r="DS12" s="2406"/>
    </row>
    <row r="13" s="2405" customFormat="1" ht="13.5" hidden="1" customHeight="1" spans="1:123">
      <c r="A13" s="2426" t="s">
        <v>3421</v>
      </c>
      <c r="B13" s="2427" t="s">
        <v>3422</v>
      </c>
      <c r="C13" s="2423"/>
      <c r="D13" s="2432"/>
      <c r="E13" s="2430"/>
      <c r="F13" s="2430"/>
      <c r="G13" s="2431"/>
      <c r="H13" s="2406"/>
      <c r="I13" s="2406"/>
      <c r="J13" s="2406"/>
      <c r="K13" s="2406"/>
      <c r="L13" s="2406"/>
      <c r="M13" s="2406"/>
      <c r="N13" s="2406"/>
      <c r="O13" s="2406"/>
      <c r="P13" s="2406"/>
      <c r="Q13" s="2406"/>
      <c r="R13" s="2406"/>
      <c r="S13" s="2406"/>
      <c r="T13" s="2406"/>
      <c r="U13" s="2406"/>
      <c r="V13" s="2406"/>
      <c r="W13" s="2406"/>
      <c r="X13" s="2406"/>
      <c r="Y13" s="2406"/>
      <c r="Z13" s="2406"/>
      <c r="AA13" s="2406"/>
      <c r="AB13" s="2406"/>
      <c r="AC13" s="2406"/>
      <c r="AD13" s="2406"/>
      <c r="AE13" s="2406"/>
      <c r="AF13" s="2406"/>
      <c r="AG13" s="2406"/>
      <c r="AH13" s="2406"/>
      <c r="AI13" s="2406"/>
      <c r="AJ13" s="2406"/>
      <c r="AK13" s="2406"/>
      <c r="AL13" s="2406"/>
      <c r="AM13" s="2406"/>
      <c r="AN13" s="2406"/>
      <c r="AO13" s="2406"/>
      <c r="AP13" s="2406"/>
      <c r="AQ13" s="2406"/>
      <c r="AR13" s="2406"/>
      <c r="AS13" s="2406"/>
      <c r="AT13" s="2406"/>
      <c r="AU13" s="2406"/>
      <c r="AV13" s="2406"/>
      <c r="AW13" s="2406"/>
      <c r="AX13" s="2406"/>
      <c r="AY13" s="2406"/>
      <c r="AZ13" s="2406"/>
      <c r="BA13" s="2406"/>
      <c r="BB13" s="2406"/>
      <c r="BC13" s="2406"/>
      <c r="BD13" s="2406"/>
      <c r="BE13" s="2406"/>
      <c r="BF13" s="2406"/>
      <c r="BG13" s="2406"/>
      <c r="BH13" s="2406"/>
      <c r="BI13" s="2406"/>
      <c r="BJ13" s="2406"/>
      <c r="BK13" s="2406"/>
      <c r="BL13" s="2406"/>
      <c r="BM13" s="2406"/>
      <c r="BN13" s="2406"/>
      <c r="BO13" s="2406"/>
      <c r="BP13" s="2406"/>
      <c r="BQ13" s="2406"/>
      <c r="BR13" s="2406"/>
      <c r="BS13" s="2406"/>
      <c r="BT13" s="2406"/>
      <c r="BU13" s="2406"/>
      <c r="BV13" s="2406"/>
      <c r="BW13" s="2406"/>
      <c r="BX13" s="2406"/>
      <c r="BY13" s="2406"/>
      <c r="BZ13" s="2406"/>
      <c r="CA13" s="2406"/>
      <c r="CB13" s="2406"/>
      <c r="CC13" s="2406"/>
      <c r="CD13" s="2406"/>
      <c r="CE13" s="2406"/>
      <c r="CF13" s="2406"/>
      <c r="CG13" s="2406"/>
      <c r="CH13" s="2406"/>
      <c r="CI13" s="2406"/>
      <c r="CJ13" s="2406"/>
      <c r="CK13" s="2406"/>
      <c r="CL13" s="2406"/>
      <c r="CM13" s="2406"/>
      <c r="CN13" s="2406"/>
      <c r="CO13" s="2406"/>
      <c r="CP13" s="2406"/>
      <c r="CQ13" s="2406"/>
      <c r="CR13" s="2406"/>
      <c r="CS13" s="2406"/>
      <c r="CT13" s="2406"/>
      <c r="CU13" s="2406"/>
      <c r="CV13" s="2406"/>
      <c r="CW13" s="2406"/>
      <c r="CX13" s="2406"/>
      <c r="CY13" s="2406"/>
      <c r="CZ13" s="2406"/>
      <c r="DA13" s="2406"/>
      <c r="DB13" s="2406"/>
      <c r="DC13" s="2406"/>
      <c r="DD13" s="2406"/>
      <c r="DE13" s="2406"/>
      <c r="DF13" s="2406"/>
      <c r="DG13" s="2406"/>
      <c r="DH13" s="2406"/>
      <c r="DI13" s="2406"/>
      <c r="DJ13" s="2406"/>
      <c r="DK13" s="2406"/>
      <c r="DL13" s="2406"/>
      <c r="DM13" s="2406"/>
      <c r="DN13" s="2406"/>
      <c r="DO13" s="2406"/>
      <c r="DP13" s="2406"/>
      <c r="DQ13" s="2406"/>
      <c r="DR13" s="2406"/>
      <c r="DS13" s="2406"/>
    </row>
    <row r="14" s="2405" customFormat="1" ht="13.5" hidden="1" customHeight="1" spans="1:123">
      <c r="A14" s="2426" t="s">
        <v>3423</v>
      </c>
      <c r="B14" s="2427" t="s">
        <v>3412</v>
      </c>
      <c r="C14" s="2423"/>
      <c r="D14" s="2432"/>
      <c r="E14" s="2430"/>
      <c r="F14" s="2430"/>
      <c r="G14" s="2431" t="s">
        <v>3424</v>
      </c>
      <c r="H14" s="2406"/>
      <c r="I14" s="2406"/>
      <c r="J14" s="2406"/>
      <c r="K14" s="2406"/>
      <c r="L14" s="2406"/>
      <c r="M14" s="2406"/>
      <c r="N14" s="2406"/>
      <c r="O14" s="2406"/>
      <c r="P14" s="2406"/>
      <c r="Q14" s="2406"/>
      <c r="R14" s="2406"/>
      <c r="S14" s="2406"/>
      <c r="T14" s="2406"/>
      <c r="U14" s="2406"/>
      <c r="V14" s="2406"/>
      <c r="W14" s="2406"/>
      <c r="X14" s="2406"/>
      <c r="Y14" s="2406"/>
      <c r="Z14" s="2406"/>
      <c r="AA14" s="2406"/>
      <c r="AB14" s="2406"/>
      <c r="AC14" s="2406"/>
      <c r="AD14" s="2406"/>
      <c r="AE14" s="2406"/>
      <c r="AF14" s="2406"/>
      <c r="AG14" s="2406"/>
      <c r="AH14" s="2406"/>
      <c r="AI14" s="2406"/>
      <c r="AJ14" s="2406"/>
      <c r="AK14" s="2406"/>
      <c r="AL14" s="2406"/>
      <c r="AM14" s="2406"/>
      <c r="AN14" s="2406"/>
      <c r="AO14" s="2406"/>
      <c r="AP14" s="2406"/>
      <c r="AQ14" s="2406"/>
      <c r="AR14" s="2406"/>
      <c r="AS14" s="2406"/>
      <c r="AT14" s="2406"/>
      <c r="AU14" s="2406"/>
      <c r="AV14" s="2406"/>
      <c r="AW14" s="2406"/>
      <c r="AX14" s="2406"/>
      <c r="AY14" s="2406"/>
      <c r="AZ14" s="2406"/>
      <c r="BA14" s="2406"/>
      <c r="BB14" s="2406"/>
      <c r="BC14" s="2406"/>
      <c r="BD14" s="2406"/>
      <c r="BE14" s="2406"/>
      <c r="BF14" s="2406"/>
      <c r="BG14" s="2406"/>
      <c r="BH14" s="2406"/>
      <c r="BI14" s="2406"/>
      <c r="BJ14" s="2406"/>
      <c r="BK14" s="2406"/>
      <c r="BL14" s="2406"/>
      <c r="BM14" s="2406"/>
      <c r="BN14" s="2406"/>
      <c r="BO14" s="2406"/>
      <c r="BP14" s="2406"/>
      <c r="BQ14" s="2406"/>
      <c r="BR14" s="2406"/>
      <c r="BS14" s="2406"/>
      <c r="BT14" s="2406"/>
      <c r="BU14" s="2406"/>
      <c r="BV14" s="2406"/>
      <c r="BW14" s="2406"/>
      <c r="BX14" s="2406"/>
      <c r="BY14" s="2406"/>
      <c r="BZ14" s="2406"/>
      <c r="CA14" s="2406"/>
      <c r="CB14" s="2406"/>
      <c r="CC14" s="2406"/>
      <c r="CD14" s="2406"/>
      <c r="CE14" s="2406"/>
      <c r="CF14" s="2406"/>
      <c r="CG14" s="2406"/>
      <c r="CH14" s="2406"/>
      <c r="CI14" s="2406"/>
      <c r="CJ14" s="2406"/>
      <c r="CK14" s="2406"/>
      <c r="CL14" s="2406"/>
      <c r="CM14" s="2406"/>
      <c r="CN14" s="2406"/>
      <c r="CO14" s="2406"/>
      <c r="CP14" s="2406"/>
      <c r="CQ14" s="2406"/>
      <c r="CR14" s="2406"/>
      <c r="CS14" s="2406"/>
      <c r="CT14" s="2406"/>
      <c r="CU14" s="2406"/>
      <c r="CV14" s="2406"/>
      <c r="CW14" s="2406"/>
      <c r="CX14" s="2406"/>
      <c r="CY14" s="2406"/>
      <c r="CZ14" s="2406"/>
      <c r="DA14" s="2406"/>
      <c r="DB14" s="2406"/>
      <c r="DC14" s="2406"/>
      <c r="DD14" s="2406"/>
      <c r="DE14" s="2406"/>
      <c r="DF14" s="2406"/>
      <c r="DG14" s="2406"/>
      <c r="DH14" s="2406"/>
      <c r="DI14" s="2406"/>
      <c r="DJ14" s="2406"/>
      <c r="DK14" s="2406"/>
      <c r="DL14" s="2406"/>
      <c r="DM14" s="2406"/>
      <c r="DN14" s="2406"/>
      <c r="DO14" s="2406"/>
      <c r="DP14" s="2406"/>
      <c r="DQ14" s="2406"/>
      <c r="DR14" s="2406"/>
      <c r="DS14" s="2406"/>
    </row>
    <row r="15" s="2405" customFormat="1" ht="13.5" hidden="1" customHeight="1" spans="1:123">
      <c r="A15" s="2426" t="s">
        <v>3425</v>
      </c>
      <c r="B15" s="2427" t="s">
        <v>3426</v>
      </c>
      <c r="C15" s="2432"/>
      <c r="D15" s="2432"/>
      <c r="E15" s="2430"/>
      <c r="F15" s="2430"/>
      <c r="G15" s="2431" t="s">
        <v>3427</v>
      </c>
      <c r="H15" s="2406"/>
      <c r="I15" s="2406"/>
      <c r="J15" s="2406"/>
      <c r="K15" s="2406"/>
      <c r="L15" s="2406"/>
      <c r="M15" s="2406"/>
      <c r="N15" s="2406"/>
      <c r="O15" s="2406"/>
      <c r="P15" s="2406"/>
      <c r="Q15" s="2406"/>
      <c r="R15" s="2406"/>
      <c r="S15" s="2406"/>
      <c r="T15" s="2406"/>
      <c r="U15" s="2406"/>
      <c r="V15" s="2406"/>
      <c r="W15" s="2406"/>
      <c r="X15" s="2406"/>
      <c r="Y15" s="2406"/>
      <c r="Z15" s="2406"/>
      <c r="AA15" s="2406"/>
      <c r="AB15" s="2406"/>
      <c r="AC15" s="2406"/>
      <c r="AD15" s="2406"/>
      <c r="AE15" s="2406"/>
      <c r="AF15" s="2406"/>
      <c r="AG15" s="2406"/>
      <c r="AH15" s="2406"/>
      <c r="AI15" s="2406"/>
      <c r="AJ15" s="2406"/>
      <c r="AK15" s="2406"/>
      <c r="AL15" s="2406"/>
      <c r="AM15" s="2406"/>
      <c r="AN15" s="2406"/>
      <c r="AO15" s="2406"/>
      <c r="AP15" s="2406"/>
      <c r="AQ15" s="2406"/>
      <c r="AR15" s="2406"/>
      <c r="AS15" s="2406"/>
      <c r="AT15" s="2406"/>
      <c r="AU15" s="2406"/>
      <c r="AV15" s="2406"/>
      <c r="AW15" s="2406"/>
      <c r="AX15" s="2406"/>
      <c r="AY15" s="2406"/>
      <c r="AZ15" s="2406"/>
      <c r="BA15" s="2406"/>
      <c r="BB15" s="2406"/>
      <c r="BC15" s="2406"/>
      <c r="BD15" s="2406"/>
      <c r="BE15" s="2406"/>
      <c r="BF15" s="2406"/>
      <c r="BG15" s="2406"/>
      <c r="BH15" s="2406"/>
      <c r="BI15" s="2406"/>
      <c r="BJ15" s="2406"/>
      <c r="BK15" s="2406"/>
      <c r="BL15" s="2406"/>
      <c r="BM15" s="2406"/>
      <c r="BN15" s="2406"/>
      <c r="BO15" s="2406"/>
      <c r="BP15" s="2406"/>
      <c r="BQ15" s="2406"/>
      <c r="BR15" s="2406"/>
      <c r="BS15" s="2406"/>
      <c r="BT15" s="2406"/>
      <c r="BU15" s="2406"/>
      <c r="BV15" s="2406"/>
      <c r="BW15" s="2406"/>
      <c r="BX15" s="2406"/>
      <c r="BY15" s="2406"/>
      <c r="BZ15" s="2406"/>
      <c r="CA15" s="2406"/>
      <c r="CB15" s="2406"/>
      <c r="CC15" s="2406"/>
      <c r="CD15" s="2406"/>
      <c r="CE15" s="2406"/>
      <c r="CF15" s="2406"/>
      <c r="CG15" s="2406"/>
      <c r="CH15" s="2406"/>
      <c r="CI15" s="2406"/>
      <c r="CJ15" s="2406"/>
      <c r="CK15" s="2406"/>
      <c r="CL15" s="2406"/>
      <c r="CM15" s="2406"/>
      <c r="CN15" s="2406"/>
      <c r="CO15" s="2406"/>
      <c r="CP15" s="2406"/>
      <c r="CQ15" s="2406"/>
      <c r="CR15" s="2406"/>
      <c r="CS15" s="2406"/>
      <c r="CT15" s="2406"/>
      <c r="CU15" s="2406"/>
      <c r="CV15" s="2406"/>
      <c r="CW15" s="2406"/>
      <c r="CX15" s="2406"/>
      <c r="CY15" s="2406"/>
      <c r="CZ15" s="2406"/>
      <c r="DA15" s="2406"/>
      <c r="DB15" s="2406"/>
      <c r="DC15" s="2406"/>
      <c r="DD15" s="2406"/>
      <c r="DE15" s="2406"/>
      <c r="DF15" s="2406"/>
      <c r="DG15" s="2406"/>
      <c r="DH15" s="2406"/>
      <c r="DI15" s="2406"/>
      <c r="DJ15" s="2406"/>
      <c r="DK15" s="2406"/>
      <c r="DL15" s="2406"/>
      <c r="DM15" s="2406"/>
      <c r="DN15" s="2406"/>
      <c r="DO15" s="2406"/>
      <c r="DP15" s="2406"/>
      <c r="DQ15" s="2406"/>
      <c r="DR15" s="2406"/>
      <c r="DS15" s="2406"/>
    </row>
    <row r="16" s="2405" customFormat="1" ht="13.5" hidden="1" customHeight="1" spans="1:123">
      <c r="A16" s="2426" t="s">
        <v>3428</v>
      </c>
      <c r="B16" s="2427" t="s">
        <v>3412</v>
      </c>
      <c r="C16" s="2432"/>
      <c r="D16" s="2432"/>
      <c r="E16" s="2430"/>
      <c r="F16" s="2430"/>
      <c r="G16" s="2431"/>
      <c r="H16" s="2406"/>
      <c r="I16" s="2406"/>
      <c r="J16" s="2406"/>
      <c r="K16" s="2406"/>
      <c r="L16" s="2406"/>
      <c r="M16" s="2406"/>
      <c r="N16" s="2406"/>
      <c r="O16" s="2406"/>
      <c r="P16" s="2406"/>
      <c r="Q16" s="2406"/>
      <c r="R16" s="2406"/>
      <c r="S16" s="2406"/>
      <c r="T16" s="2406"/>
      <c r="U16" s="2406"/>
      <c r="V16" s="2406"/>
      <c r="W16" s="2406"/>
      <c r="X16" s="2406"/>
      <c r="Y16" s="2406"/>
      <c r="Z16" s="2406"/>
      <c r="AA16" s="2406"/>
      <c r="AB16" s="2406"/>
      <c r="AC16" s="2406"/>
      <c r="AD16" s="2406"/>
      <c r="AE16" s="2406"/>
      <c r="AF16" s="2406"/>
      <c r="AG16" s="2406"/>
      <c r="AH16" s="2406"/>
      <c r="AI16" s="2406"/>
      <c r="AJ16" s="2406"/>
      <c r="AK16" s="2406"/>
      <c r="AL16" s="2406"/>
      <c r="AM16" s="2406"/>
      <c r="AN16" s="2406"/>
      <c r="AO16" s="2406"/>
      <c r="AP16" s="2406"/>
      <c r="AQ16" s="2406"/>
      <c r="AR16" s="2406"/>
      <c r="AS16" s="2406"/>
      <c r="AT16" s="2406"/>
      <c r="AU16" s="2406"/>
      <c r="AV16" s="2406"/>
      <c r="AW16" s="2406"/>
      <c r="AX16" s="2406"/>
      <c r="AY16" s="2406"/>
      <c r="AZ16" s="2406"/>
      <c r="BA16" s="2406"/>
      <c r="BB16" s="2406"/>
      <c r="BC16" s="2406"/>
      <c r="BD16" s="2406"/>
      <c r="BE16" s="2406"/>
      <c r="BF16" s="2406"/>
      <c r="BG16" s="2406"/>
      <c r="BH16" s="2406"/>
      <c r="BI16" s="2406"/>
      <c r="BJ16" s="2406"/>
      <c r="BK16" s="2406"/>
      <c r="BL16" s="2406"/>
      <c r="BM16" s="2406"/>
      <c r="BN16" s="2406"/>
      <c r="BO16" s="2406"/>
      <c r="BP16" s="2406"/>
      <c r="BQ16" s="2406"/>
      <c r="BR16" s="2406"/>
      <c r="BS16" s="2406"/>
      <c r="BT16" s="2406"/>
      <c r="BU16" s="2406"/>
      <c r="BV16" s="2406"/>
      <c r="BW16" s="2406"/>
      <c r="BX16" s="2406"/>
      <c r="BY16" s="2406"/>
      <c r="BZ16" s="2406"/>
      <c r="CA16" s="2406"/>
      <c r="CB16" s="2406"/>
      <c r="CC16" s="2406"/>
      <c r="CD16" s="2406"/>
      <c r="CE16" s="2406"/>
      <c r="CF16" s="2406"/>
      <c r="CG16" s="2406"/>
      <c r="CH16" s="2406"/>
      <c r="CI16" s="2406"/>
      <c r="CJ16" s="2406"/>
      <c r="CK16" s="2406"/>
      <c r="CL16" s="2406"/>
      <c r="CM16" s="2406"/>
      <c r="CN16" s="2406"/>
      <c r="CO16" s="2406"/>
      <c r="CP16" s="2406"/>
      <c r="CQ16" s="2406"/>
      <c r="CR16" s="2406"/>
      <c r="CS16" s="2406"/>
      <c r="CT16" s="2406"/>
      <c r="CU16" s="2406"/>
      <c r="CV16" s="2406"/>
      <c r="CW16" s="2406"/>
      <c r="CX16" s="2406"/>
      <c r="CY16" s="2406"/>
      <c r="CZ16" s="2406"/>
      <c r="DA16" s="2406"/>
      <c r="DB16" s="2406"/>
      <c r="DC16" s="2406"/>
      <c r="DD16" s="2406"/>
      <c r="DE16" s="2406"/>
      <c r="DF16" s="2406"/>
      <c r="DG16" s="2406"/>
      <c r="DH16" s="2406"/>
      <c r="DI16" s="2406"/>
      <c r="DJ16" s="2406"/>
      <c r="DK16" s="2406"/>
      <c r="DL16" s="2406"/>
      <c r="DM16" s="2406"/>
      <c r="DN16" s="2406"/>
      <c r="DO16" s="2406"/>
      <c r="DP16" s="2406"/>
      <c r="DQ16" s="2406"/>
      <c r="DR16" s="2406"/>
      <c r="DS16" s="2406"/>
    </row>
    <row r="17" s="2405" customFormat="1" ht="13.5" hidden="1" customHeight="1" spans="1:123">
      <c r="A17" s="2426" t="s">
        <v>3429</v>
      </c>
      <c r="B17" s="2427" t="s">
        <v>3430</v>
      </c>
      <c r="C17" s="2442"/>
      <c r="D17" s="2442"/>
      <c r="E17" s="2442"/>
      <c r="F17" s="2442"/>
      <c r="G17" s="2431" t="s">
        <v>3427</v>
      </c>
      <c r="H17" s="2406"/>
      <c r="I17" s="2406"/>
      <c r="J17" s="2406"/>
      <c r="K17" s="2406"/>
      <c r="L17" s="2406"/>
      <c r="M17" s="2406"/>
      <c r="N17" s="2406"/>
      <c r="O17" s="2406"/>
      <c r="P17" s="2406"/>
      <c r="Q17" s="2406"/>
      <c r="R17" s="2406"/>
      <c r="S17" s="2406"/>
      <c r="T17" s="2406"/>
      <c r="U17" s="2406"/>
      <c r="V17" s="2406"/>
      <c r="W17" s="2406"/>
      <c r="X17" s="2406"/>
      <c r="Y17" s="2406"/>
      <c r="Z17" s="2406"/>
      <c r="AA17" s="2406"/>
      <c r="AB17" s="2406"/>
      <c r="AC17" s="2406"/>
      <c r="AD17" s="2406"/>
      <c r="AE17" s="2406"/>
      <c r="AF17" s="2406"/>
      <c r="AG17" s="2406"/>
      <c r="AH17" s="2406"/>
      <c r="AI17" s="2406"/>
      <c r="AJ17" s="2406"/>
      <c r="AK17" s="2406"/>
      <c r="AL17" s="2406"/>
      <c r="AM17" s="2406"/>
      <c r="AN17" s="2406"/>
      <c r="AO17" s="2406"/>
      <c r="AP17" s="2406"/>
      <c r="AQ17" s="2406"/>
      <c r="AR17" s="2406"/>
      <c r="AS17" s="2406"/>
      <c r="AT17" s="2406"/>
      <c r="AU17" s="2406"/>
      <c r="AV17" s="2406"/>
      <c r="AW17" s="2406"/>
      <c r="AX17" s="2406"/>
      <c r="AY17" s="2406"/>
      <c r="AZ17" s="2406"/>
      <c r="BA17" s="2406"/>
      <c r="BB17" s="2406"/>
      <c r="BC17" s="2406"/>
      <c r="BD17" s="2406"/>
      <c r="BE17" s="2406"/>
      <c r="BF17" s="2406"/>
      <c r="BG17" s="2406"/>
      <c r="BH17" s="2406"/>
      <c r="BI17" s="2406"/>
      <c r="BJ17" s="2406"/>
      <c r="BK17" s="2406"/>
      <c r="BL17" s="2406"/>
      <c r="BM17" s="2406"/>
      <c r="BN17" s="2406"/>
      <c r="BO17" s="2406"/>
      <c r="BP17" s="2406"/>
      <c r="BQ17" s="2406"/>
      <c r="BR17" s="2406"/>
      <c r="BS17" s="2406"/>
      <c r="BT17" s="2406"/>
      <c r="BU17" s="2406"/>
      <c r="BV17" s="2406"/>
      <c r="BW17" s="2406"/>
      <c r="BX17" s="2406"/>
      <c r="BY17" s="2406"/>
      <c r="BZ17" s="2406"/>
      <c r="CA17" s="2406"/>
      <c r="CB17" s="2406"/>
      <c r="CC17" s="2406"/>
      <c r="CD17" s="2406"/>
      <c r="CE17" s="2406"/>
      <c r="CF17" s="2406"/>
      <c r="CG17" s="2406"/>
      <c r="CH17" s="2406"/>
      <c r="CI17" s="2406"/>
      <c r="CJ17" s="2406"/>
      <c r="CK17" s="2406"/>
      <c r="CL17" s="2406"/>
      <c r="CM17" s="2406"/>
      <c r="CN17" s="2406"/>
      <c r="CO17" s="2406"/>
      <c r="CP17" s="2406"/>
      <c r="CQ17" s="2406"/>
      <c r="CR17" s="2406"/>
      <c r="CS17" s="2406"/>
      <c r="CT17" s="2406"/>
      <c r="CU17" s="2406"/>
      <c r="CV17" s="2406"/>
      <c r="CW17" s="2406"/>
      <c r="CX17" s="2406"/>
      <c r="CY17" s="2406"/>
      <c r="CZ17" s="2406"/>
      <c r="DA17" s="2406"/>
      <c r="DB17" s="2406"/>
      <c r="DC17" s="2406"/>
      <c r="DD17" s="2406"/>
      <c r="DE17" s="2406"/>
      <c r="DF17" s="2406"/>
      <c r="DG17" s="2406"/>
      <c r="DH17" s="2406"/>
      <c r="DI17" s="2406"/>
      <c r="DJ17" s="2406"/>
      <c r="DK17" s="2406"/>
      <c r="DL17" s="2406"/>
      <c r="DM17" s="2406"/>
      <c r="DN17" s="2406"/>
      <c r="DO17" s="2406"/>
      <c r="DP17" s="2406"/>
      <c r="DQ17" s="2406"/>
      <c r="DR17" s="2406"/>
      <c r="DS17" s="2406"/>
    </row>
    <row r="18" s="2405" customFormat="1" ht="13.5" hidden="1" customHeight="1" spans="1:123">
      <c r="A18" s="2426" t="s">
        <v>3431</v>
      </c>
      <c r="B18" s="2427" t="s">
        <v>3432</v>
      </c>
      <c r="C18" s="2432">
        <v>0</v>
      </c>
      <c r="D18" s="2432"/>
      <c r="E18" s="2430"/>
      <c r="F18" s="2433">
        <v>0.0305</v>
      </c>
      <c r="G18" s="2431" t="s">
        <v>3433</v>
      </c>
      <c r="H18" s="2406"/>
      <c r="I18" s="2406"/>
      <c r="J18" s="2406"/>
      <c r="K18" s="2406"/>
      <c r="L18" s="2406"/>
      <c r="M18" s="2406"/>
      <c r="N18" s="2406"/>
      <c r="O18" s="2406"/>
      <c r="P18" s="2406"/>
      <c r="Q18" s="2406"/>
      <c r="R18" s="2406"/>
      <c r="S18" s="2406"/>
      <c r="T18" s="2406"/>
      <c r="U18" s="2406"/>
      <c r="V18" s="2406"/>
      <c r="W18" s="2406"/>
      <c r="X18" s="2406"/>
      <c r="Y18" s="2406"/>
      <c r="Z18" s="2406"/>
      <c r="AA18" s="2406"/>
      <c r="AB18" s="2406"/>
      <c r="AC18" s="2406"/>
      <c r="AD18" s="2406"/>
      <c r="AE18" s="2406"/>
      <c r="AF18" s="2406"/>
      <c r="AG18" s="2406"/>
      <c r="AH18" s="2406"/>
      <c r="AI18" s="2406"/>
      <c r="AJ18" s="2406"/>
      <c r="AK18" s="2406"/>
      <c r="AL18" s="2406"/>
      <c r="AM18" s="2406"/>
      <c r="AN18" s="2406"/>
      <c r="AO18" s="2406"/>
      <c r="AP18" s="2406"/>
      <c r="AQ18" s="2406"/>
      <c r="AR18" s="2406"/>
      <c r="AS18" s="2406"/>
      <c r="AT18" s="2406"/>
      <c r="AU18" s="2406"/>
      <c r="AV18" s="2406"/>
      <c r="AW18" s="2406"/>
      <c r="AX18" s="2406"/>
      <c r="AY18" s="2406"/>
      <c r="AZ18" s="2406"/>
      <c r="BA18" s="2406"/>
      <c r="BB18" s="2406"/>
      <c r="BC18" s="2406"/>
      <c r="BD18" s="2406"/>
      <c r="BE18" s="2406"/>
      <c r="BF18" s="2406"/>
      <c r="BG18" s="2406"/>
      <c r="BH18" s="2406"/>
      <c r="BI18" s="2406"/>
      <c r="BJ18" s="2406"/>
      <c r="BK18" s="2406"/>
      <c r="BL18" s="2406"/>
      <c r="BM18" s="2406"/>
      <c r="BN18" s="2406"/>
      <c r="BO18" s="2406"/>
      <c r="BP18" s="2406"/>
      <c r="BQ18" s="2406"/>
      <c r="BR18" s="2406"/>
      <c r="BS18" s="2406"/>
      <c r="BT18" s="2406"/>
      <c r="BU18" s="2406"/>
      <c r="BV18" s="2406"/>
      <c r="BW18" s="2406"/>
      <c r="BX18" s="2406"/>
      <c r="BY18" s="2406"/>
      <c r="BZ18" s="2406"/>
      <c r="CA18" s="2406"/>
      <c r="CB18" s="2406"/>
      <c r="CC18" s="2406"/>
      <c r="CD18" s="2406"/>
      <c r="CE18" s="2406"/>
      <c r="CF18" s="2406"/>
      <c r="CG18" s="2406"/>
      <c r="CH18" s="2406"/>
      <c r="CI18" s="2406"/>
      <c r="CJ18" s="2406"/>
      <c r="CK18" s="2406"/>
      <c r="CL18" s="2406"/>
      <c r="CM18" s="2406"/>
      <c r="CN18" s="2406"/>
      <c r="CO18" s="2406"/>
      <c r="CP18" s="2406"/>
      <c r="CQ18" s="2406"/>
      <c r="CR18" s="2406"/>
      <c r="CS18" s="2406"/>
      <c r="CT18" s="2406"/>
      <c r="CU18" s="2406"/>
      <c r="CV18" s="2406"/>
      <c r="CW18" s="2406"/>
      <c r="CX18" s="2406"/>
      <c r="CY18" s="2406"/>
      <c r="CZ18" s="2406"/>
      <c r="DA18" s="2406"/>
      <c r="DB18" s="2406"/>
      <c r="DC18" s="2406"/>
      <c r="DD18" s="2406"/>
      <c r="DE18" s="2406"/>
      <c r="DF18" s="2406"/>
      <c r="DG18" s="2406"/>
      <c r="DH18" s="2406"/>
      <c r="DI18" s="2406"/>
      <c r="DJ18" s="2406"/>
      <c r="DK18" s="2406"/>
      <c r="DL18" s="2406"/>
      <c r="DM18" s="2406"/>
      <c r="DN18" s="2406"/>
      <c r="DO18" s="2406"/>
      <c r="DP18" s="2406"/>
      <c r="DQ18" s="2406"/>
      <c r="DR18" s="2406"/>
      <c r="DS18" s="2406"/>
    </row>
    <row r="19" s="2406" customFormat="1" ht="13.5" customHeight="1" spans="1:7">
      <c r="A19" s="2421" t="s">
        <v>3434</v>
      </c>
      <c r="B19" s="2422" t="s">
        <v>3435</v>
      </c>
      <c r="C19" s="2423" t="str">
        <f>IF(G19="已包含在土地取得成本中","0",ROUND(D19*E19,0))</f>
        <v>0</v>
      </c>
      <c r="D19" s="2443">
        <f>IF(B1="仅计算典型户型",'数据-取费表'!E5,'数据-取费表'!B5)</f>
        <v>118.67</v>
      </c>
      <c r="E19" s="2423">
        <f>'数据-取费表'!E15</f>
        <v>200</v>
      </c>
      <c r="F19" s="2444"/>
      <c r="G19" s="2435" t="s">
        <v>3436</v>
      </c>
    </row>
    <row r="20" s="2405" customFormat="1" ht="13.5" customHeight="1" spans="1:123">
      <c r="A20" s="2421" t="s">
        <v>3437</v>
      </c>
      <c r="B20" s="2422" t="s">
        <v>3438</v>
      </c>
      <c r="C20" s="2445">
        <f>ROUND((C5+C19)*F20,0)</f>
        <v>3982</v>
      </c>
      <c r="D20" s="2445"/>
      <c r="E20" s="2445"/>
      <c r="F20" s="2446">
        <f>'数据-取费表'!E25</f>
        <v>0.01</v>
      </c>
      <c r="G20" s="2447" t="s">
        <v>3439</v>
      </c>
      <c r="H20" s="2406"/>
      <c r="I20" s="2406"/>
      <c r="J20" s="2406"/>
      <c r="K20" s="2406"/>
      <c r="L20" s="2406"/>
      <c r="M20" s="2406"/>
      <c r="N20" s="2406"/>
      <c r="O20" s="2406"/>
      <c r="P20" s="2406"/>
      <c r="Q20" s="2406"/>
      <c r="R20" s="2406"/>
      <c r="S20" s="2406"/>
      <c r="T20" s="2406"/>
      <c r="U20" s="2406"/>
      <c r="V20" s="2406"/>
      <c r="W20" s="2406"/>
      <c r="X20" s="2406"/>
      <c r="Y20" s="2406"/>
      <c r="Z20" s="2406"/>
      <c r="AA20" s="2406"/>
      <c r="AB20" s="2406"/>
      <c r="AC20" s="2406"/>
      <c r="AD20" s="2406"/>
      <c r="AE20" s="2406"/>
      <c r="AF20" s="2406"/>
      <c r="AG20" s="2406"/>
      <c r="AH20" s="2406"/>
      <c r="AI20" s="2406"/>
      <c r="AJ20" s="2406"/>
      <c r="AK20" s="2406"/>
      <c r="AL20" s="2406"/>
      <c r="AM20" s="2406"/>
      <c r="AN20" s="2406"/>
      <c r="AO20" s="2406"/>
      <c r="AP20" s="2406"/>
      <c r="AQ20" s="2406"/>
      <c r="AR20" s="2406"/>
      <c r="AS20" s="2406"/>
      <c r="AT20" s="2406"/>
      <c r="AU20" s="2406"/>
      <c r="AV20" s="2406"/>
      <c r="AW20" s="2406"/>
      <c r="AX20" s="2406"/>
      <c r="AY20" s="2406"/>
      <c r="AZ20" s="2406"/>
      <c r="BA20" s="2406"/>
      <c r="BB20" s="2406"/>
      <c r="BC20" s="2406"/>
      <c r="BD20" s="2406"/>
      <c r="BE20" s="2406"/>
      <c r="BF20" s="2406"/>
      <c r="BG20" s="2406"/>
      <c r="BH20" s="2406"/>
      <c r="BI20" s="2406"/>
      <c r="BJ20" s="2406"/>
      <c r="BK20" s="2406"/>
      <c r="BL20" s="2406"/>
      <c r="BM20" s="2406"/>
      <c r="BN20" s="2406"/>
      <c r="BO20" s="2406"/>
      <c r="BP20" s="2406"/>
      <c r="BQ20" s="2406"/>
      <c r="BR20" s="2406"/>
      <c r="BS20" s="2406"/>
      <c r="BT20" s="2406"/>
      <c r="BU20" s="2406"/>
      <c r="BV20" s="2406"/>
      <c r="BW20" s="2406"/>
      <c r="BX20" s="2406"/>
      <c r="BY20" s="2406"/>
      <c r="BZ20" s="2406"/>
      <c r="CA20" s="2406"/>
      <c r="CB20" s="2406"/>
      <c r="CC20" s="2406"/>
      <c r="CD20" s="2406"/>
      <c r="CE20" s="2406"/>
      <c r="CF20" s="2406"/>
      <c r="CG20" s="2406"/>
      <c r="CH20" s="2406"/>
      <c r="CI20" s="2406"/>
      <c r="CJ20" s="2406"/>
      <c r="CK20" s="2406"/>
      <c r="CL20" s="2406"/>
      <c r="CM20" s="2406"/>
      <c r="CN20" s="2406"/>
      <c r="CO20" s="2406"/>
      <c r="CP20" s="2406"/>
      <c r="CQ20" s="2406"/>
      <c r="CR20" s="2406"/>
      <c r="CS20" s="2406"/>
      <c r="CT20" s="2406"/>
      <c r="CU20" s="2406"/>
      <c r="CV20" s="2406"/>
      <c r="CW20" s="2406"/>
      <c r="CX20" s="2406"/>
      <c r="CY20" s="2406"/>
      <c r="CZ20" s="2406"/>
      <c r="DA20" s="2406"/>
      <c r="DB20" s="2406"/>
      <c r="DC20" s="2406"/>
      <c r="DD20" s="2406"/>
      <c r="DE20" s="2406"/>
      <c r="DF20" s="2406"/>
      <c r="DG20" s="2406"/>
      <c r="DH20" s="2406"/>
      <c r="DI20" s="2406"/>
      <c r="DJ20" s="2406"/>
      <c r="DK20" s="2406"/>
      <c r="DL20" s="2406"/>
      <c r="DM20" s="2406"/>
      <c r="DN20" s="2406"/>
      <c r="DO20" s="2406"/>
      <c r="DP20" s="2406"/>
      <c r="DQ20" s="2406"/>
      <c r="DR20" s="2406"/>
      <c r="DS20" s="2406"/>
    </row>
    <row r="21" s="2405" customFormat="1" ht="13.5" customHeight="1" spans="1:123">
      <c r="A21" s="2421" t="s">
        <v>3440</v>
      </c>
      <c r="B21" s="2422" t="s">
        <v>3441</v>
      </c>
      <c r="C21" s="2448">
        <f>F21</f>
        <v>0.01</v>
      </c>
      <c r="D21" s="2449" t="s">
        <v>3442</v>
      </c>
      <c r="E21" s="2445"/>
      <c r="F21" s="2446">
        <f>'数据-取费表'!E26</f>
        <v>0.01</v>
      </c>
      <c r="G21" s="2447" t="s">
        <v>3443</v>
      </c>
      <c r="H21" s="2406"/>
      <c r="I21" s="2406"/>
      <c r="J21" s="2406"/>
      <c r="K21" s="2406"/>
      <c r="L21" s="2406"/>
      <c r="M21" s="2406"/>
      <c r="N21" s="2406"/>
      <c r="O21" s="2406"/>
      <c r="P21" s="2406"/>
      <c r="Q21" s="2406"/>
      <c r="R21" s="2406"/>
      <c r="S21" s="2406"/>
      <c r="T21" s="2406"/>
      <c r="U21" s="2406"/>
      <c r="V21" s="2406"/>
      <c r="W21" s="2406"/>
      <c r="X21" s="2406"/>
      <c r="Y21" s="2406"/>
      <c r="Z21" s="2406"/>
      <c r="AA21" s="2406"/>
      <c r="AB21" s="2406"/>
      <c r="AC21" s="2406"/>
      <c r="AD21" s="2406"/>
      <c r="AE21" s="2406"/>
      <c r="AF21" s="2406"/>
      <c r="AG21" s="2406"/>
      <c r="AH21" s="2406"/>
      <c r="AI21" s="2406"/>
      <c r="AJ21" s="2406"/>
      <c r="AK21" s="2406"/>
      <c r="AL21" s="2406"/>
      <c r="AM21" s="2406"/>
      <c r="AN21" s="2406"/>
      <c r="AO21" s="2406"/>
      <c r="AP21" s="2406"/>
      <c r="AQ21" s="2406"/>
      <c r="AR21" s="2406"/>
      <c r="AS21" s="2406"/>
      <c r="AT21" s="2406"/>
      <c r="AU21" s="2406"/>
      <c r="AV21" s="2406"/>
      <c r="AW21" s="2406"/>
      <c r="AX21" s="2406"/>
      <c r="AY21" s="2406"/>
      <c r="AZ21" s="2406"/>
      <c r="BA21" s="2406"/>
      <c r="BB21" s="2406"/>
      <c r="BC21" s="2406"/>
      <c r="BD21" s="2406"/>
      <c r="BE21" s="2406"/>
      <c r="BF21" s="2406"/>
      <c r="BG21" s="2406"/>
      <c r="BH21" s="2406"/>
      <c r="BI21" s="2406"/>
      <c r="BJ21" s="2406"/>
      <c r="BK21" s="2406"/>
      <c r="BL21" s="2406"/>
      <c r="BM21" s="2406"/>
      <c r="BN21" s="2406"/>
      <c r="BO21" s="2406"/>
      <c r="BP21" s="2406"/>
      <c r="BQ21" s="2406"/>
      <c r="BR21" s="2406"/>
      <c r="BS21" s="2406"/>
      <c r="BT21" s="2406"/>
      <c r="BU21" s="2406"/>
      <c r="BV21" s="2406"/>
      <c r="BW21" s="2406"/>
      <c r="BX21" s="2406"/>
      <c r="BY21" s="2406"/>
      <c r="BZ21" s="2406"/>
      <c r="CA21" s="2406"/>
      <c r="CB21" s="2406"/>
      <c r="CC21" s="2406"/>
      <c r="CD21" s="2406"/>
      <c r="CE21" s="2406"/>
      <c r="CF21" s="2406"/>
      <c r="CG21" s="2406"/>
      <c r="CH21" s="2406"/>
      <c r="CI21" s="2406"/>
      <c r="CJ21" s="2406"/>
      <c r="CK21" s="2406"/>
      <c r="CL21" s="2406"/>
      <c r="CM21" s="2406"/>
      <c r="CN21" s="2406"/>
      <c r="CO21" s="2406"/>
      <c r="CP21" s="2406"/>
      <c r="CQ21" s="2406"/>
      <c r="CR21" s="2406"/>
      <c r="CS21" s="2406"/>
      <c r="CT21" s="2406"/>
      <c r="CU21" s="2406"/>
      <c r="CV21" s="2406"/>
      <c r="CW21" s="2406"/>
      <c r="CX21" s="2406"/>
      <c r="CY21" s="2406"/>
      <c r="CZ21" s="2406"/>
      <c r="DA21" s="2406"/>
      <c r="DB21" s="2406"/>
      <c r="DC21" s="2406"/>
      <c r="DD21" s="2406"/>
      <c r="DE21" s="2406"/>
      <c r="DF21" s="2406"/>
      <c r="DG21" s="2406"/>
      <c r="DH21" s="2406"/>
      <c r="DI21" s="2406"/>
      <c r="DJ21" s="2406"/>
      <c r="DK21" s="2406"/>
      <c r="DL21" s="2406"/>
      <c r="DM21" s="2406"/>
      <c r="DN21" s="2406"/>
      <c r="DO21" s="2406"/>
      <c r="DP21" s="2406"/>
      <c r="DQ21" s="2406"/>
      <c r="DR21" s="2406"/>
      <c r="DS21" s="2406"/>
    </row>
    <row r="22" s="2405" customFormat="1" ht="13.5" customHeight="1" spans="1:123">
      <c r="A22" s="2421" t="s">
        <v>3444</v>
      </c>
      <c r="B22" s="2422" t="s">
        <v>3445</v>
      </c>
      <c r="C22" s="2450">
        <f ca="1">ROUND(SUM(C23:C25),0)</f>
        <v>22329</v>
      </c>
      <c r="D22" s="2448">
        <f ca="1">C26</f>
        <v>0.0003</v>
      </c>
      <c r="E22" s="2449" t="s">
        <v>3442</v>
      </c>
      <c r="F22" s="2446">
        <f ca="1">'数据-取费表'!E27</f>
        <v>0.0558</v>
      </c>
      <c r="G22" s="2447" t="str">
        <f>IF('数据-取费表'!B24&lt;=1,"单利计息。","复利计息。")</f>
        <v>单利计息。</v>
      </c>
      <c r="H22" s="2406"/>
      <c r="I22" s="2406"/>
      <c r="J22" s="2406"/>
      <c r="K22" s="2406"/>
      <c r="L22" s="2406"/>
      <c r="M22" s="2406"/>
      <c r="N22" s="2406"/>
      <c r="O22" s="2406"/>
      <c r="P22" s="2406"/>
      <c r="Q22" s="2406"/>
      <c r="R22" s="2406"/>
      <c r="S22" s="2406"/>
      <c r="T22" s="2406"/>
      <c r="U22" s="2406"/>
      <c r="V22" s="2406"/>
      <c r="W22" s="2406"/>
      <c r="X22" s="2406"/>
      <c r="Y22" s="2406"/>
      <c r="Z22" s="2406"/>
      <c r="AA22" s="2406"/>
      <c r="AB22" s="2406"/>
      <c r="AC22" s="2406"/>
      <c r="AD22" s="2406"/>
      <c r="AE22" s="2406"/>
      <c r="AF22" s="2406"/>
      <c r="AG22" s="2406"/>
      <c r="AH22" s="2406"/>
      <c r="AI22" s="2406"/>
      <c r="AJ22" s="2406"/>
      <c r="AK22" s="2406"/>
      <c r="AL22" s="2406"/>
      <c r="AM22" s="2406"/>
      <c r="AN22" s="2406"/>
      <c r="AO22" s="2406"/>
      <c r="AP22" s="2406"/>
      <c r="AQ22" s="2406"/>
      <c r="AR22" s="2406"/>
      <c r="AS22" s="2406"/>
      <c r="AT22" s="2406"/>
      <c r="AU22" s="2406"/>
      <c r="AV22" s="2406"/>
      <c r="AW22" s="2406"/>
      <c r="AX22" s="2406"/>
      <c r="AY22" s="2406"/>
      <c r="AZ22" s="2406"/>
      <c r="BA22" s="2406"/>
      <c r="BB22" s="2406"/>
      <c r="BC22" s="2406"/>
      <c r="BD22" s="2406"/>
      <c r="BE22" s="2406"/>
      <c r="BF22" s="2406"/>
      <c r="BG22" s="2406"/>
      <c r="BH22" s="2406"/>
      <c r="BI22" s="2406"/>
      <c r="BJ22" s="2406"/>
      <c r="BK22" s="2406"/>
      <c r="BL22" s="2406"/>
      <c r="BM22" s="2406"/>
      <c r="BN22" s="2406"/>
      <c r="BO22" s="2406"/>
      <c r="BP22" s="2406"/>
      <c r="BQ22" s="2406"/>
      <c r="BR22" s="2406"/>
      <c r="BS22" s="2406"/>
      <c r="BT22" s="2406"/>
      <c r="BU22" s="2406"/>
      <c r="BV22" s="2406"/>
      <c r="BW22" s="2406"/>
      <c r="BX22" s="2406"/>
      <c r="BY22" s="2406"/>
      <c r="BZ22" s="2406"/>
      <c r="CA22" s="2406"/>
      <c r="CB22" s="2406"/>
      <c r="CC22" s="2406"/>
      <c r="CD22" s="2406"/>
      <c r="CE22" s="2406"/>
      <c r="CF22" s="2406"/>
      <c r="CG22" s="2406"/>
      <c r="CH22" s="2406"/>
      <c r="CI22" s="2406"/>
      <c r="CJ22" s="2406"/>
      <c r="CK22" s="2406"/>
      <c r="CL22" s="2406"/>
      <c r="CM22" s="2406"/>
      <c r="CN22" s="2406"/>
      <c r="CO22" s="2406"/>
      <c r="CP22" s="2406"/>
      <c r="CQ22" s="2406"/>
      <c r="CR22" s="2406"/>
      <c r="CS22" s="2406"/>
      <c r="CT22" s="2406"/>
      <c r="CU22" s="2406"/>
      <c r="CV22" s="2406"/>
      <c r="CW22" s="2406"/>
      <c r="CX22" s="2406"/>
      <c r="CY22" s="2406"/>
      <c r="CZ22" s="2406"/>
      <c r="DA22" s="2406"/>
      <c r="DB22" s="2406"/>
      <c r="DC22" s="2406"/>
      <c r="DD22" s="2406"/>
      <c r="DE22" s="2406"/>
      <c r="DF22" s="2406"/>
      <c r="DG22" s="2406"/>
      <c r="DH22" s="2406"/>
      <c r="DI22" s="2406"/>
      <c r="DJ22" s="2406"/>
      <c r="DK22" s="2406"/>
      <c r="DL22" s="2406"/>
      <c r="DM22" s="2406"/>
      <c r="DN22" s="2406"/>
      <c r="DO22" s="2406"/>
      <c r="DP22" s="2406"/>
      <c r="DQ22" s="2406"/>
      <c r="DR22" s="2406"/>
      <c r="DS22" s="2406"/>
    </row>
    <row r="23" s="2405" customFormat="1" ht="13.5" customHeight="1" spans="1:123">
      <c r="A23" s="2426" t="s">
        <v>3407</v>
      </c>
      <c r="B23" s="2427" t="s">
        <v>3446</v>
      </c>
      <c r="C23" s="2451">
        <f ca="1">ROUND(IF('数据-取费表'!B24&lt;=1,C5*F22*'数据-取费表'!B25,C5*(POWER((1+F22),'数据-取费表'!B25)-1)),0)</f>
        <v>22218</v>
      </c>
      <c r="D23" s="2189"/>
      <c r="E23" s="2189"/>
      <c r="F23" s="2452"/>
      <c r="G23" s="2453" t="s">
        <v>3447</v>
      </c>
      <c r="H23" s="2406"/>
      <c r="I23" s="2406"/>
      <c r="J23" s="2406"/>
      <c r="K23" s="2406"/>
      <c r="L23" s="2406"/>
      <c r="M23" s="2406"/>
      <c r="N23" s="2406"/>
      <c r="O23" s="2406"/>
      <c r="P23" s="2406"/>
      <c r="Q23" s="2406"/>
      <c r="R23" s="2406"/>
      <c r="S23" s="2406"/>
      <c r="T23" s="2406"/>
      <c r="U23" s="2406"/>
      <c r="V23" s="2406"/>
      <c r="W23" s="2406"/>
      <c r="X23" s="2406"/>
      <c r="Y23" s="2406"/>
      <c r="Z23" s="2406"/>
      <c r="AA23" s="2406"/>
      <c r="AB23" s="2406"/>
      <c r="AC23" s="2406"/>
      <c r="AD23" s="2406"/>
      <c r="AE23" s="2406"/>
      <c r="AF23" s="2406"/>
      <c r="AG23" s="2406"/>
      <c r="AH23" s="2406"/>
      <c r="AI23" s="2406"/>
      <c r="AJ23" s="2406"/>
      <c r="AK23" s="2406"/>
      <c r="AL23" s="2406"/>
      <c r="AM23" s="2406"/>
      <c r="AN23" s="2406"/>
      <c r="AO23" s="2406"/>
      <c r="AP23" s="2406"/>
      <c r="AQ23" s="2406"/>
      <c r="AR23" s="2406"/>
      <c r="AS23" s="2406"/>
      <c r="AT23" s="2406"/>
      <c r="AU23" s="2406"/>
      <c r="AV23" s="2406"/>
      <c r="AW23" s="2406"/>
      <c r="AX23" s="2406"/>
      <c r="AY23" s="2406"/>
      <c r="AZ23" s="2406"/>
      <c r="BA23" s="2406"/>
      <c r="BB23" s="2406"/>
      <c r="BC23" s="2406"/>
      <c r="BD23" s="2406"/>
      <c r="BE23" s="2406"/>
      <c r="BF23" s="2406"/>
      <c r="BG23" s="2406"/>
      <c r="BH23" s="2406"/>
      <c r="BI23" s="2406"/>
      <c r="BJ23" s="2406"/>
      <c r="BK23" s="2406"/>
      <c r="BL23" s="2406"/>
      <c r="BM23" s="2406"/>
      <c r="BN23" s="2406"/>
      <c r="BO23" s="2406"/>
      <c r="BP23" s="2406"/>
      <c r="BQ23" s="2406"/>
      <c r="BR23" s="2406"/>
      <c r="BS23" s="2406"/>
      <c r="BT23" s="2406"/>
      <c r="BU23" s="2406"/>
      <c r="BV23" s="2406"/>
      <c r="BW23" s="2406"/>
      <c r="BX23" s="2406"/>
      <c r="BY23" s="2406"/>
      <c r="BZ23" s="2406"/>
      <c r="CA23" s="2406"/>
      <c r="CB23" s="2406"/>
      <c r="CC23" s="2406"/>
      <c r="CD23" s="2406"/>
      <c r="CE23" s="2406"/>
      <c r="CF23" s="2406"/>
      <c r="CG23" s="2406"/>
      <c r="CH23" s="2406"/>
      <c r="CI23" s="2406"/>
      <c r="CJ23" s="2406"/>
      <c r="CK23" s="2406"/>
      <c r="CL23" s="2406"/>
      <c r="CM23" s="2406"/>
      <c r="CN23" s="2406"/>
      <c r="CO23" s="2406"/>
      <c r="CP23" s="2406"/>
      <c r="CQ23" s="2406"/>
      <c r="CR23" s="2406"/>
      <c r="CS23" s="2406"/>
      <c r="CT23" s="2406"/>
      <c r="CU23" s="2406"/>
      <c r="CV23" s="2406"/>
      <c r="CW23" s="2406"/>
      <c r="CX23" s="2406"/>
      <c r="CY23" s="2406"/>
      <c r="CZ23" s="2406"/>
      <c r="DA23" s="2406"/>
      <c r="DB23" s="2406"/>
      <c r="DC23" s="2406"/>
      <c r="DD23" s="2406"/>
      <c r="DE23" s="2406"/>
      <c r="DF23" s="2406"/>
      <c r="DG23" s="2406"/>
      <c r="DH23" s="2406"/>
      <c r="DI23" s="2406"/>
      <c r="DJ23" s="2406"/>
      <c r="DK23" s="2406"/>
      <c r="DL23" s="2406"/>
      <c r="DM23" s="2406"/>
      <c r="DN23" s="2406"/>
      <c r="DO23" s="2406"/>
      <c r="DP23" s="2406"/>
      <c r="DQ23" s="2406"/>
      <c r="DR23" s="2406"/>
      <c r="DS23" s="2406"/>
    </row>
    <row r="24" s="2405" customFormat="1" ht="13.5" customHeight="1" spans="1:123">
      <c r="A24" s="2426" t="s">
        <v>3409</v>
      </c>
      <c r="B24" s="2427" t="s">
        <v>3448</v>
      </c>
      <c r="C24" s="2451">
        <f ca="1">ROUND(IF('数据-取费表'!B24&lt;=1,C19*F22*('数据-取费表'!B21/2+'数据-取费表'!B23),C19*(POWER((1+F22),('数据-取费表'!B21/2+'数据-取费表'!B23))-1)),0)</f>
        <v>0</v>
      </c>
      <c r="D24" s="2189"/>
      <c r="E24" s="2189"/>
      <c r="F24" s="2452"/>
      <c r="G24" s="2453" t="s">
        <v>3449</v>
      </c>
      <c r="H24" s="2406"/>
      <c r="I24" s="2406"/>
      <c r="J24" s="2406"/>
      <c r="K24" s="2406"/>
      <c r="L24" s="2406"/>
      <c r="M24" s="2406"/>
      <c r="N24" s="2406"/>
      <c r="O24" s="2406"/>
      <c r="P24" s="2406"/>
      <c r="Q24" s="2406"/>
      <c r="R24" s="2406"/>
      <c r="S24" s="2406"/>
      <c r="T24" s="2406"/>
      <c r="U24" s="2406"/>
      <c r="V24" s="2406"/>
      <c r="W24" s="2406"/>
      <c r="X24" s="2406"/>
      <c r="Y24" s="2406"/>
      <c r="Z24" s="2406"/>
      <c r="AA24" s="2406"/>
      <c r="AB24" s="2406"/>
      <c r="AC24" s="2406"/>
      <c r="AD24" s="2406"/>
      <c r="AE24" s="2406"/>
      <c r="AF24" s="2406"/>
      <c r="AG24" s="2406"/>
      <c r="AH24" s="2406"/>
      <c r="AI24" s="2406"/>
      <c r="AJ24" s="2406"/>
      <c r="AK24" s="2406"/>
      <c r="AL24" s="2406"/>
      <c r="AM24" s="2406"/>
      <c r="AN24" s="2406"/>
      <c r="AO24" s="2406"/>
      <c r="AP24" s="2406"/>
      <c r="AQ24" s="2406"/>
      <c r="AR24" s="2406"/>
      <c r="AS24" s="2406"/>
      <c r="AT24" s="2406"/>
      <c r="AU24" s="2406"/>
      <c r="AV24" s="2406"/>
      <c r="AW24" s="2406"/>
      <c r="AX24" s="2406"/>
      <c r="AY24" s="2406"/>
      <c r="AZ24" s="2406"/>
      <c r="BA24" s="2406"/>
      <c r="BB24" s="2406"/>
      <c r="BC24" s="2406"/>
      <c r="BD24" s="2406"/>
      <c r="BE24" s="2406"/>
      <c r="BF24" s="2406"/>
      <c r="BG24" s="2406"/>
      <c r="BH24" s="2406"/>
      <c r="BI24" s="2406"/>
      <c r="BJ24" s="2406"/>
      <c r="BK24" s="2406"/>
      <c r="BL24" s="2406"/>
      <c r="BM24" s="2406"/>
      <c r="BN24" s="2406"/>
      <c r="BO24" s="2406"/>
      <c r="BP24" s="2406"/>
      <c r="BQ24" s="2406"/>
      <c r="BR24" s="2406"/>
      <c r="BS24" s="2406"/>
      <c r="BT24" s="2406"/>
      <c r="BU24" s="2406"/>
      <c r="BV24" s="2406"/>
      <c r="BW24" s="2406"/>
      <c r="BX24" s="2406"/>
      <c r="BY24" s="2406"/>
      <c r="BZ24" s="2406"/>
      <c r="CA24" s="2406"/>
      <c r="CB24" s="2406"/>
      <c r="CC24" s="2406"/>
      <c r="CD24" s="2406"/>
      <c r="CE24" s="2406"/>
      <c r="CF24" s="2406"/>
      <c r="CG24" s="2406"/>
      <c r="CH24" s="2406"/>
      <c r="CI24" s="2406"/>
      <c r="CJ24" s="2406"/>
      <c r="CK24" s="2406"/>
      <c r="CL24" s="2406"/>
      <c r="CM24" s="2406"/>
      <c r="CN24" s="2406"/>
      <c r="CO24" s="2406"/>
      <c r="CP24" s="2406"/>
      <c r="CQ24" s="2406"/>
      <c r="CR24" s="2406"/>
      <c r="CS24" s="2406"/>
      <c r="CT24" s="2406"/>
      <c r="CU24" s="2406"/>
      <c r="CV24" s="2406"/>
      <c r="CW24" s="2406"/>
      <c r="CX24" s="2406"/>
      <c r="CY24" s="2406"/>
      <c r="CZ24" s="2406"/>
      <c r="DA24" s="2406"/>
      <c r="DB24" s="2406"/>
      <c r="DC24" s="2406"/>
      <c r="DD24" s="2406"/>
      <c r="DE24" s="2406"/>
      <c r="DF24" s="2406"/>
      <c r="DG24" s="2406"/>
      <c r="DH24" s="2406"/>
      <c r="DI24" s="2406"/>
      <c r="DJ24" s="2406"/>
      <c r="DK24" s="2406"/>
      <c r="DL24" s="2406"/>
      <c r="DM24" s="2406"/>
      <c r="DN24" s="2406"/>
      <c r="DO24" s="2406"/>
      <c r="DP24" s="2406"/>
      <c r="DQ24" s="2406"/>
      <c r="DR24" s="2406"/>
      <c r="DS24" s="2406"/>
    </row>
    <row r="25" s="2405" customFormat="1" ht="24" spans="1:123">
      <c r="A25" s="2426" t="s">
        <v>3411</v>
      </c>
      <c r="B25" s="2427" t="s">
        <v>3450</v>
      </c>
      <c r="C25" s="2451">
        <f ca="1">ROUND(IF('数据-取费表'!B24&lt;=1,C20*F22*'数据-取费表'!B25/2,C20*(POWER((1+F22),'数据-取费表'!B25/2)-1)),0)</f>
        <v>111</v>
      </c>
      <c r="D25" s="2189"/>
      <c r="E25" s="2454"/>
      <c r="F25" s="2452"/>
      <c r="G25" s="2455" t="s">
        <v>3451</v>
      </c>
      <c r="H25" s="2406"/>
      <c r="I25" s="2406"/>
      <c r="J25" s="2406"/>
      <c r="K25" s="2406"/>
      <c r="L25" s="2406"/>
      <c r="M25" s="2406"/>
      <c r="N25" s="2406"/>
      <c r="O25" s="2406"/>
      <c r="P25" s="2406"/>
      <c r="Q25" s="2406"/>
      <c r="R25" s="2406"/>
      <c r="S25" s="2406"/>
      <c r="T25" s="2406"/>
      <c r="U25" s="2406"/>
      <c r="V25" s="2406"/>
      <c r="W25" s="2406"/>
      <c r="X25" s="2406"/>
      <c r="Y25" s="2406"/>
      <c r="Z25" s="2406"/>
      <c r="AA25" s="2406"/>
      <c r="AB25" s="2406"/>
      <c r="AC25" s="2406"/>
      <c r="AD25" s="2406"/>
      <c r="AE25" s="2406"/>
      <c r="AF25" s="2406"/>
      <c r="AG25" s="2406"/>
      <c r="AH25" s="2406"/>
      <c r="AI25" s="2406"/>
      <c r="AJ25" s="2406"/>
      <c r="AK25" s="2406"/>
      <c r="AL25" s="2406"/>
      <c r="AM25" s="2406"/>
      <c r="AN25" s="2406"/>
      <c r="AO25" s="2406"/>
      <c r="AP25" s="2406"/>
      <c r="AQ25" s="2406"/>
      <c r="AR25" s="2406"/>
      <c r="AS25" s="2406"/>
      <c r="AT25" s="2406"/>
      <c r="AU25" s="2406"/>
      <c r="AV25" s="2406"/>
      <c r="AW25" s="2406"/>
      <c r="AX25" s="2406"/>
      <c r="AY25" s="2406"/>
      <c r="AZ25" s="2406"/>
      <c r="BA25" s="2406"/>
      <c r="BB25" s="2406"/>
      <c r="BC25" s="2406"/>
      <c r="BD25" s="2406"/>
      <c r="BE25" s="2406"/>
      <c r="BF25" s="2406"/>
      <c r="BG25" s="2406"/>
      <c r="BH25" s="2406"/>
      <c r="BI25" s="2406"/>
      <c r="BJ25" s="2406"/>
      <c r="BK25" s="2406"/>
      <c r="BL25" s="2406"/>
      <c r="BM25" s="2406"/>
      <c r="BN25" s="2406"/>
      <c r="BO25" s="2406"/>
      <c r="BP25" s="2406"/>
      <c r="BQ25" s="2406"/>
      <c r="BR25" s="2406"/>
      <c r="BS25" s="2406"/>
      <c r="BT25" s="2406"/>
      <c r="BU25" s="2406"/>
      <c r="BV25" s="2406"/>
      <c r="BW25" s="2406"/>
      <c r="BX25" s="2406"/>
      <c r="BY25" s="2406"/>
      <c r="BZ25" s="2406"/>
      <c r="CA25" s="2406"/>
      <c r="CB25" s="2406"/>
      <c r="CC25" s="2406"/>
      <c r="CD25" s="2406"/>
      <c r="CE25" s="2406"/>
      <c r="CF25" s="2406"/>
      <c r="CG25" s="2406"/>
      <c r="CH25" s="2406"/>
      <c r="CI25" s="2406"/>
      <c r="CJ25" s="2406"/>
      <c r="CK25" s="2406"/>
      <c r="CL25" s="2406"/>
      <c r="CM25" s="2406"/>
      <c r="CN25" s="2406"/>
      <c r="CO25" s="2406"/>
      <c r="CP25" s="2406"/>
      <c r="CQ25" s="2406"/>
      <c r="CR25" s="2406"/>
      <c r="CS25" s="2406"/>
      <c r="CT25" s="2406"/>
      <c r="CU25" s="2406"/>
      <c r="CV25" s="2406"/>
      <c r="CW25" s="2406"/>
      <c r="CX25" s="2406"/>
      <c r="CY25" s="2406"/>
      <c r="CZ25" s="2406"/>
      <c r="DA25" s="2406"/>
      <c r="DB25" s="2406"/>
      <c r="DC25" s="2406"/>
      <c r="DD25" s="2406"/>
      <c r="DE25" s="2406"/>
      <c r="DF25" s="2406"/>
      <c r="DG25" s="2406"/>
      <c r="DH25" s="2406"/>
      <c r="DI25" s="2406"/>
      <c r="DJ25" s="2406"/>
      <c r="DK25" s="2406"/>
      <c r="DL25" s="2406"/>
      <c r="DM25" s="2406"/>
      <c r="DN25" s="2406"/>
      <c r="DO25" s="2406"/>
      <c r="DP25" s="2406"/>
      <c r="DQ25" s="2406"/>
      <c r="DR25" s="2406"/>
      <c r="DS25" s="2406"/>
    </row>
    <row r="26" s="2405" customFormat="1" spans="1:123">
      <c r="A26" s="2426" t="s">
        <v>3452</v>
      </c>
      <c r="B26" s="2427" t="s">
        <v>3453</v>
      </c>
      <c r="C26" s="2189">
        <f ca="1">ROUND(IF('数据-取费表'!B24&lt;=1,F21*F22*'数据-取费表'!B25/2,F21*(POWER((1+F22),'数据-取费表'!B25/2)-1)),4)</f>
        <v>0.0003</v>
      </c>
      <c r="D26" s="2189"/>
      <c r="E26" s="2454"/>
      <c r="F26" s="2452"/>
      <c r="G26" s="2456"/>
      <c r="H26" s="2406"/>
      <c r="I26" s="2406"/>
      <c r="J26" s="2406"/>
      <c r="K26" s="2406"/>
      <c r="L26" s="2406"/>
      <c r="M26" s="2406"/>
      <c r="N26" s="2406"/>
      <c r="O26" s="2406"/>
      <c r="P26" s="2406"/>
      <c r="Q26" s="2406"/>
      <c r="R26" s="2406"/>
      <c r="S26" s="2406"/>
      <c r="T26" s="2406"/>
      <c r="U26" s="2406"/>
      <c r="V26" s="2406"/>
      <c r="W26" s="2406"/>
      <c r="X26" s="2406"/>
      <c r="Y26" s="2406"/>
      <c r="Z26" s="2406"/>
      <c r="AA26" s="2406"/>
      <c r="AB26" s="2406"/>
      <c r="AC26" s="2406"/>
      <c r="AD26" s="2406"/>
      <c r="AE26" s="2406"/>
      <c r="AF26" s="2406"/>
      <c r="AG26" s="2406"/>
      <c r="AH26" s="2406"/>
      <c r="AI26" s="2406"/>
      <c r="AJ26" s="2406"/>
      <c r="AK26" s="2406"/>
      <c r="AL26" s="2406"/>
      <c r="AM26" s="2406"/>
      <c r="AN26" s="2406"/>
      <c r="AO26" s="2406"/>
      <c r="AP26" s="2406"/>
      <c r="AQ26" s="2406"/>
      <c r="AR26" s="2406"/>
      <c r="AS26" s="2406"/>
      <c r="AT26" s="2406"/>
      <c r="AU26" s="2406"/>
      <c r="AV26" s="2406"/>
      <c r="AW26" s="2406"/>
      <c r="AX26" s="2406"/>
      <c r="AY26" s="2406"/>
      <c r="AZ26" s="2406"/>
      <c r="BA26" s="2406"/>
      <c r="BB26" s="2406"/>
      <c r="BC26" s="2406"/>
      <c r="BD26" s="2406"/>
      <c r="BE26" s="2406"/>
      <c r="BF26" s="2406"/>
      <c r="BG26" s="2406"/>
      <c r="BH26" s="2406"/>
      <c r="BI26" s="2406"/>
      <c r="BJ26" s="2406"/>
      <c r="BK26" s="2406"/>
      <c r="BL26" s="2406"/>
      <c r="BM26" s="2406"/>
      <c r="BN26" s="2406"/>
      <c r="BO26" s="2406"/>
      <c r="BP26" s="2406"/>
      <c r="BQ26" s="2406"/>
      <c r="BR26" s="2406"/>
      <c r="BS26" s="2406"/>
      <c r="BT26" s="2406"/>
      <c r="BU26" s="2406"/>
      <c r="BV26" s="2406"/>
      <c r="BW26" s="2406"/>
      <c r="BX26" s="2406"/>
      <c r="BY26" s="2406"/>
      <c r="BZ26" s="2406"/>
      <c r="CA26" s="2406"/>
      <c r="CB26" s="2406"/>
      <c r="CC26" s="2406"/>
      <c r="CD26" s="2406"/>
      <c r="CE26" s="2406"/>
      <c r="CF26" s="2406"/>
      <c r="CG26" s="2406"/>
      <c r="CH26" s="2406"/>
      <c r="CI26" s="2406"/>
      <c r="CJ26" s="2406"/>
      <c r="CK26" s="2406"/>
      <c r="CL26" s="2406"/>
      <c r="CM26" s="2406"/>
      <c r="CN26" s="2406"/>
      <c r="CO26" s="2406"/>
      <c r="CP26" s="2406"/>
      <c r="CQ26" s="2406"/>
      <c r="CR26" s="2406"/>
      <c r="CS26" s="2406"/>
      <c r="CT26" s="2406"/>
      <c r="CU26" s="2406"/>
      <c r="CV26" s="2406"/>
      <c r="CW26" s="2406"/>
      <c r="CX26" s="2406"/>
      <c r="CY26" s="2406"/>
      <c r="CZ26" s="2406"/>
      <c r="DA26" s="2406"/>
      <c r="DB26" s="2406"/>
      <c r="DC26" s="2406"/>
      <c r="DD26" s="2406"/>
      <c r="DE26" s="2406"/>
      <c r="DF26" s="2406"/>
      <c r="DG26" s="2406"/>
      <c r="DH26" s="2406"/>
      <c r="DI26" s="2406"/>
      <c r="DJ26" s="2406"/>
      <c r="DK26" s="2406"/>
      <c r="DL26" s="2406"/>
      <c r="DM26" s="2406"/>
      <c r="DN26" s="2406"/>
      <c r="DO26" s="2406"/>
      <c r="DP26" s="2406"/>
      <c r="DQ26" s="2406"/>
      <c r="DR26" s="2406"/>
      <c r="DS26" s="2406"/>
    </row>
    <row r="27" s="2405" customFormat="1" ht="25.5" spans="1:123">
      <c r="A27" s="2457" t="s">
        <v>3454</v>
      </c>
      <c r="B27" s="2458" t="s">
        <v>3455</v>
      </c>
      <c r="C27" s="2423">
        <f>C28</f>
        <v>40216</v>
      </c>
      <c r="D27" s="2448">
        <f>C29</f>
        <v>0.001</v>
      </c>
      <c r="E27" s="2449" t="s">
        <v>3442</v>
      </c>
      <c r="F27" s="2444">
        <f>'数据-取费表'!E28</f>
        <v>0.1</v>
      </c>
      <c r="G27" s="2459" t="s">
        <v>3456</v>
      </c>
      <c r="H27" s="2406"/>
      <c r="I27" s="2406"/>
      <c r="J27" s="2406"/>
      <c r="K27" s="2406"/>
      <c r="L27" s="2406"/>
      <c r="M27" s="2406"/>
      <c r="N27" s="2406"/>
      <c r="O27" s="2406"/>
      <c r="P27" s="2406"/>
      <c r="Q27" s="2406"/>
      <c r="R27" s="2406"/>
      <c r="S27" s="2406"/>
      <c r="T27" s="2406"/>
      <c r="U27" s="2406"/>
      <c r="V27" s="2406"/>
      <c r="W27" s="2406"/>
      <c r="X27" s="2406"/>
      <c r="Y27" s="2406"/>
      <c r="Z27" s="2406"/>
      <c r="AA27" s="2406"/>
      <c r="AB27" s="2406"/>
      <c r="AC27" s="2406"/>
      <c r="AD27" s="2406"/>
      <c r="AE27" s="2406"/>
      <c r="AF27" s="2406"/>
      <c r="AG27" s="2406"/>
      <c r="AH27" s="2406"/>
      <c r="AI27" s="2406"/>
      <c r="AJ27" s="2406"/>
      <c r="AK27" s="2406"/>
      <c r="AL27" s="2406"/>
      <c r="AM27" s="2406"/>
      <c r="AN27" s="2406"/>
      <c r="AO27" s="2406"/>
      <c r="AP27" s="2406"/>
      <c r="AQ27" s="2406"/>
      <c r="AR27" s="2406"/>
      <c r="AS27" s="2406"/>
      <c r="AT27" s="2406"/>
      <c r="AU27" s="2406"/>
      <c r="AV27" s="2406"/>
      <c r="AW27" s="2406"/>
      <c r="AX27" s="2406"/>
      <c r="AY27" s="2406"/>
      <c r="AZ27" s="2406"/>
      <c r="BA27" s="2406"/>
      <c r="BB27" s="2406"/>
      <c r="BC27" s="2406"/>
      <c r="BD27" s="2406"/>
      <c r="BE27" s="2406"/>
      <c r="BF27" s="2406"/>
      <c r="BG27" s="2406"/>
      <c r="BH27" s="2406"/>
      <c r="BI27" s="2406"/>
      <c r="BJ27" s="2406"/>
      <c r="BK27" s="2406"/>
      <c r="BL27" s="2406"/>
      <c r="BM27" s="2406"/>
      <c r="BN27" s="2406"/>
      <c r="BO27" s="2406"/>
      <c r="BP27" s="2406"/>
      <c r="BQ27" s="2406"/>
      <c r="BR27" s="2406"/>
      <c r="BS27" s="2406"/>
      <c r="BT27" s="2406"/>
      <c r="BU27" s="2406"/>
      <c r="BV27" s="2406"/>
      <c r="BW27" s="2406"/>
      <c r="BX27" s="2406"/>
      <c r="BY27" s="2406"/>
      <c r="BZ27" s="2406"/>
      <c r="CA27" s="2406"/>
      <c r="CB27" s="2406"/>
      <c r="CC27" s="2406"/>
      <c r="CD27" s="2406"/>
      <c r="CE27" s="2406"/>
      <c r="CF27" s="2406"/>
      <c r="CG27" s="2406"/>
      <c r="CH27" s="2406"/>
      <c r="CI27" s="2406"/>
      <c r="CJ27" s="2406"/>
      <c r="CK27" s="2406"/>
      <c r="CL27" s="2406"/>
      <c r="CM27" s="2406"/>
      <c r="CN27" s="2406"/>
      <c r="CO27" s="2406"/>
      <c r="CP27" s="2406"/>
      <c r="CQ27" s="2406"/>
      <c r="CR27" s="2406"/>
      <c r="CS27" s="2406"/>
      <c r="CT27" s="2406"/>
      <c r="CU27" s="2406"/>
      <c r="CV27" s="2406"/>
      <c r="CW27" s="2406"/>
      <c r="CX27" s="2406"/>
      <c r="CY27" s="2406"/>
      <c r="CZ27" s="2406"/>
      <c r="DA27" s="2406"/>
      <c r="DB27" s="2406"/>
      <c r="DC27" s="2406"/>
      <c r="DD27" s="2406"/>
      <c r="DE27" s="2406"/>
      <c r="DF27" s="2406"/>
      <c r="DG27" s="2406"/>
      <c r="DH27" s="2406"/>
      <c r="DI27" s="2406"/>
      <c r="DJ27" s="2406"/>
      <c r="DK27" s="2406"/>
      <c r="DL27" s="2406"/>
      <c r="DM27" s="2406"/>
      <c r="DN27" s="2406"/>
      <c r="DO27" s="2406"/>
      <c r="DP27" s="2406"/>
      <c r="DQ27" s="2406"/>
      <c r="DR27" s="2406"/>
      <c r="DS27" s="2406"/>
    </row>
    <row r="28" s="2405" customFormat="1" ht="13.5" customHeight="1" spans="1:123">
      <c r="A28" s="2426" t="s">
        <v>3407</v>
      </c>
      <c r="B28" s="2460" t="s">
        <v>3457</v>
      </c>
      <c r="C28" s="2432">
        <f>ROUND((C5+C19+C20)*F27*'数据-取费表'!B23/'数据-取费表'!B22,0)</f>
        <v>40216</v>
      </c>
      <c r="D28" s="2448"/>
      <c r="E28" s="2449"/>
      <c r="F28" s="2444"/>
      <c r="G28" s="2459"/>
      <c r="H28" s="2406"/>
      <c r="I28" s="2406"/>
      <c r="J28" s="2406"/>
      <c r="K28" s="2406"/>
      <c r="L28" s="2406"/>
      <c r="M28" s="2406"/>
      <c r="N28" s="2406"/>
      <c r="O28" s="2406"/>
      <c r="P28" s="2406"/>
      <c r="Q28" s="2406"/>
      <c r="R28" s="2406"/>
      <c r="S28" s="2406"/>
      <c r="T28" s="2406"/>
      <c r="U28" s="2406"/>
      <c r="V28" s="2406"/>
      <c r="W28" s="2406"/>
      <c r="X28" s="2406"/>
      <c r="Y28" s="2406"/>
      <c r="Z28" s="2406"/>
      <c r="AA28" s="2406"/>
      <c r="AB28" s="2406"/>
      <c r="AC28" s="2406"/>
      <c r="AD28" s="2406"/>
      <c r="AE28" s="2406"/>
      <c r="AF28" s="2406"/>
      <c r="AG28" s="2406"/>
      <c r="AH28" s="2406"/>
      <c r="AI28" s="2406"/>
      <c r="AJ28" s="2406"/>
      <c r="AK28" s="2406"/>
      <c r="AL28" s="2406"/>
      <c r="AM28" s="2406"/>
      <c r="AN28" s="2406"/>
      <c r="AO28" s="2406"/>
      <c r="AP28" s="2406"/>
      <c r="AQ28" s="2406"/>
      <c r="AR28" s="2406"/>
      <c r="AS28" s="2406"/>
      <c r="AT28" s="2406"/>
      <c r="AU28" s="2406"/>
      <c r="AV28" s="2406"/>
      <c r="AW28" s="2406"/>
      <c r="AX28" s="2406"/>
      <c r="AY28" s="2406"/>
      <c r="AZ28" s="2406"/>
      <c r="BA28" s="2406"/>
      <c r="BB28" s="2406"/>
      <c r="BC28" s="2406"/>
      <c r="BD28" s="2406"/>
      <c r="BE28" s="2406"/>
      <c r="BF28" s="2406"/>
      <c r="BG28" s="2406"/>
      <c r="BH28" s="2406"/>
      <c r="BI28" s="2406"/>
      <c r="BJ28" s="2406"/>
      <c r="BK28" s="2406"/>
      <c r="BL28" s="2406"/>
      <c r="BM28" s="2406"/>
      <c r="BN28" s="2406"/>
      <c r="BO28" s="2406"/>
      <c r="BP28" s="2406"/>
      <c r="BQ28" s="2406"/>
      <c r="BR28" s="2406"/>
      <c r="BS28" s="2406"/>
      <c r="BT28" s="2406"/>
      <c r="BU28" s="2406"/>
      <c r="BV28" s="2406"/>
      <c r="BW28" s="2406"/>
      <c r="BX28" s="2406"/>
      <c r="BY28" s="2406"/>
      <c r="BZ28" s="2406"/>
      <c r="CA28" s="2406"/>
      <c r="CB28" s="2406"/>
      <c r="CC28" s="2406"/>
      <c r="CD28" s="2406"/>
      <c r="CE28" s="2406"/>
      <c r="CF28" s="2406"/>
      <c r="CG28" s="2406"/>
      <c r="CH28" s="2406"/>
      <c r="CI28" s="2406"/>
      <c r="CJ28" s="2406"/>
      <c r="CK28" s="2406"/>
      <c r="CL28" s="2406"/>
      <c r="CM28" s="2406"/>
      <c r="CN28" s="2406"/>
      <c r="CO28" s="2406"/>
      <c r="CP28" s="2406"/>
      <c r="CQ28" s="2406"/>
      <c r="CR28" s="2406"/>
      <c r="CS28" s="2406"/>
      <c r="CT28" s="2406"/>
      <c r="CU28" s="2406"/>
      <c r="CV28" s="2406"/>
      <c r="CW28" s="2406"/>
      <c r="CX28" s="2406"/>
      <c r="CY28" s="2406"/>
      <c r="CZ28" s="2406"/>
      <c r="DA28" s="2406"/>
      <c r="DB28" s="2406"/>
      <c r="DC28" s="2406"/>
      <c r="DD28" s="2406"/>
      <c r="DE28" s="2406"/>
      <c r="DF28" s="2406"/>
      <c r="DG28" s="2406"/>
      <c r="DH28" s="2406"/>
      <c r="DI28" s="2406"/>
      <c r="DJ28" s="2406"/>
      <c r="DK28" s="2406"/>
      <c r="DL28" s="2406"/>
      <c r="DM28" s="2406"/>
      <c r="DN28" s="2406"/>
      <c r="DO28" s="2406"/>
      <c r="DP28" s="2406"/>
      <c r="DQ28" s="2406"/>
      <c r="DR28" s="2406"/>
      <c r="DS28" s="2406"/>
    </row>
    <row r="29" s="2405" customFormat="1" ht="13.5" customHeight="1" spans="1:123">
      <c r="A29" s="2426" t="s">
        <v>3409</v>
      </c>
      <c r="B29" s="2460" t="s">
        <v>3458</v>
      </c>
      <c r="C29" s="2189">
        <f>ROUND(C21*F27*'数据-取费表'!B23/'数据-取费表'!B22,4)</f>
        <v>0.001</v>
      </c>
      <c r="D29" s="2448"/>
      <c r="E29" s="2449"/>
      <c r="F29" s="2444"/>
      <c r="G29" s="2459"/>
      <c r="H29" s="2406"/>
      <c r="I29" s="2406"/>
      <c r="J29" s="2406"/>
      <c r="K29" s="2406"/>
      <c r="L29" s="2406"/>
      <c r="M29" s="2406"/>
      <c r="N29" s="2406"/>
      <c r="O29" s="2406"/>
      <c r="P29" s="2406"/>
      <c r="Q29" s="2406"/>
      <c r="R29" s="2406"/>
      <c r="S29" s="2406"/>
      <c r="T29" s="2406"/>
      <c r="U29" s="2406"/>
      <c r="V29" s="2406"/>
      <c r="W29" s="2406"/>
      <c r="X29" s="2406"/>
      <c r="Y29" s="2406"/>
      <c r="Z29" s="2406"/>
      <c r="AA29" s="2406"/>
      <c r="AB29" s="2406"/>
      <c r="AC29" s="2406"/>
      <c r="AD29" s="2406"/>
      <c r="AE29" s="2406"/>
      <c r="AF29" s="2406"/>
      <c r="AG29" s="2406"/>
      <c r="AH29" s="2406"/>
      <c r="AI29" s="2406"/>
      <c r="AJ29" s="2406"/>
      <c r="AK29" s="2406"/>
      <c r="AL29" s="2406"/>
      <c r="AM29" s="2406"/>
      <c r="AN29" s="2406"/>
      <c r="AO29" s="2406"/>
      <c r="AP29" s="2406"/>
      <c r="AQ29" s="2406"/>
      <c r="AR29" s="2406"/>
      <c r="AS29" s="2406"/>
      <c r="AT29" s="2406"/>
      <c r="AU29" s="2406"/>
      <c r="AV29" s="2406"/>
      <c r="AW29" s="2406"/>
      <c r="AX29" s="2406"/>
      <c r="AY29" s="2406"/>
      <c r="AZ29" s="2406"/>
      <c r="BA29" s="2406"/>
      <c r="BB29" s="2406"/>
      <c r="BC29" s="2406"/>
      <c r="BD29" s="2406"/>
      <c r="BE29" s="2406"/>
      <c r="BF29" s="2406"/>
      <c r="BG29" s="2406"/>
      <c r="BH29" s="2406"/>
      <c r="BI29" s="2406"/>
      <c r="BJ29" s="2406"/>
      <c r="BK29" s="2406"/>
      <c r="BL29" s="2406"/>
      <c r="BM29" s="2406"/>
      <c r="BN29" s="2406"/>
      <c r="BO29" s="2406"/>
      <c r="BP29" s="2406"/>
      <c r="BQ29" s="2406"/>
      <c r="BR29" s="2406"/>
      <c r="BS29" s="2406"/>
      <c r="BT29" s="2406"/>
      <c r="BU29" s="2406"/>
      <c r="BV29" s="2406"/>
      <c r="BW29" s="2406"/>
      <c r="BX29" s="2406"/>
      <c r="BY29" s="2406"/>
      <c r="BZ29" s="2406"/>
      <c r="CA29" s="2406"/>
      <c r="CB29" s="2406"/>
      <c r="CC29" s="2406"/>
      <c r="CD29" s="2406"/>
      <c r="CE29" s="2406"/>
      <c r="CF29" s="2406"/>
      <c r="CG29" s="2406"/>
      <c r="CH29" s="2406"/>
      <c r="CI29" s="2406"/>
      <c r="CJ29" s="2406"/>
      <c r="CK29" s="2406"/>
      <c r="CL29" s="2406"/>
      <c r="CM29" s="2406"/>
      <c r="CN29" s="2406"/>
      <c r="CO29" s="2406"/>
      <c r="CP29" s="2406"/>
      <c r="CQ29" s="2406"/>
      <c r="CR29" s="2406"/>
      <c r="CS29" s="2406"/>
      <c r="CT29" s="2406"/>
      <c r="CU29" s="2406"/>
      <c r="CV29" s="2406"/>
      <c r="CW29" s="2406"/>
      <c r="CX29" s="2406"/>
      <c r="CY29" s="2406"/>
      <c r="CZ29" s="2406"/>
      <c r="DA29" s="2406"/>
      <c r="DB29" s="2406"/>
      <c r="DC29" s="2406"/>
      <c r="DD29" s="2406"/>
      <c r="DE29" s="2406"/>
      <c r="DF29" s="2406"/>
      <c r="DG29" s="2406"/>
      <c r="DH29" s="2406"/>
      <c r="DI29" s="2406"/>
      <c r="DJ29" s="2406"/>
      <c r="DK29" s="2406"/>
      <c r="DL29" s="2406"/>
      <c r="DM29" s="2406"/>
      <c r="DN29" s="2406"/>
      <c r="DO29" s="2406"/>
      <c r="DP29" s="2406"/>
      <c r="DQ29" s="2406"/>
      <c r="DR29" s="2406"/>
      <c r="DS29" s="2406"/>
    </row>
    <row r="30" s="2405" customFormat="1" ht="13.5" customHeight="1" spans="1:123">
      <c r="A30" s="2457" t="s">
        <v>3459</v>
      </c>
      <c r="B30" s="2422" t="s">
        <v>3460</v>
      </c>
      <c r="C30" s="2448">
        <f>ROUND(F30/(1+'数据-取费表'!F30),4)</f>
        <v>0.056</v>
      </c>
      <c r="D30" s="2449" t="s">
        <v>3442</v>
      </c>
      <c r="E30" s="2454"/>
      <c r="F30" s="2446">
        <f>'数据-取费表'!E29</f>
        <v>0.056</v>
      </c>
      <c r="G30" s="2447" t="s">
        <v>3461</v>
      </c>
      <c r="H30" s="2406"/>
      <c r="I30" s="2406"/>
      <c r="J30" s="2406"/>
      <c r="K30" s="2406"/>
      <c r="L30" s="2406"/>
      <c r="M30" s="2406"/>
      <c r="N30" s="2406"/>
      <c r="O30" s="2406"/>
      <c r="P30" s="2406"/>
      <c r="Q30" s="2406"/>
      <c r="R30" s="2406"/>
      <c r="S30" s="2406"/>
      <c r="T30" s="2406"/>
      <c r="U30" s="2406"/>
      <c r="V30" s="2406"/>
      <c r="W30" s="2406"/>
      <c r="X30" s="2406"/>
      <c r="Y30" s="2406"/>
      <c r="Z30" s="2406"/>
      <c r="AA30" s="2406"/>
      <c r="AB30" s="2406"/>
      <c r="AC30" s="2406"/>
      <c r="AD30" s="2406"/>
      <c r="AE30" s="2406"/>
      <c r="AF30" s="2406"/>
      <c r="AG30" s="2406"/>
      <c r="AH30" s="2406"/>
      <c r="AI30" s="2406"/>
      <c r="AJ30" s="2406"/>
      <c r="AK30" s="2406"/>
      <c r="AL30" s="2406"/>
      <c r="AM30" s="2406"/>
      <c r="AN30" s="2406"/>
      <c r="AO30" s="2406"/>
      <c r="AP30" s="2406"/>
      <c r="AQ30" s="2406"/>
      <c r="AR30" s="2406"/>
      <c r="AS30" s="2406"/>
      <c r="AT30" s="2406"/>
      <c r="AU30" s="2406"/>
      <c r="AV30" s="2406"/>
      <c r="AW30" s="2406"/>
      <c r="AX30" s="2406"/>
      <c r="AY30" s="2406"/>
      <c r="AZ30" s="2406"/>
      <c r="BA30" s="2406"/>
      <c r="BB30" s="2406"/>
      <c r="BC30" s="2406"/>
      <c r="BD30" s="2406"/>
      <c r="BE30" s="2406"/>
      <c r="BF30" s="2406"/>
      <c r="BG30" s="2406"/>
      <c r="BH30" s="2406"/>
      <c r="BI30" s="2406"/>
      <c r="BJ30" s="2406"/>
      <c r="BK30" s="2406"/>
      <c r="BL30" s="2406"/>
      <c r="BM30" s="2406"/>
      <c r="BN30" s="2406"/>
      <c r="BO30" s="2406"/>
      <c r="BP30" s="2406"/>
      <c r="BQ30" s="2406"/>
      <c r="BR30" s="2406"/>
      <c r="BS30" s="2406"/>
      <c r="BT30" s="2406"/>
      <c r="BU30" s="2406"/>
      <c r="BV30" s="2406"/>
      <c r="BW30" s="2406"/>
      <c r="BX30" s="2406"/>
      <c r="BY30" s="2406"/>
      <c r="BZ30" s="2406"/>
      <c r="CA30" s="2406"/>
      <c r="CB30" s="2406"/>
      <c r="CC30" s="2406"/>
      <c r="CD30" s="2406"/>
      <c r="CE30" s="2406"/>
      <c r="CF30" s="2406"/>
      <c r="CG30" s="2406"/>
      <c r="CH30" s="2406"/>
      <c r="CI30" s="2406"/>
      <c r="CJ30" s="2406"/>
      <c r="CK30" s="2406"/>
      <c r="CL30" s="2406"/>
      <c r="CM30" s="2406"/>
      <c r="CN30" s="2406"/>
      <c r="CO30" s="2406"/>
      <c r="CP30" s="2406"/>
      <c r="CQ30" s="2406"/>
      <c r="CR30" s="2406"/>
      <c r="CS30" s="2406"/>
      <c r="CT30" s="2406"/>
      <c r="CU30" s="2406"/>
      <c r="CV30" s="2406"/>
      <c r="CW30" s="2406"/>
      <c r="CX30" s="2406"/>
      <c r="CY30" s="2406"/>
      <c r="CZ30" s="2406"/>
      <c r="DA30" s="2406"/>
      <c r="DB30" s="2406"/>
      <c r="DC30" s="2406"/>
      <c r="DD30" s="2406"/>
      <c r="DE30" s="2406"/>
      <c r="DF30" s="2406"/>
      <c r="DG30" s="2406"/>
      <c r="DH30" s="2406"/>
      <c r="DI30" s="2406"/>
      <c r="DJ30" s="2406"/>
      <c r="DK30" s="2406"/>
      <c r="DL30" s="2406"/>
      <c r="DM30" s="2406"/>
      <c r="DN30" s="2406"/>
      <c r="DO30" s="2406"/>
      <c r="DP30" s="2406"/>
      <c r="DQ30" s="2406"/>
      <c r="DR30" s="2406"/>
      <c r="DS30" s="2406"/>
    </row>
    <row r="31" ht="16.5" customHeight="1" spans="1:7">
      <c r="A31" s="2421">
        <v>1</v>
      </c>
      <c r="B31" s="2422" t="s">
        <v>3462</v>
      </c>
      <c r="C31" s="2423">
        <f ca="1">ROUND((C5+C19+C20+C22+C27)/(1-C21-D22-D27-C30),0)</f>
        <v>498233</v>
      </c>
      <c r="D31" s="2443"/>
      <c r="E31" s="2423"/>
      <c r="F31" s="2461"/>
      <c r="G31" s="2447" t="s">
        <v>3463</v>
      </c>
    </row>
    <row r="32" s="2404" customFormat="1" ht="15.75" spans="1:123">
      <c r="A32" s="2462" t="s">
        <v>3464</v>
      </c>
      <c r="B32" s="2463"/>
      <c r="C32" s="2464"/>
      <c r="D32" s="2464"/>
      <c r="E32" s="2464"/>
      <c r="F32" s="2464"/>
      <c r="G32" s="2465"/>
      <c r="H32" s="2420"/>
      <c r="I32" s="2420"/>
      <c r="J32" s="2420"/>
      <c r="K32" s="2420"/>
      <c r="L32" s="2420"/>
      <c r="M32" s="2420"/>
      <c r="N32" s="2420"/>
      <c r="O32" s="2420"/>
      <c r="P32" s="2420"/>
      <c r="Q32" s="2420"/>
      <c r="R32" s="2420"/>
      <c r="S32" s="2420"/>
      <c r="T32" s="2420"/>
      <c r="U32" s="2420"/>
      <c r="V32" s="2420"/>
      <c r="W32" s="2420"/>
      <c r="X32" s="2420"/>
      <c r="Y32" s="2420"/>
      <c r="Z32" s="2420"/>
      <c r="AA32" s="2420"/>
      <c r="AB32" s="2420"/>
      <c r="AC32" s="2420"/>
      <c r="AD32" s="2420"/>
      <c r="AE32" s="2420"/>
      <c r="AF32" s="2420"/>
      <c r="AG32" s="2420"/>
      <c r="AH32" s="2420"/>
      <c r="AI32" s="2420"/>
      <c r="AJ32" s="2420"/>
      <c r="AK32" s="2420"/>
      <c r="AL32" s="2420"/>
      <c r="AM32" s="2420"/>
      <c r="AN32" s="2420"/>
      <c r="AO32" s="2420"/>
      <c r="AP32" s="2420"/>
      <c r="AQ32" s="2420"/>
      <c r="AR32" s="2420"/>
      <c r="AS32" s="2420"/>
      <c r="AT32" s="2420"/>
      <c r="AU32" s="2420"/>
      <c r="AV32" s="2420"/>
      <c r="AW32" s="2420"/>
      <c r="AX32" s="2420"/>
      <c r="AY32" s="2420"/>
      <c r="AZ32" s="2420"/>
      <c r="BA32" s="2420"/>
      <c r="BB32" s="2420"/>
      <c r="BC32" s="2420"/>
      <c r="BD32" s="2420"/>
      <c r="BE32" s="2420"/>
      <c r="BF32" s="2420"/>
      <c r="BG32" s="2420"/>
      <c r="BH32" s="2420"/>
      <c r="BI32" s="2420"/>
      <c r="BJ32" s="2420"/>
      <c r="BK32" s="2420"/>
      <c r="BL32" s="2420"/>
      <c r="BM32" s="2420"/>
      <c r="BN32" s="2420"/>
      <c r="BO32" s="2420"/>
      <c r="BP32" s="2420"/>
      <c r="BQ32" s="2420"/>
      <c r="BR32" s="2420"/>
      <c r="BS32" s="2420"/>
      <c r="BT32" s="2420"/>
      <c r="BU32" s="2420"/>
      <c r="BV32" s="2420"/>
      <c r="BW32" s="2420"/>
      <c r="BX32" s="2420"/>
      <c r="BY32" s="2420"/>
      <c r="BZ32" s="2420"/>
      <c r="CA32" s="2420"/>
      <c r="CB32" s="2420"/>
      <c r="CC32" s="2420"/>
      <c r="CD32" s="2420"/>
      <c r="CE32" s="2420"/>
      <c r="CF32" s="2420"/>
      <c r="CG32" s="2420"/>
      <c r="CH32" s="2420"/>
      <c r="CI32" s="2420"/>
      <c r="CJ32" s="2420"/>
      <c r="CK32" s="2420"/>
      <c r="CL32" s="2420"/>
      <c r="CM32" s="2420"/>
      <c r="CN32" s="2420"/>
      <c r="CO32" s="2420"/>
      <c r="CP32" s="2420"/>
      <c r="CQ32" s="2420"/>
      <c r="CR32" s="2420"/>
      <c r="CS32" s="2420"/>
      <c r="CT32" s="2420"/>
      <c r="CU32" s="2420"/>
      <c r="CV32" s="2420"/>
      <c r="CW32" s="2420"/>
      <c r="CX32" s="2420"/>
      <c r="CY32" s="2420"/>
      <c r="CZ32" s="2420"/>
      <c r="DA32" s="2420"/>
      <c r="DB32" s="2420"/>
      <c r="DC32" s="2420"/>
      <c r="DD32" s="2420"/>
      <c r="DE32" s="2420"/>
      <c r="DF32" s="2420"/>
      <c r="DG32" s="2420"/>
      <c r="DH32" s="2420"/>
      <c r="DI32" s="2420"/>
      <c r="DJ32" s="2420"/>
      <c r="DK32" s="2420"/>
      <c r="DL32" s="2420"/>
      <c r="DM32" s="2420"/>
      <c r="DN32" s="2420"/>
      <c r="DO32" s="2420"/>
      <c r="DP32" s="2420"/>
      <c r="DQ32" s="2420"/>
      <c r="DR32" s="2420"/>
      <c r="DS32" s="2420"/>
    </row>
    <row r="33" s="2405" customFormat="1" ht="13.5" customHeight="1" spans="1:123">
      <c r="A33" s="2421" t="s">
        <v>3403</v>
      </c>
      <c r="B33" s="2422" t="s">
        <v>3465</v>
      </c>
      <c r="C33" s="2450">
        <f>SUM(C34:C38)</f>
        <v>257632</v>
      </c>
      <c r="D33" s="2445"/>
      <c r="E33" s="2424"/>
      <c r="F33" s="2454"/>
      <c r="G33" s="2447"/>
      <c r="H33" s="2406"/>
      <c r="I33" s="2406"/>
      <c r="J33" s="2406"/>
      <c r="K33" s="2406"/>
      <c r="L33" s="2406"/>
      <c r="M33" s="2406"/>
      <c r="N33" s="2406"/>
      <c r="O33" s="2406"/>
      <c r="P33" s="2406"/>
      <c r="Q33" s="2406"/>
      <c r="R33" s="2406"/>
      <c r="S33" s="2406"/>
      <c r="T33" s="2406"/>
      <c r="U33" s="2406"/>
      <c r="V33" s="2406"/>
      <c r="W33" s="2406"/>
      <c r="X33" s="2406"/>
      <c r="Y33" s="2406"/>
      <c r="Z33" s="2406"/>
      <c r="AA33" s="2406"/>
      <c r="AB33" s="2406"/>
      <c r="AC33" s="2406"/>
      <c r="AD33" s="2406"/>
      <c r="AE33" s="2406"/>
      <c r="AF33" s="2406"/>
      <c r="AG33" s="2406"/>
      <c r="AH33" s="2406"/>
      <c r="AI33" s="2406"/>
      <c r="AJ33" s="2406"/>
      <c r="AK33" s="2406"/>
      <c r="AL33" s="2406"/>
      <c r="AM33" s="2406"/>
      <c r="AN33" s="2406"/>
      <c r="AO33" s="2406"/>
      <c r="AP33" s="2406"/>
      <c r="AQ33" s="2406"/>
      <c r="AR33" s="2406"/>
      <c r="AS33" s="2406"/>
      <c r="AT33" s="2406"/>
      <c r="AU33" s="2406"/>
      <c r="AV33" s="2406"/>
      <c r="AW33" s="2406"/>
      <c r="AX33" s="2406"/>
      <c r="AY33" s="2406"/>
      <c r="AZ33" s="2406"/>
      <c r="BA33" s="2406"/>
      <c r="BB33" s="2406"/>
      <c r="BC33" s="2406"/>
      <c r="BD33" s="2406"/>
      <c r="BE33" s="2406"/>
      <c r="BF33" s="2406"/>
      <c r="BG33" s="2406"/>
      <c r="BH33" s="2406"/>
      <c r="BI33" s="2406"/>
      <c r="BJ33" s="2406"/>
      <c r="BK33" s="2406"/>
      <c r="BL33" s="2406"/>
      <c r="BM33" s="2406"/>
      <c r="BN33" s="2406"/>
      <c r="BO33" s="2406"/>
      <c r="BP33" s="2406"/>
      <c r="BQ33" s="2406"/>
      <c r="BR33" s="2406"/>
      <c r="BS33" s="2406"/>
      <c r="BT33" s="2406"/>
      <c r="BU33" s="2406"/>
      <c r="BV33" s="2406"/>
      <c r="BW33" s="2406"/>
      <c r="BX33" s="2406"/>
      <c r="BY33" s="2406"/>
      <c r="BZ33" s="2406"/>
      <c r="CA33" s="2406"/>
      <c r="CB33" s="2406"/>
      <c r="CC33" s="2406"/>
      <c r="CD33" s="2406"/>
      <c r="CE33" s="2406"/>
      <c r="CF33" s="2406"/>
      <c r="CG33" s="2406"/>
      <c r="CH33" s="2406"/>
      <c r="CI33" s="2406"/>
      <c r="CJ33" s="2406"/>
      <c r="CK33" s="2406"/>
      <c r="CL33" s="2406"/>
      <c r="CM33" s="2406"/>
      <c r="CN33" s="2406"/>
      <c r="CO33" s="2406"/>
      <c r="CP33" s="2406"/>
      <c r="CQ33" s="2406"/>
      <c r="CR33" s="2406"/>
      <c r="CS33" s="2406"/>
      <c r="CT33" s="2406"/>
      <c r="CU33" s="2406"/>
      <c r="CV33" s="2406"/>
      <c r="CW33" s="2406"/>
      <c r="CX33" s="2406"/>
      <c r="CY33" s="2406"/>
      <c r="CZ33" s="2406"/>
      <c r="DA33" s="2406"/>
      <c r="DB33" s="2406"/>
      <c r="DC33" s="2406"/>
      <c r="DD33" s="2406"/>
      <c r="DE33" s="2406"/>
      <c r="DF33" s="2406"/>
      <c r="DG33" s="2406"/>
      <c r="DH33" s="2406"/>
      <c r="DI33" s="2406"/>
      <c r="DJ33" s="2406"/>
      <c r="DK33" s="2406"/>
      <c r="DL33" s="2406"/>
      <c r="DM33" s="2406"/>
      <c r="DN33" s="2406"/>
      <c r="DO33" s="2406"/>
      <c r="DP33" s="2406"/>
      <c r="DQ33" s="2406"/>
      <c r="DR33" s="2406"/>
      <c r="DS33" s="2406"/>
    </row>
    <row r="34" s="2407" customFormat="1" ht="13.5" customHeight="1" spans="1:7">
      <c r="A34" s="2426" t="s">
        <v>3407</v>
      </c>
      <c r="B34" s="2427" t="s">
        <v>3466</v>
      </c>
      <c r="C34" s="2432">
        <f>IF(B1="仅计算典型户型",'数据-取费表'!F18,'数据-取费表'!E18)</f>
        <v>213606</v>
      </c>
      <c r="D34" s="2429"/>
      <c r="E34" s="2432"/>
      <c r="F34" s="2466" t="str">
        <f>IF('数据-取费表'!B26=0,"",'数据-取费表'!E20)</f>
        <v/>
      </c>
      <c r="G34" s="2431"/>
    </row>
    <row r="35" ht="13.5" customHeight="1" spans="1:7">
      <c r="A35" s="2426" t="s">
        <v>3409</v>
      </c>
      <c r="B35" s="2427" t="s">
        <v>3467</v>
      </c>
      <c r="C35" s="2432">
        <f>ROUND(C34*F35,0)</f>
        <v>6408</v>
      </c>
      <c r="D35" s="2432"/>
      <c r="E35" s="2432"/>
      <c r="F35" s="2467">
        <f>'数据-取费表'!E21</f>
        <v>0.03</v>
      </c>
      <c r="G35" s="2431" t="s">
        <v>3468</v>
      </c>
    </row>
    <row r="36" ht="24" spans="1:7">
      <c r="A36" s="2426" t="s">
        <v>3411</v>
      </c>
      <c r="B36" s="2427" t="s">
        <v>3469</v>
      </c>
      <c r="C36" s="2432">
        <f>ROUND(IF('数据-取费表'!B10="住宅",C34*F36,0),0)</f>
        <v>10680</v>
      </c>
      <c r="D36" s="2432"/>
      <c r="E36" s="2432"/>
      <c r="F36" s="2467">
        <f>'数据-取费表'!E22</f>
        <v>0.05</v>
      </c>
      <c r="G36" s="2468" t="s">
        <v>3470</v>
      </c>
    </row>
    <row r="37" s="2407" customFormat="1" ht="13.5" customHeight="1" spans="1:7">
      <c r="A37" s="2426" t="s">
        <v>3452</v>
      </c>
      <c r="B37" s="2427" t="s">
        <v>3471</v>
      </c>
      <c r="C37" s="2432">
        <f>ROUND(E37*D37,0)</f>
        <v>23734</v>
      </c>
      <c r="D37" s="2429">
        <f>IF(B1="仅计算典型户型",'数据-取费表'!E5,'数据-取费表'!B5)</f>
        <v>118.67</v>
      </c>
      <c r="E37" s="2432">
        <f>'数据-取费表'!E23</f>
        <v>200</v>
      </c>
      <c r="F37" s="2467"/>
      <c r="G37" s="2469" t="s">
        <v>3472</v>
      </c>
    </row>
    <row r="38" ht="13.5" customHeight="1" spans="1:7">
      <c r="A38" s="2426" t="s">
        <v>3473</v>
      </c>
      <c r="B38" s="2427" t="s">
        <v>761</v>
      </c>
      <c r="C38" s="2432">
        <f>ROUND(C34*F38,0)</f>
        <v>3204</v>
      </c>
      <c r="D38" s="2432"/>
      <c r="E38" s="2432"/>
      <c r="F38" s="2467">
        <f>'数据-取费表'!E24</f>
        <v>0.015</v>
      </c>
      <c r="G38" s="2431" t="s">
        <v>3468</v>
      </c>
    </row>
    <row r="39" s="2405" customFormat="1" ht="13.5" customHeight="1" spans="1:123">
      <c r="A39" s="2421" t="s">
        <v>3434</v>
      </c>
      <c r="B39" s="2422" t="s">
        <v>3438</v>
      </c>
      <c r="C39" s="2445">
        <f>ROUND(C33*F20,0)</f>
        <v>2576</v>
      </c>
      <c r="D39" s="2445"/>
      <c r="E39" s="2445"/>
      <c r="F39" s="2470">
        <f>F20</f>
        <v>0.01</v>
      </c>
      <c r="G39" s="2447" t="s">
        <v>3474</v>
      </c>
      <c r="H39" s="2406"/>
      <c r="I39" s="2406"/>
      <c r="J39" s="2406"/>
      <c r="K39" s="2406"/>
      <c r="L39" s="2406"/>
      <c r="M39" s="2406"/>
      <c r="N39" s="2406"/>
      <c r="O39" s="2406"/>
      <c r="P39" s="2406"/>
      <c r="Q39" s="2406"/>
      <c r="R39" s="2406"/>
      <c r="S39" s="2406"/>
      <c r="T39" s="2406"/>
      <c r="U39" s="2406"/>
      <c r="V39" s="2406"/>
      <c r="W39" s="2406"/>
      <c r="X39" s="2406"/>
      <c r="Y39" s="2406"/>
      <c r="Z39" s="2406"/>
      <c r="AA39" s="2406"/>
      <c r="AB39" s="2406"/>
      <c r="AC39" s="2406"/>
      <c r="AD39" s="2406"/>
      <c r="AE39" s="2406"/>
      <c r="AF39" s="2406"/>
      <c r="AG39" s="2406"/>
      <c r="AH39" s="2406"/>
      <c r="AI39" s="2406"/>
      <c r="AJ39" s="2406"/>
      <c r="AK39" s="2406"/>
      <c r="AL39" s="2406"/>
      <c r="AM39" s="2406"/>
      <c r="AN39" s="2406"/>
      <c r="AO39" s="2406"/>
      <c r="AP39" s="2406"/>
      <c r="AQ39" s="2406"/>
      <c r="AR39" s="2406"/>
      <c r="AS39" s="2406"/>
      <c r="AT39" s="2406"/>
      <c r="AU39" s="2406"/>
      <c r="AV39" s="2406"/>
      <c r="AW39" s="2406"/>
      <c r="AX39" s="2406"/>
      <c r="AY39" s="2406"/>
      <c r="AZ39" s="2406"/>
      <c r="BA39" s="2406"/>
      <c r="BB39" s="2406"/>
      <c r="BC39" s="2406"/>
      <c r="BD39" s="2406"/>
      <c r="BE39" s="2406"/>
      <c r="BF39" s="2406"/>
      <c r="BG39" s="2406"/>
      <c r="BH39" s="2406"/>
      <c r="BI39" s="2406"/>
      <c r="BJ39" s="2406"/>
      <c r="BK39" s="2406"/>
      <c r="BL39" s="2406"/>
      <c r="BM39" s="2406"/>
      <c r="BN39" s="2406"/>
      <c r="BO39" s="2406"/>
      <c r="BP39" s="2406"/>
      <c r="BQ39" s="2406"/>
      <c r="BR39" s="2406"/>
      <c r="BS39" s="2406"/>
      <c r="BT39" s="2406"/>
      <c r="BU39" s="2406"/>
      <c r="BV39" s="2406"/>
      <c r="BW39" s="2406"/>
      <c r="BX39" s="2406"/>
      <c r="BY39" s="2406"/>
      <c r="BZ39" s="2406"/>
      <c r="CA39" s="2406"/>
      <c r="CB39" s="2406"/>
      <c r="CC39" s="2406"/>
      <c r="CD39" s="2406"/>
      <c r="CE39" s="2406"/>
      <c r="CF39" s="2406"/>
      <c r="CG39" s="2406"/>
      <c r="CH39" s="2406"/>
      <c r="CI39" s="2406"/>
      <c r="CJ39" s="2406"/>
      <c r="CK39" s="2406"/>
      <c r="CL39" s="2406"/>
      <c r="CM39" s="2406"/>
      <c r="CN39" s="2406"/>
      <c r="CO39" s="2406"/>
      <c r="CP39" s="2406"/>
      <c r="CQ39" s="2406"/>
      <c r="CR39" s="2406"/>
      <c r="CS39" s="2406"/>
      <c r="CT39" s="2406"/>
      <c r="CU39" s="2406"/>
      <c r="CV39" s="2406"/>
      <c r="CW39" s="2406"/>
      <c r="CX39" s="2406"/>
      <c r="CY39" s="2406"/>
      <c r="CZ39" s="2406"/>
      <c r="DA39" s="2406"/>
      <c r="DB39" s="2406"/>
      <c r="DC39" s="2406"/>
      <c r="DD39" s="2406"/>
      <c r="DE39" s="2406"/>
      <c r="DF39" s="2406"/>
      <c r="DG39" s="2406"/>
      <c r="DH39" s="2406"/>
      <c r="DI39" s="2406"/>
      <c r="DJ39" s="2406"/>
      <c r="DK39" s="2406"/>
      <c r="DL39" s="2406"/>
      <c r="DM39" s="2406"/>
      <c r="DN39" s="2406"/>
      <c r="DO39" s="2406"/>
      <c r="DP39" s="2406"/>
      <c r="DQ39" s="2406"/>
      <c r="DR39" s="2406"/>
      <c r="DS39" s="2406"/>
    </row>
    <row r="40" s="2405" customFormat="1" ht="13.5" customHeight="1" spans="1:123">
      <c r="A40" s="2421" t="s">
        <v>3437</v>
      </c>
      <c r="B40" s="2422" t="s">
        <v>3441</v>
      </c>
      <c r="C40" s="2471">
        <f>F21</f>
        <v>0.01</v>
      </c>
      <c r="D40" s="2449" t="s">
        <v>3475</v>
      </c>
      <c r="E40" s="2445"/>
      <c r="F40" s="2470">
        <f>F21</f>
        <v>0.01</v>
      </c>
      <c r="G40" s="2447" t="s">
        <v>3476</v>
      </c>
      <c r="H40" s="2406"/>
      <c r="I40" s="2406"/>
      <c r="J40" s="2406"/>
      <c r="K40" s="2406"/>
      <c r="L40" s="2406"/>
      <c r="M40" s="2406"/>
      <c r="N40" s="2406"/>
      <c r="O40" s="2406"/>
      <c r="P40" s="2406"/>
      <c r="Q40" s="2406"/>
      <c r="R40" s="2406"/>
      <c r="S40" s="2406"/>
      <c r="T40" s="2406"/>
      <c r="U40" s="2406"/>
      <c r="V40" s="2406"/>
      <c r="W40" s="2406"/>
      <c r="X40" s="2406"/>
      <c r="Y40" s="2406"/>
      <c r="Z40" s="2406"/>
      <c r="AA40" s="2406"/>
      <c r="AB40" s="2406"/>
      <c r="AC40" s="2406"/>
      <c r="AD40" s="2406"/>
      <c r="AE40" s="2406"/>
      <c r="AF40" s="2406"/>
      <c r="AG40" s="2406"/>
      <c r="AH40" s="2406"/>
      <c r="AI40" s="2406"/>
      <c r="AJ40" s="2406"/>
      <c r="AK40" s="2406"/>
      <c r="AL40" s="2406"/>
      <c r="AM40" s="2406"/>
      <c r="AN40" s="2406"/>
      <c r="AO40" s="2406"/>
      <c r="AP40" s="2406"/>
      <c r="AQ40" s="2406"/>
      <c r="AR40" s="2406"/>
      <c r="AS40" s="2406"/>
      <c r="AT40" s="2406"/>
      <c r="AU40" s="2406"/>
      <c r="AV40" s="2406"/>
      <c r="AW40" s="2406"/>
      <c r="AX40" s="2406"/>
      <c r="AY40" s="2406"/>
      <c r="AZ40" s="2406"/>
      <c r="BA40" s="2406"/>
      <c r="BB40" s="2406"/>
      <c r="BC40" s="2406"/>
      <c r="BD40" s="2406"/>
      <c r="BE40" s="2406"/>
      <c r="BF40" s="2406"/>
      <c r="BG40" s="2406"/>
      <c r="BH40" s="2406"/>
      <c r="BI40" s="2406"/>
      <c r="BJ40" s="2406"/>
      <c r="BK40" s="2406"/>
      <c r="BL40" s="2406"/>
      <c r="BM40" s="2406"/>
      <c r="BN40" s="2406"/>
      <c r="BO40" s="2406"/>
      <c r="BP40" s="2406"/>
      <c r="BQ40" s="2406"/>
      <c r="BR40" s="2406"/>
      <c r="BS40" s="2406"/>
      <c r="BT40" s="2406"/>
      <c r="BU40" s="2406"/>
      <c r="BV40" s="2406"/>
      <c r="BW40" s="2406"/>
      <c r="BX40" s="2406"/>
      <c r="BY40" s="2406"/>
      <c r="BZ40" s="2406"/>
      <c r="CA40" s="2406"/>
      <c r="CB40" s="2406"/>
      <c r="CC40" s="2406"/>
      <c r="CD40" s="2406"/>
      <c r="CE40" s="2406"/>
      <c r="CF40" s="2406"/>
      <c r="CG40" s="2406"/>
      <c r="CH40" s="2406"/>
      <c r="CI40" s="2406"/>
      <c r="CJ40" s="2406"/>
      <c r="CK40" s="2406"/>
      <c r="CL40" s="2406"/>
      <c r="CM40" s="2406"/>
      <c r="CN40" s="2406"/>
      <c r="CO40" s="2406"/>
      <c r="CP40" s="2406"/>
      <c r="CQ40" s="2406"/>
      <c r="CR40" s="2406"/>
      <c r="CS40" s="2406"/>
      <c r="CT40" s="2406"/>
      <c r="CU40" s="2406"/>
      <c r="CV40" s="2406"/>
      <c r="CW40" s="2406"/>
      <c r="CX40" s="2406"/>
      <c r="CY40" s="2406"/>
      <c r="CZ40" s="2406"/>
      <c r="DA40" s="2406"/>
      <c r="DB40" s="2406"/>
      <c r="DC40" s="2406"/>
      <c r="DD40" s="2406"/>
      <c r="DE40" s="2406"/>
      <c r="DF40" s="2406"/>
      <c r="DG40" s="2406"/>
      <c r="DH40" s="2406"/>
      <c r="DI40" s="2406"/>
      <c r="DJ40" s="2406"/>
      <c r="DK40" s="2406"/>
      <c r="DL40" s="2406"/>
      <c r="DM40" s="2406"/>
      <c r="DN40" s="2406"/>
      <c r="DO40" s="2406"/>
      <c r="DP40" s="2406"/>
      <c r="DQ40" s="2406"/>
      <c r="DR40" s="2406"/>
      <c r="DS40" s="2406"/>
    </row>
    <row r="41" s="2405" customFormat="1" ht="13.5" customHeight="1" spans="1:123">
      <c r="A41" s="2421" t="s">
        <v>3440</v>
      </c>
      <c r="B41" s="2422" t="s">
        <v>3445</v>
      </c>
      <c r="C41" s="2445">
        <f ca="1">ROUND(SUM(C42:C43),0)</f>
        <v>7260</v>
      </c>
      <c r="D41" s="2448">
        <f ca="1">C44</f>
        <v>0.0003</v>
      </c>
      <c r="E41" s="2449" t="s">
        <v>3475</v>
      </c>
      <c r="F41" s="2470">
        <f ca="1">F22</f>
        <v>0.0558</v>
      </c>
      <c r="G41" s="2447" t="str">
        <f>IF('数据-取费表'!B24&lt;=1,"单利计息。","复利计息。")</f>
        <v>单利计息。</v>
      </c>
      <c r="H41" s="2406"/>
      <c r="I41" s="2406"/>
      <c r="J41" s="2406"/>
      <c r="K41" s="2406"/>
      <c r="L41" s="2406"/>
      <c r="M41" s="2406"/>
      <c r="N41" s="2406"/>
      <c r="O41" s="2406"/>
      <c r="P41" s="2406"/>
      <c r="Q41" s="2406"/>
      <c r="R41" s="2406"/>
      <c r="S41" s="2406"/>
      <c r="T41" s="2406"/>
      <c r="U41" s="2406"/>
      <c r="V41" s="2406"/>
      <c r="W41" s="2406"/>
      <c r="X41" s="2406"/>
      <c r="Y41" s="2406"/>
      <c r="Z41" s="2406"/>
      <c r="AA41" s="2406"/>
      <c r="AB41" s="2406"/>
      <c r="AC41" s="2406"/>
      <c r="AD41" s="2406"/>
      <c r="AE41" s="2406"/>
      <c r="AF41" s="2406"/>
      <c r="AG41" s="2406"/>
      <c r="AH41" s="2406"/>
      <c r="AI41" s="2406"/>
      <c r="AJ41" s="2406"/>
      <c r="AK41" s="2406"/>
      <c r="AL41" s="2406"/>
      <c r="AM41" s="2406"/>
      <c r="AN41" s="2406"/>
      <c r="AO41" s="2406"/>
      <c r="AP41" s="2406"/>
      <c r="AQ41" s="2406"/>
      <c r="AR41" s="2406"/>
      <c r="AS41" s="2406"/>
      <c r="AT41" s="2406"/>
      <c r="AU41" s="2406"/>
      <c r="AV41" s="2406"/>
      <c r="AW41" s="2406"/>
      <c r="AX41" s="2406"/>
      <c r="AY41" s="2406"/>
      <c r="AZ41" s="2406"/>
      <c r="BA41" s="2406"/>
      <c r="BB41" s="2406"/>
      <c r="BC41" s="2406"/>
      <c r="BD41" s="2406"/>
      <c r="BE41" s="2406"/>
      <c r="BF41" s="2406"/>
      <c r="BG41" s="2406"/>
      <c r="BH41" s="2406"/>
      <c r="BI41" s="2406"/>
      <c r="BJ41" s="2406"/>
      <c r="BK41" s="2406"/>
      <c r="BL41" s="2406"/>
      <c r="BM41" s="2406"/>
      <c r="BN41" s="2406"/>
      <c r="BO41" s="2406"/>
      <c r="BP41" s="2406"/>
      <c r="BQ41" s="2406"/>
      <c r="BR41" s="2406"/>
      <c r="BS41" s="2406"/>
      <c r="BT41" s="2406"/>
      <c r="BU41" s="2406"/>
      <c r="BV41" s="2406"/>
      <c r="BW41" s="2406"/>
      <c r="BX41" s="2406"/>
      <c r="BY41" s="2406"/>
      <c r="BZ41" s="2406"/>
      <c r="CA41" s="2406"/>
      <c r="CB41" s="2406"/>
      <c r="CC41" s="2406"/>
      <c r="CD41" s="2406"/>
      <c r="CE41" s="2406"/>
      <c r="CF41" s="2406"/>
      <c r="CG41" s="2406"/>
      <c r="CH41" s="2406"/>
      <c r="CI41" s="2406"/>
      <c r="CJ41" s="2406"/>
      <c r="CK41" s="2406"/>
      <c r="CL41" s="2406"/>
      <c r="CM41" s="2406"/>
      <c r="CN41" s="2406"/>
      <c r="CO41" s="2406"/>
      <c r="CP41" s="2406"/>
      <c r="CQ41" s="2406"/>
      <c r="CR41" s="2406"/>
      <c r="CS41" s="2406"/>
      <c r="CT41" s="2406"/>
      <c r="CU41" s="2406"/>
      <c r="CV41" s="2406"/>
      <c r="CW41" s="2406"/>
      <c r="CX41" s="2406"/>
      <c r="CY41" s="2406"/>
      <c r="CZ41" s="2406"/>
      <c r="DA41" s="2406"/>
      <c r="DB41" s="2406"/>
      <c r="DC41" s="2406"/>
      <c r="DD41" s="2406"/>
      <c r="DE41" s="2406"/>
      <c r="DF41" s="2406"/>
      <c r="DG41" s="2406"/>
      <c r="DH41" s="2406"/>
      <c r="DI41" s="2406"/>
      <c r="DJ41" s="2406"/>
      <c r="DK41" s="2406"/>
      <c r="DL41" s="2406"/>
      <c r="DM41" s="2406"/>
      <c r="DN41" s="2406"/>
      <c r="DO41" s="2406"/>
      <c r="DP41" s="2406"/>
      <c r="DQ41" s="2406"/>
      <c r="DR41" s="2406"/>
      <c r="DS41" s="2406"/>
    </row>
    <row r="42" ht="13.5" customHeight="1" spans="1:7">
      <c r="A42" s="2426" t="s">
        <v>3407</v>
      </c>
      <c r="B42" s="2427" t="s">
        <v>3446</v>
      </c>
      <c r="C42" s="2189">
        <f ca="1">ROUND(IF('数据-取费表'!B24&lt;=1,C33*F22*'数据-取费表'!B23/2,C33*(POWER((1+F22),'数据-取费表'!B23/2)-1)),0)</f>
        <v>7188</v>
      </c>
      <c r="D42" s="2189"/>
      <c r="E42" s="2189"/>
      <c r="F42" s="2452"/>
      <c r="G42" s="2472" t="s">
        <v>3477</v>
      </c>
    </row>
    <row r="43" ht="13.5" customHeight="1" spans="1:7">
      <c r="A43" s="2426" t="s">
        <v>3409</v>
      </c>
      <c r="B43" s="2427" t="s">
        <v>3448</v>
      </c>
      <c r="C43" s="2189">
        <f ca="1">ROUND(IF('数据-取费表'!B24&lt;=1,C39*F22*'数据-取费表'!B23/2,C39*(POWER((1+F22),'数据-取费表'!B23/2)-1)),0)</f>
        <v>72</v>
      </c>
      <c r="D43" s="2189"/>
      <c r="E43" s="2189"/>
      <c r="F43" s="2452"/>
      <c r="G43" s="2473"/>
    </row>
    <row r="44" ht="13.5" customHeight="1" spans="1:7">
      <c r="A44" s="2426" t="s">
        <v>3411</v>
      </c>
      <c r="B44" s="2427" t="s">
        <v>3450</v>
      </c>
      <c r="C44" s="2189">
        <f ca="1">ROUND(IF('数据-取费表'!B24&lt;=1,C40*F22*'数据-取费表'!B23/2,C40*(POWER((1+F22),'数据-取费表'!B23/2)-1)),4)</f>
        <v>0.0003</v>
      </c>
      <c r="D44" s="2189"/>
      <c r="E44" s="2189"/>
      <c r="F44" s="2452"/>
      <c r="G44" s="635"/>
    </row>
    <row r="45" s="2405" customFormat="1" ht="13.5" customHeight="1" spans="1:123">
      <c r="A45" s="2421" t="s">
        <v>3444</v>
      </c>
      <c r="B45" s="2458" t="s">
        <v>3455</v>
      </c>
      <c r="C45" s="2423">
        <f>C46</f>
        <v>26021</v>
      </c>
      <c r="D45" s="2448">
        <f>C47</f>
        <v>0.001</v>
      </c>
      <c r="E45" s="2449" t="s">
        <v>3475</v>
      </c>
      <c r="F45" s="2474">
        <f>F27</f>
        <v>0.1</v>
      </c>
      <c r="G45" s="2459" t="s">
        <v>3478</v>
      </c>
      <c r="H45" s="2406"/>
      <c r="I45" s="2406"/>
      <c r="J45" s="2406"/>
      <c r="K45" s="2406"/>
      <c r="L45" s="2406"/>
      <c r="M45" s="2406"/>
      <c r="N45" s="2406"/>
      <c r="O45" s="2406"/>
      <c r="P45" s="2406"/>
      <c r="Q45" s="2406"/>
      <c r="R45" s="2406"/>
      <c r="S45" s="2406"/>
      <c r="T45" s="2406"/>
      <c r="U45" s="2406"/>
      <c r="V45" s="2406"/>
      <c r="W45" s="2406"/>
      <c r="X45" s="2406"/>
      <c r="Y45" s="2406"/>
      <c r="Z45" s="2406"/>
      <c r="AA45" s="2406"/>
      <c r="AB45" s="2406"/>
      <c r="AC45" s="2406"/>
      <c r="AD45" s="2406"/>
      <c r="AE45" s="2406"/>
      <c r="AF45" s="2406"/>
      <c r="AG45" s="2406"/>
      <c r="AH45" s="2406"/>
      <c r="AI45" s="2406"/>
      <c r="AJ45" s="2406"/>
      <c r="AK45" s="2406"/>
      <c r="AL45" s="2406"/>
      <c r="AM45" s="2406"/>
      <c r="AN45" s="2406"/>
      <c r="AO45" s="2406"/>
      <c r="AP45" s="2406"/>
      <c r="AQ45" s="2406"/>
      <c r="AR45" s="2406"/>
      <c r="AS45" s="2406"/>
      <c r="AT45" s="2406"/>
      <c r="AU45" s="2406"/>
      <c r="AV45" s="2406"/>
      <c r="AW45" s="2406"/>
      <c r="AX45" s="2406"/>
      <c r="AY45" s="2406"/>
      <c r="AZ45" s="2406"/>
      <c r="BA45" s="2406"/>
      <c r="BB45" s="2406"/>
      <c r="BC45" s="2406"/>
      <c r="BD45" s="2406"/>
      <c r="BE45" s="2406"/>
      <c r="BF45" s="2406"/>
      <c r="BG45" s="2406"/>
      <c r="BH45" s="2406"/>
      <c r="BI45" s="2406"/>
      <c r="BJ45" s="2406"/>
      <c r="BK45" s="2406"/>
      <c r="BL45" s="2406"/>
      <c r="BM45" s="2406"/>
      <c r="BN45" s="2406"/>
      <c r="BO45" s="2406"/>
      <c r="BP45" s="2406"/>
      <c r="BQ45" s="2406"/>
      <c r="BR45" s="2406"/>
      <c r="BS45" s="2406"/>
      <c r="BT45" s="2406"/>
      <c r="BU45" s="2406"/>
      <c r="BV45" s="2406"/>
      <c r="BW45" s="2406"/>
      <c r="BX45" s="2406"/>
      <c r="BY45" s="2406"/>
      <c r="BZ45" s="2406"/>
      <c r="CA45" s="2406"/>
      <c r="CB45" s="2406"/>
      <c r="CC45" s="2406"/>
      <c r="CD45" s="2406"/>
      <c r="CE45" s="2406"/>
      <c r="CF45" s="2406"/>
      <c r="CG45" s="2406"/>
      <c r="CH45" s="2406"/>
      <c r="CI45" s="2406"/>
      <c r="CJ45" s="2406"/>
      <c r="CK45" s="2406"/>
      <c r="CL45" s="2406"/>
      <c r="CM45" s="2406"/>
      <c r="CN45" s="2406"/>
      <c r="CO45" s="2406"/>
      <c r="CP45" s="2406"/>
      <c r="CQ45" s="2406"/>
      <c r="CR45" s="2406"/>
      <c r="CS45" s="2406"/>
      <c r="CT45" s="2406"/>
      <c r="CU45" s="2406"/>
      <c r="CV45" s="2406"/>
      <c r="CW45" s="2406"/>
      <c r="CX45" s="2406"/>
      <c r="CY45" s="2406"/>
      <c r="CZ45" s="2406"/>
      <c r="DA45" s="2406"/>
      <c r="DB45" s="2406"/>
      <c r="DC45" s="2406"/>
      <c r="DD45" s="2406"/>
      <c r="DE45" s="2406"/>
      <c r="DF45" s="2406"/>
      <c r="DG45" s="2406"/>
      <c r="DH45" s="2406"/>
      <c r="DI45" s="2406"/>
      <c r="DJ45" s="2406"/>
      <c r="DK45" s="2406"/>
      <c r="DL45" s="2406"/>
      <c r="DM45" s="2406"/>
      <c r="DN45" s="2406"/>
      <c r="DO45" s="2406"/>
      <c r="DP45" s="2406"/>
      <c r="DQ45" s="2406"/>
      <c r="DR45" s="2406"/>
      <c r="DS45" s="2406"/>
    </row>
    <row r="46" s="2405" customFormat="1" ht="13.5" customHeight="1" spans="1:123">
      <c r="A46" s="2426" t="s">
        <v>3407</v>
      </c>
      <c r="B46" s="2460" t="s">
        <v>3479</v>
      </c>
      <c r="C46" s="2432">
        <f>ROUND((C33+C39)*F27,0)</f>
        <v>26021</v>
      </c>
      <c r="D46" s="2475"/>
      <c r="E46" s="2449"/>
      <c r="F46" s="2444"/>
      <c r="G46" s="2459"/>
      <c r="H46" s="2406"/>
      <c r="I46" s="2406"/>
      <c r="J46" s="2406"/>
      <c r="K46" s="2406"/>
      <c r="L46" s="2406"/>
      <c r="M46" s="2406"/>
      <c r="N46" s="2406"/>
      <c r="O46" s="2406"/>
      <c r="P46" s="2406"/>
      <c r="Q46" s="2406"/>
      <c r="R46" s="2406"/>
      <c r="S46" s="2406"/>
      <c r="T46" s="2406"/>
      <c r="U46" s="2406"/>
      <c r="V46" s="2406"/>
      <c r="W46" s="2406"/>
      <c r="X46" s="2406"/>
      <c r="Y46" s="2406"/>
      <c r="Z46" s="2406"/>
      <c r="AA46" s="2406"/>
      <c r="AB46" s="2406"/>
      <c r="AC46" s="2406"/>
      <c r="AD46" s="2406"/>
      <c r="AE46" s="2406"/>
      <c r="AF46" s="2406"/>
      <c r="AG46" s="2406"/>
      <c r="AH46" s="2406"/>
      <c r="AI46" s="2406"/>
      <c r="AJ46" s="2406"/>
      <c r="AK46" s="2406"/>
      <c r="AL46" s="2406"/>
      <c r="AM46" s="2406"/>
      <c r="AN46" s="2406"/>
      <c r="AO46" s="2406"/>
      <c r="AP46" s="2406"/>
      <c r="AQ46" s="2406"/>
      <c r="AR46" s="2406"/>
      <c r="AS46" s="2406"/>
      <c r="AT46" s="2406"/>
      <c r="AU46" s="2406"/>
      <c r="AV46" s="2406"/>
      <c r="AW46" s="2406"/>
      <c r="AX46" s="2406"/>
      <c r="AY46" s="2406"/>
      <c r="AZ46" s="2406"/>
      <c r="BA46" s="2406"/>
      <c r="BB46" s="2406"/>
      <c r="BC46" s="2406"/>
      <c r="BD46" s="2406"/>
      <c r="BE46" s="2406"/>
      <c r="BF46" s="2406"/>
      <c r="BG46" s="2406"/>
      <c r="BH46" s="2406"/>
      <c r="BI46" s="2406"/>
      <c r="BJ46" s="2406"/>
      <c r="BK46" s="2406"/>
      <c r="BL46" s="2406"/>
      <c r="BM46" s="2406"/>
      <c r="BN46" s="2406"/>
      <c r="BO46" s="2406"/>
      <c r="BP46" s="2406"/>
      <c r="BQ46" s="2406"/>
      <c r="BR46" s="2406"/>
      <c r="BS46" s="2406"/>
      <c r="BT46" s="2406"/>
      <c r="BU46" s="2406"/>
      <c r="BV46" s="2406"/>
      <c r="BW46" s="2406"/>
      <c r="BX46" s="2406"/>
      <c r="BY46" s="2406"/>
      <c r="BZ46" s="2406"/>
      <c r="CA46" s="2406"/>
      <c r="CB46" s="2406"/>
      <c r="CC46" s="2406"/>
      <c r="CD46" s="2406"/>
      <c r="CE46" s="2406"/>
      <c r="CF46" s="2406"/>
      <c r="CG46" s="2406"/>
      <c r="CH46" s="2406"/>
      <c r="CI46" s="2406"/>
      <c r="CJ46" s="2406"/>
      <c r="CK46" s="2406"/>
      <c r="CL46" s="2406"/>
      <c r="CM46" s="2406"/>
      <c r="CN46" s="2406"/>
      <c r="CO46" s="2406"/>
      <c r="CP46" s="2406"/>
      <c r="CQ46" s="2406"/>
      <c r="CR46" s="2406"/>
      <c r="CS46" s="2406"/>
      <c r="CT46" s="2406"/>
      <c r="CU46" s="2406"/>
      <c r="CV46" s="2406"/>
      <c r="CW46" s="2406"/>
      <c r="CX46" s="2406"/>
      <c r="CY46" s="2406"/>
      <c r="CZ46" s="2406"/>
      <c r="DA46" s="2406"/>
      <c r="DB46" s="2406"/>
      <c r="DC46" s="2406"/>
      <c r="DD46" s="2406"/>
      <c r="DE46" s="2406"/>
      <c r="DF46" s="2406"/>
      <c r="DG46" s="2406"/>
      <c r="DH46" s="2406"/>
      <c r="DI46" s="2406"/>
      <c r="DJ46" s="2406"/>
      <c r="DK46" s="2406"/>
      <c r="DL46" s="2406"/>
      <c r="DM46" s="2406"/>
      <c r="DN46" s="2406"/>
      <c r="DO46" s="2406"/>
      <c r="DP46" s="2406"/>
      <c r="DQ46" s="2406"/>
      <c r="DR46" s="2406"/>
      <c r="DS46" s="2406"/>
    </row>
    <row r="47" s="2405" customFormat="1" ht="13.5" customHeight="1" spans="1:123">
      <c r="A47" s="2426" t="s">
        <v>3409</v>
      </c>
      <c r="B47" s="2460" t="s">
        <v>3480</v>
      </c>
      <c r="C47" s="2189">
        <f>ROUND(C40*F27,4)</f>
        <v>0.001</v>
      </c>
      <c r="D47" s="2475"/>
      <c r="E47" s="2449"/>
      <c r="F47" s="2444"/>
      <c r="G47" s="2459"/>
      <c r="H47" s="2406"/>
      <c r="I47" s="2406"/>
      <c r="J47" s="2406"/>
      <c r="K47" s="2406"/>
      <c r="L47" s="2406"/>
      <c r="M47" s="2406"/>
      <c r="N47" s="2406"/>
      <c r="O47" s="2406"/>
      <c r="P47" s="2406"/>
      <c r="Q47" s="2406"/>
      <c r="R47" s="2406"/>
      <c r="S47" s="2406"/>
      <c r="T47" s="2406"/>
      <c r="U47" s="2406"/>
      <c r="V47" s="2406"/>
      <c r="W47" s="2406"/>
      <c r="X47" s="2406"/>
      <c r="Y47" s="2406"/>
      <c r="Z47" s="2406"/>
      <c r="AA47" s="2406"/>
      <c r="AB47" s="2406"/>
      <c r="AC47" s="2406"/>
      <c r="AD47" s="2406"/>
      <c r="AE47" s="2406"/>
      <c r="AF47" s="2406"/>
      <c r="AG47" s="2406"/>
      <c r="AH47" s="2406"/>
      <c r="AI47" s="2406"/>
      <c r="AJ47" s="2406"/>
      <c r="AK47" s="2406"/>
      <c r="AL47" s="2406"/>
      <c r="AM47" s="2406"/>
      <c r="AN47" s="2406"/>
      <c r="AO47" s="2406"/>
      <c r="AP47" s="2406"/>
      <c r="AQ47" s="2406"/>
      <c r="AR47" s="2406"/>
      <c r="AS47" s="2406"/>
      <c r="AT47" s="2406"/>
      <c r="AU47" s="2406"/>
      <c r="AV47" s="2406"/>
      <c r="AW47" s="2406"/>
      <c r="AX47" s="2406"/>
      <c r="AY47" s="2406"/>
      <c r="AZ47" s="2406"/>
      <c r="BA47" s="2406"/>
      <c r="BB47" s="2406"/>
      <c r="BC47" s="2406"/>
      <c r="BD47" s="2406"/>
      <c r="BE47" s="2406"/>
      <c r="BF47" s="2406"/>
      <c r="BG47" s="2406"/>
      <c r="BH47" s="2406"/>
      <c r="BI47" s="2406"/>
      <c r="BJ47" s="2406"/>
      <c r="BK47" s="2406"/>
      <c r="BL47" s="2406"/>
      <c r="BM47" s="2406"/>
      <c r="BN47" s="2406"/>
      <c r="BO47" s="2406"/>
      <c r="BP47" s="2406"/>
      <c r="BQ47" s="2406"/>
      <c r="BR47" s="2406"/>
      <c r="BS47" s="2406"/>
      <c r="BT47" s="2406"/>
      <c r="BU47" s="2406"/>
      <c r="BV47" s="2406"/>
      <c r="BW47" s="2406"/>
      <c r="BX47" s="2406"/>
      <c r="BY47" s="2406"/>
      <c r="BZ47" s="2406"/>
      <c r="CA47" s="2406"/>
      <c r="CB47" s="2406"/>
      <c r="CC47" s="2406"/>
      <c r="CD47" s="2406"/>
      <c r="CE47" s="2406"/>
      <c r="CF47" s="2406"/>
      <c r="CG47" s="2406"/>
      <c r="CH47" s="2406"/>
      <c r="CI47" s="2406"/>
      <c r="CJ47" s="2406"/>
      <c r="CK47" s="2406"/>
      <c r="CL47" s="2406"/>
      <c r="CM47" s="2406"/>
      <c r="CN47" s="2406"/>
      <c r="CO47" s="2406"/>
      <c r="CP47" s="2406"/>
      <c r="CQ47" s="2406"/>
      <c r="CR47" s="2406"/>
      <c r="CS47" s="2406"/>
      <c r="CT47" s="2406"/>
      <c r="CU47" s="2406"/>
      <c r="CV47" s="2406"/>
      <c r="CW47" s="2406"/>
      <c r="CX47" s="2406"/>
      <c r="CY47" s="2406"/>
      <c r="CZ47" s="2406"/>
      <c r="DA47" s="2406"/>
      <c r="DB47" s="2406"/>
      <c r="DC47" s="2406"/>
      <c r="DD47" s="2406"/>
      <c r="DE47" s="2406"/>
      <c r="DF47" s="2406"/>
      <c r="DG47" s="2406"/>
      <c r="DH47" s="2406"/>
      <c r="DI47" s="2406"/>
      <c r="DJ47" s="2406"/>
      <c r="DK47" s="2406"/>
      <c r="DL47" s="2406"/>
      <c r="DM47" s="2406"/>
      <c r="DN47" s="2406"/>
      <c r="DO47" s="2406"/>
      <c r="DP47" s="2406"/>
      <c r="DQ47" s="2406"/>
      <c r="DR47" s="2406"/>
      <c r="DS47" s="2406"/>
    </row>
    <row r="48" s="2405" customFormat="1" ht="13.5" customHeight="1" spans="1:123">
      <c r="A48" s="2457" t="s">
        <v>3454</v>
      </c>
      <c r="B48" s="2422" t="s">
        <v>3460</v>
      </c>
      <c r="C48" s="2471">
        <f>ROUND(F30/(1+'数据-取费表'!F30),4)</f>
        <v>0.056</v>
      </c>
      <c r="D48" s="2449" t="s">
        <v>3475</v>
      </c>
      <c r="E48" s="2445"/>
      <c r="F48" s="2470">
        <f>F30</f>
        <v>0.056</v>
      </c>
      <c r="G48" s="2447" t="s">
        <v>3481</v>
      </c>
      <c r="H48" s="2406"/>
      <c r="I48" s="2406"/>
      <c r="J48" s="2406"/>
      <c r="K48" s="2406"/>
      <c r="L48" s="2406"/>
      <c r="M48" s="2406"/>
      <c r="N48" s="2406"/>
      <c r="O48" s="2406"/>
      <c r="P48" s="2406"/>
      <c r="Q48" s="2406"/>
      <c r="R48" s="2406"/>
      <c r="S48" s="2406"/>
      <c r="T48" s="2406"/>
      <c r="U48" s="2406"/>
      <c r="V48" s="2406"/>
      <c r="W48" s="2406"/>
      <c r="X48" s="2406"/>
      <c r="Y48" s="2406"/>
      <c r="Z48" s="2406"/>
      <c r="AA48" s="2406"/>
      <c r="AB48" s="2406"/>
      <c r="AC48" s="2406"/>
      <c r="AD48" s="2406"/>
      <c r="AE48" s="2406"/>
      <c r="AF48" s="2406"/>
      <c r="AG48" s="2406"/>
      <c r="AH48" s="2406"/>
      <c r="AI48" s="2406"/>
      <c r="AJ48" s="2406"/>
      <c r="AK48" s="2406"/>
      <c r="AL48" s="2406"/>
      <c r="AM48" s="2406"/>
      <c r="AN48" s="2406"/>
      <c r="AO48" s="2406"/>
      <c r="AP48" s="2406"/>
      <c r="AQ48" s="2406"/>
      <c r="AR48" s="2406"/>
      <c r="AS48" s="2406"/>
      <c r="AT48" s="2406"/>
      <c r="AU48" s="2406"/>
      <c r="AV48" s="2406"/>
      <c r="AW48" s="2406"/>
      <c r="AX48" s="2406"/>
      <c r="AY48" s="2406"/>
      <c r="AZ48" s="2406"/>
      <c r="BA48" s="2406"/>
      <c r="BB48" s="2406"/>
      <c r="BC48" s="2406"/>
      <c r="BD48" s="2406"/>
      <c r="BE48" s="2406"/>
      <c r="BF48" s="2406"/>
      <c r="BG48" s="2406"/>
      <c r="BH48" s="2406"/>
      <c r="BI48" s="2406"/>
      <c r="BJ48" s="2406"/>
      <c r="BK48" s="2406"/>
      <c r="BL48" s="2406"/>
      <c r="BM48" s="2406"/>
      <c r="BN48" s="2406"/>
      <c r="BO48" s="2406"/>
      <c r="BP48" s="2406"/>
      <c r="BQ48" s="2406"/>
      <c r="BR48" s="2406"/>
      <c r="BS48" s="2406"/>
      <c r="BT48" s="2406"/>
      <c r="BU48" s="2406"/>
      <c r="BV48" s="2406"/>
      <c r="BW48" s="2406"/>
      <c r="BX48" s="2406"/>
      <c r="BY48" s="2406"/>
      <c r="BZ48" s="2406"/>
      <c r="CA48" s="2406"/>
      <c r="CB48" s="2406"/>
      <c r="CC48" s="2406"/>
      <c r="CD48" s="2406"/>
      <c r="CE48" s="2406"/>
      <c r="CF48" s="2406"/>
      <c r="CG48" s="2406"/>
      <c r="CH48" s="2406"/>
      <c r="CI48" s="2406"/>
      <c r="CJ48" s="2406"/>
      <c r="CK48" s="2406"/>
      <c r="CL48" s="2406"/>
      <c r="CM48" s="2406"/>
      <c r="CN48" s="2406"/>
      <c r="CO48" s="2406"/>
      <c r="CP48" s="2406"/>
      <c r="CQ48" s="2406"/>
      <c r="CR48" s="2406"/>
      <c r="CS48" s="2406"/>
      <c r="CT48" s="2406"/>
      <c r="CU48" s="2406"/>
      <c r="CV48" s="2406"/>
      <c r="CW48" s="2406"/>
      <c r="CX48" s="2406"/>
      <c r="CY48" s="2406"/>
      <c r="CZ48" s="2406"/>
      <c r="DA48" s="2406"/>
      <c r="DB48" s="2406"/>
      <c r="DC48" s="2406"/>
      <c r="DD48" s="2406"/>
      <c r="DE48" s="2406"/>
      <c r="DF48" s="2406"/>
      <c r="DG48" s="2406"/>
      <c r="DH48" s="2406"/>
      <c r="DI48" s="2406"/>
      <c r="DJ48" s="2406"/>
      <c r="DK48" s="2406"/>
      <c r="DL48" s="2406"/>
      <c r="DM48" s="2406"/>
      <c r="DN48" s="2406"/>
      <c r="DO48" s="2406"/>
      <c r="DP48" s="2406"/>
      <c r="DQ48" s="2406"/>
      <c r="DR48" s="2406"/>
      <c r="DS48" s="2406"/>
    </row>
    <row r="49" ht="16.5" customHeight="1" spans="1:7">
      <c r="A49" s="2457" t="s">
        <v>3459</v>
      </c>
      <c r="B49" s="2422" t="s">
        <v>3482</v>
      </c>
      <c r="C49" s="2445">
        <f ca="1">ROUND((C33+C39+C41+C45)/(1-C40-D41-D45-C48),0)</f>
        <v>314666</v>
      </c>
      <c r="D49" s="2445"/>
      <c r="E49" s="2445"/>
      <c r="F49" s="2476"/>
      <c r="G49" s="2447" t="s">
        <v>3483</v>
      </c>
    </row>
    <row r="50" s="2407" customFormat="1" ht="24" spans="1:7">
      <c r="A50" s="2457" t="s">
        <v>3484</v>
      </c>
      <c r="B50" s="2422" t="s">
        <v>3485</v>
      </c>
      <c r="C50" s="2445"/>
      <c r="D50" s="2445"/>
      <c r="E50" s="2445"/>
      <c r="F50" s="2476">
        <f>IF('数据-取费表'!B26=0,'数据-取费表'!E20,1)</f>
        <v>0.88</v>
      </c>
      <c r="G50" s="2459" t="s">
        <v>3486</v>
      </c>
    </row>
    <row r="51" ht="16.5" customHeight="1" spans="1:7">
      <c r="A51" s="2457" t="s">
        <v>3487</v>
      </c>
      <c r="B51" s="2422" t="s">
        <v>3488</v>
      </c>
      <c r="C51" s="2445">
        <f ca="1">ROUND(C49*F50,0)</f>
        <v>276906</v>
      </c>
      <c r="D51" s="2445"/>
      <c r="E51" s="2445"/>
      <c r="F51" s="2476"/>
      <c r="G51" s="2447" t="s">
        <v>3489</v>
      </c>
    </row>
    <row r="52" s="2404" customFormat="1" ht="16.5" spans="1:123">
      <c r="A52" s="2477" t="s">
        <v>3490</v>
      </c>
      <c r="B52" s="2478"/>
      <c r="C52" s="2479">
        <f ca="1">C31+C51</f>
        <v>775139</v>
      </c>
      <c r="D52" s="2478"/>
      <c r="E52" s="2478"/>
      <c r="F52" s="2478"/>
      <c r="G52" s="2480"/>
      <c r="H52" s="2420"/>
      <c r="I52" s="2420"/>
      <c r="J52" s="2420"/>
      <c r="K52" s="2420"/>
      <c r="L52" s="2420"/>
      <c r="M52" s="2420"/>
      <c r="N52" s="2420"/>
      <c r="O52" s="2420"/>
      <c r="P52" s="2420"/>
      <c r="Q52" s="2420"/>
      <c r="R52" s="2420"/>
      <c r="S52" s="2420"/>
      <c r="T52" s="2420"/>
      <c r="U52" s="2420"/>
      <c r="V52" s="2420"/>
      <c r="W52" s="2420"/>
      <c r="X52" s="2420"/>
      <c r="Y52" s="2420"/>
      <c r="Z52" s="2420"/>
      <c r="AA52" s="2420"/>
      <c r="AB52" s="2420"/>
      <c r="AC52" s="2420"/>
      <c r="AD52" s="2420"/>
      <c r="AE52" s="2420"/>
      <c r="AF52" s="2420"/>
      <c r="AG52" s="2420"/>
      <c r="AH52" s="2420"/>
      <c r="AI52" s="2420"/>
      <c r="AJ52" s="2420"/>
      <c r="AK52" s="2420"/>
      <c r="AL52" s="2420"/>
      <c r="AM52" s="2420"/>
      <c r="AN52" s="2420"/>
      <c r="AO52" s="2420"/>
      <c r="AP52" s="2420"/>
      <c r="AQ52" s="2420"/>
      <c r="AR52" s="2420"/>
      <c r="AS52" s="2420"/>
      <c r="AT52" s="2420"/>
      <c r="AU52" s="2420"/>
      <c r="AV52" s="2420"/>
      <c r="AW52" s="2420"/>
      <c r="AX52" s="2420"/>
      <c r="AY52" s="2420"/>
      <c r="AZ52" s="2420"/>
      <c r="BA52" s="2420"/>
      <c r="BB52" s="2420"/>
      <c r="BC52" s="2420"/>
      <c r="BD52" s="2420"/>
      <c r="BE52" s="2420"/>
      <c r="BF52" s="2420"/>
      <c r="BG52" s="2420"/>
      <c r="BH52" s="2420"/>
      <c r="BI52" s="2420"/>
      <c r="BJ52" s="2420"/>
      <c r="BK52" s="2420"/>
      <c r="BL52" s="2420"/>
      <c r="BM52" s="2420"/>
      <c r="BN52" s="2420"/>
      <c r="BO52" s="2420"/>
      <c r="BP52" s="2420"/>
      <c r="BQ52" s="2420"/>
      <c r="BR52" s="2420"/>
      <c r="BS52" s="2420"/>
      <c r="BT52" s="2420"/>
      <c r="BU52" s="2420"/>
      <c r="BV52" s="2420"/>
      <c r="BW52" s="2420"/>
      <c r="BX52" s="2420"/>
      <c r="BY52" s="2420"/>
      <c r="BZ52" s="2420"/>
      <c r="CA52" s="2420"/>
      <c r="CB52" s="2420"/>
      <c r="CC52" s="2420"/>
      <c r="CD52" s="2420"/>
      <c r="CE52" s="2420"/>
      <c r="CF52" s="2420"/>
      <c r="CG52" s="2420"/>
      <c r="CH52" s="2420"/>
      <c r="CI52" s="2420"/>
      <c r="CJ52" s="2420"/>
      <c r="CK52" s="2420"/>
      <c r="CL52" s="2420"/>
      <c r="CM52" s="2420"/>
      <c r="CN52" s="2420"/>
      <c r="CO52" s="2420"/>
      <c r="CP52" s="2420"/>
      <c r="CQ52" s="2420"/>
      <c r="CR52" s="2420"/>
      <c r="CS52" s="2420"/>
      <c r="CT52" s="2420"/>
      <c r="CU52" s="2420"/>
      <c r="CV52" s="2420"/>
      <c r="CW52" s="2420"/>
      <c r="CX52" s="2420"/>
      <c r="CY52" s="2420"/>
      <c r="CZ52" s="2420"/>
      <c r="DA52" s="2420"/>
      <c r="DB52" s="2420"/>
      <c r="DC52" s="2420"/>
      <c r="DD52" s="2420"/>
      <c r="DE52" s="2420"/>
      <c r="DF52" s="2420"/>
      <c r="DG52" s="2420"/>
      <c r="DH52" s="2420"/>
      <c r="DI52" s="2420"/>
      <c r="DJ52" s="2420"/>
      <c r="DK52" s="2420"/>
      <c r="DL52" s="2420"/>
      <c r="DM52" s="2420"/>
      <c r="DN52" s="2420"/>
      <c r="DO52" s="2420"/>
      <c r="DP52" s="2420"/>
      <c r="DQ52" s="2420"/>
      <c r="DR52" s="2420"/>
      <c r="DS52" s="2420"/>
    </row>
    <row r="55" ht="15" spans="2:3">
      <c r="B55" s="2231" t="s">
        <v>3491</v>
      </c>
      <c r="C55" s="2235"/>
    </row>
    <row r="56" spans="2:3">
      <c r="B56" s="2236" t="s">
        <v>3492</v>
      </c>
      <c r="C56" s="2233">
        <f ca="1">ROUND(C51/C52,3)</f>
        <v>0.357</v>
      </c>
    </row>
    <row r="57" spans="2:3">
      <c r="B57" s="2236" t="s">
        <v>3493</v>
      </c>
      <c r="C57" s="2237">
        <f ca="1">1-C56</f>
        <v>0.643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313" customWidth="1"/>
    <col min="2" max="2" width="25.75" style="2314" customWidth="1"/>
    <col min="3" max="3" width="10.375" style="2315" customWidth="1"/>
    <col min="4" max="4" width="9.875" style="2314" customWidth="1"/>
    <col min="5" max="5" width="9.5" style="2313" customWidth="1"/>
    <col min="6" max="6" width="10.125" style="2314" customWidth="1"/>
    <col min="7" max="7" width="9.5" style="2314" customWidth="1"/>
    <col min="8" max="8" width="10" style="2314" customWidth="1"/>
    <col min="9" max="11" width="9.5" style="2314" customWidth="1"/>
    <col min="12" max="12" width="9" style="2314" customWidth="1"/>
    <col min="13" max="13" width="10.5" style="2314" customWidth="1"/>
    <col min="14" max="254" width="9" style="2314" customWidth="1"/>
    <col min="255" max="16384" width="6.625" style="2314"/>
  </cols>
  <sheetData>
    <row r="1" s="2302" customFormat="1" ht="20.25" spans="1:11">
      <c r="A1" s="2316" t="s">
        <v>3494</v>
      </c>
      <c r="B1" s="2317"/>
      <c r="C1" s="2318" t="s">
        <v>3495</v>
      </c>
      <c r="D1" s="2319"/>
      <c r="E1" s="2320"/>
      <c r="F1" s="2320"/>
      <c r="G1" s="2320"/>
      <c r="H1" s="2320"/>
      <c r="I1" s="2320"/>
      <c r="J1" s="2320"/>
      <c r="K1" s="2320"/>
    </row>
    <row r="2" s="2302" customFormat="1" ht="18" customHeight="1" spans="1:11">
      <c r="A2" s="721" t="s">
        <v>870</v>
      </c>
      <c r="B2" s="2321">
        <f ca="1">IF(C2="元",C32,ROUND(C32/10000,0))</f>
        <v>18609</v>
      </c>
      <c r="C2" s="2322" t="str">
        <f>'数据-取费表'!B3</f>
        <v>元</v>
      </c>
      <c r="D2" s="2320"/>
      <c r="E2" s="2320"/>
      <c r="F2" s="2320"/>
      <c r="G2" s="2320"/>
      <c r="H2" s="2320"/>
      <c r="I2" s="2320"/>
      <c r="J2" s="2320"/>
      <c r="K2" s="2320"/>
    </row>
    <row r="3" s="2302" customFormat="1" ht="18" customHeight="1" spans="1:11">
      <c r="A3" s="726" t="s">
        <v>871</v>
      </c>
      <c r="B3" s="2321" t="e">
        <f ca="1">ROUND(C32/IF(C1="仅计算典型户型",'数据-取费表'!E5,'数据-取费表'!B5),0)</f>
        <v>#DIV/0!</v>
      </c>
      <c r="C3" s="2322" t="s">
        <v>3496</v>
      </c>
      <c r="D3" s="2320"/>
      <c r="E3" s="2320"/>
      <c r="F3" s="2320"/>
      <c r="G3" s="2320"/>
      <c r="H3" s="2320"/>
      <c r="I3" s="2320"/>
      <c r="J3" s="2320"/>
      <c r="K3" s="2320"/>
    </row>
    <row r="4" s="2303" customFormat="1" ht="16.5" customHeight="1" spans="1:33">
      <c r="A4" s="2323" t="s">
        <v>3497</v>
      </c>
      <c r="B4" s="2324"/>
      <c r="C4" s="2325">
        <f>SUM(C8:K8)</f>
        <v>0</v>
      </c>
      <c r="D4" s="2324"/>
      <c r="E4" s="2324"/>
      <c r="F4" s="2324"/>
      <c r="G4" s="2324"/>
      <c r="H4" s="2324"/>
      <c r="I4" s="2324"/>
      <c r="J4" s="2324"/>
      <c r="K4" s="2389"/>
      <c r="L4" s="2390"/>
      <c r="M4" s="2390"/>
      <c r="N4" s="2390"/>
      <c r="O4" s="2390"/>
      <c r="P4" s="2390"/>
      <c r="Q4" s="2390"/>
      <c r="R4" s="2390"/>
      <c r="S4" s="2390"/>
      <c r="T4" s="2390"/>
      <c r="U4" s="2390"/>
      <c r="V4" s="2390"/>
      <c r="W4" s="2390"/>
      <c r="X4" s="2390"/>
      <c r="Y4" s="2390"/>
      <c r="Z4" s="2390"/>
      <c r="AA4" s="2390"/>
      <c r="AB4" s="2390"/>
      <c r="AC4" s="2390"/>
      <c r="AD4" s="2390"/>
      <c r="AE4" s="2390"/>
      <c r="AF4" s="2390"/>
      <c r="AG4" s="2390"/>
    </row>
    <row r="5" s="2304" customFormat="1" ht="15.75" spans="1:33">
      <c r="A5" s="2326" t="s">
        <v>3498</v>
      </c>
      <c r="B5" s="2327" t="s">
        <v>3499</v>
      </c>
      <c r="C5" s="2328"/>
      <c r="D5" s="2328"/>
      <c r="E5" s="2328"/>
      <c r="F5" s="2328"/>
      <c r="G5" s="2328"/>
      <c r="H5" s="2328"/>
      <c r="I5" s="2328"/>
      <c r="J5" s="2328"/>
      <c r="K5" s="2391"/>
      <c r="L5" s="2392"/>
      <c r="M5" s="2392"/>
      <c r="N5" s="2392"/>
      <c r="O5" s="2392"/>
      <c r="P5" s="2392"/>
      <c r="Q5" s="2392"/>
      <c r="R5" s="2392"/>
      <c r="S5" s="2392"/>
      <c r="T5" s="2392"/>
      <c r="U5" s="2392"/>
      <c r="V5" s="2392"/>
      <c r="W5" s="2392"/>
      <c r="X5" s="2392"/>
      <c r="Y5" s="2392"/>
      <c r="Z5" s="2392"/>
      <c r="AA5" s="2392"/>
      <c r="AB5" s="2392"/>
      <c r="AC5" s="2392"/>
      <c r="AD5" s="2392"/>
      <c r="AE5" s="2392"/>
      <c r="AF5" s="2392"/>
      <c r="AG5" s="2392"/>
    </row>
    <row r="6" s="2305" customFormat="1" ht="13.5" customHeight="1" spans="1:33">
      <c r="A6" s="2329" t="s">
        <v>3500</v>
      </c>
      <c r="B6" s="2330" t="s">
        <v>814</v>
      </c>
      <c r="C6" s="2331">
        <v>35000</v>
      </c>
      <c r="D6" s="2332"/>
      <c r="E6" s="2332"/>
      <c r="F6" s="2332"/>
      <c r="G6" s="2332"/>
      <c r="H6" s="2332"/>
      <c r="I6" s="2332"/>
      <c r="J6" s="2332"/>
      <c r="K6" s="2393"/>
      <c r="L6" s="2394"/>
      <c r="M6" s="2394"/>
      <c r="N6" s="2394"/>
      <c r="O6" s="2394"/>
      <c r="P6" s="2394"/>
      <c r="Q6" s="2394"/>
      <c r="R6" s="2394"/>
      <c r="S6" s="2394"/>
      <c r="T6" s="2394"/>
      <c r="U6" s="2394"/>
      <c r="V6" s="2394"/>
      <c r="W6" s="2394"/>
      <c r="X6" s="2394"/>
      <c r="Y6" s="2394"/>
      <c r="Z6" s="2394"/>
      <c r="AA6" s="2394"/>
      <c r="AB6" s="2394"/>
      <c r="AC6" s="2394"/>
      <c r="AD6" s="2394"/>
      <c r="AE6" s="2394"/>
      <c r="AF6" s="2394"/>
      <c r="AG6" s="2394"/>
    </row>
    <row r="7" s="2305" customFormat="1" ht="13.5" customHeight="1" spans="1:33">
      <c r="A7" s="2329" t="s">
        <v>3501</v>
      </c>
      <c r="B7" s="2330" t="s">
        <v>357</v>
      </c>
      <c r="C7" s="2333">
        <f>IF(C1="仅计算典型户型",'数据-取费表'!E5,'数据-取费表'!B5)</f>
        <v>0</v>
      </c>
      <c r="D7" s="2333"/>
      <c r="E7" s="2333"/>
      <c r="F7" s="2333"/>
      <c r="G7" s="2333"/>
      <c r="H7" s="2333"/>
      <c r="I7" s="2333"/>
      <c r="J7" s="2333"/>
      <c r="K7" s="2395"/>
      <c r="L7" s="2394"/>
      <c r="M7" s="2394"/>
      <c r="N7" s="2394"/>
      <c r="O7" s="2394"/>
      <c r="P7" s="2394"/>
      <c r="Q7" s="2394"/>
      <c r="R7" s="2394"/>
      <c r="S7" s="2394"/>
      <c r="T7" s="2394"/>
      <c r="U7" s="2394"/>
      <c r="V7" s="2394"/>
      <c r="W7" s="2394"/>
      <c r="X7" s="2394"/>
      <c r="Y7" s="2394"/>
      <c r="Z7" s="2394"/>
      <c r="AA7" s="2394"/>
      <c r="AB7" s="2394"/>
      <c r="AC7" s="2394"/>
      <c r="AD7" s="2394"/>
      <c r="AE7" s="2394"/>
      <c r="AF7" s="2394"/>
      <c r="AG7" s="2394"/>
    </row>
    <row r="8" s="2305" customFormat="1" ht="13.5" customHeight="1" spans="1:33">
      <c r="A8" s="2334" t="s">
        <v>3502</v>
      </c>
      <c r="B8" s="2330" t="s">
        <v>3503</v>
      </c>
      <c r="C8" s="2335">
        <f>C6*C7</f>
        <v>0</v>
      </c>
      <c r="D8" s="2336"/>
      <c r="E8" s="2336"/>
      <c r="F8" s="2332"/>
      <c r="G8" s="2332"/>
      <c r="H8" s="2332"/>
      <c r="I8" s="2332"/>
      <c r="J8" s="2332"/>
      <c r="K8" s="2393"/>
      <c r="L8" s="2394"/>
      <c r="M8" s="2394"/>
      <c r="N8" s="2394"/>
      <c r="O8" s="2394"/>
      <c r="P8" s="2394"/>
      <c r="Q8" s="2394"/>
      <c r="R8" s="2394"/>
      <c r="S8" s="2394"/>
      <c r="T8" s="2394"/>
      <c r="U8" s="2394"/>
      <c r="V8" s="2394"/>
      <c r="W8" s="2394"/>
      <c r="X8" s="2394"/>
      <c r="Y8" s="2394"/>
      <c r="Z8" s="2394"/>
      <c r="AA8" s="2394"/>
      <c r="AB8" s="2394"/>
      <c r="AC8" s="2394"/>
      <c r="AD8" s="2394"/>
      <c r="AE8" s="2394"/>
      <c r="AF8" s="2394"/>
      <c r="AG8" s="2394"/>
    </row>
    <row r="9" s="2303" customFormat="1" ht="16.5" customHeight="1" spans="1:33">
      <c r="A9" s="2337" t="s">
        <v>3504</v>
      </c>
      <c r="B9" s="2328"/>
      <c r="C9" s="2328"/>
      <c r="D9" s="2328"/>
      <c r="E9" s="2328"/>
      <c r="F9" s="2328"/>
      <c r="G9" s="2328"/>
      <c r="H9" s="2328"/>
      <c r="I9" s="2328"/>
      <c r="J9" s="2328"/>
      <c r="K9" s="2391"/>
      <c r="L9" s="2390"/>
      <c r="M9" s="2390"/>
      <c r="N9" s="2390"/>
      <c r="O9" s="2390"/>
      <c r="P9" s="2390"/>
      <c r="Q9" s="2390"/>
      <c r="R9" s="2390"/>
      <c r="S9" s="2390"/>
      <c r="T9" s="2390"/>
      <c r="U9" s="2390"/>
      <c r="V9" s="2390"/>
      <c r="W9" s="2390"/>
      <c r="X9" s="2390"/>
      <c r="Y9" s="2390"/>
      <c r="Z9" s="2390"/>
      <c r="AA9" s="2390"/>
      <c r="AB9" s="2390"/>
      <c r="AC9" s="2390"/>
      <c r="AD9" s="2390"/>
      <c r="AE9" s="2390"/>
      <c r="AF9" s="2390"/>
      <c r="AG9" s="2390"/>
    </row>
    <row r="10" s="2306" customFormat="1" ht="13.5" customHeight="1" spans="1:33">
      <c r="A10" s="2326" t="s">
        <v>3498</v>
      </c>
      <c r="B10" s="2338" t="s">
        <v>3499</v>
      </c>
      <c r="C10" s="2339" t="s">
        <v>3505</v>
      </c>
      <c r="D10" s="2340" t="s">
        <v>3506</v>
      </c>
      <c r="E10" s="2340" t="s">
        <v>3507</v>
      </c>
      <c r="F10" s="2340" t="s">
        <v>3508</v>
      </c>
      <c r="G10" s="2338"/>
      <c r="H10" s="2341"/>
      <c r="I10" s="2341"/>
      <c r="J10" s="2341"/>
      <c r="K10" s="2396"/>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07" customFormat="1" ht="13.5" customHeight="1" spans="1:33">
      <c r="A11" s="2342" t="s">
        <v>3509</v>
      </c>
      <c r="B11" s="2343" t="s">
        <v>3510</v>
      </c>
      <c r="C11" s="2344">
        <f>IF(C1="仅计算典型户型",'数据-取费表'!F18,'数据-取费表'!E18)</f>
        <v>0</v>
      </c>
      <c r="D11" s="2345"/>
      <c r="E11" s="1718"/>
      <c r="F11" s="2346">
        <f>1-'数据-取费表'!E20</f>
        <v>0.12</v>
      </c>
      <c r="G11" s="2338"/>
      <c r="H11" s="2341"/>
      <c r="I11" s="2341"/>
      <c r="J11" s="2341"/>
      <c r="K11" s="2396"/>
      <c r="L11" s="2397"/>
      <c r="M11" s="2397"/>
      <c r="N11" s="2397"/>
      <c r="O11" s="2397"/>
      <c r="P11" s="2397"/>
      <c r="Q11" s="2397"/>
      <c r="R11" s="2397"/>
      <c r="S11" s="2397"/>
      <c r="T11" s="2397"/>
      <c r="U11" s="2397"/>
      <c r="V11" s="2397"/>
      <c r="W11" s="2397"/>
      <c r="X11" s="2397"/>
      <c r="Y11" s="2397"/>
      <c r="Z11" s="2397"/>
      <c r="AA11" s="2397"/>
      <c r="AB11" s="2397"/>
      <c r="AC11" s="2397"/>
      <c r="AD11" s="2397"/>
      <c r="AE11" s="2397"/>
      <c r="AF11" s="2397"/>
      <c r="AG11" s="2397"/>
    </row>
    <row r="12" s="2307" customFormat="1" ht="13.5" customHeight="1" spans="1:33">
      <c r="A12" s="2342" t="s">
        <v>3511</v>
      </c>
      <c r="B12" s="2343" t="s">
        <v>3512</v>
      </c>
      <c r="C12" s="1763">
        <f>ROUND(C11*F12,0)</f>
        <v>0</v>
      </c>
      <c r="D12" s="2345"/>
      <c r="E12" s="1718"/>
      <c r="F12" s="2347">
        <f>'数据-取费表'!E21</f>
        <v>0.03</v>
      </c>
      <c r="G12" s="2338" t="s">
        <v>3513</v>
      </c>
      <c r="H12" s="2341"/>
      <c r="I12" s="2341"/>
      <c r="J12" s="2341"/>
      <c r="K12" s="2396"/>
      <c r="L12" s="2397"/>
      <c r="M12" s="2397"/>
      <c r="N12" s="2397"/>
      <c r="O12" s="2397"/>
      <c r="P12" s="2397"/>
      <c r="Q12" s="2397"/>
      <c r="R12" s="2397"/>
      <c r="S12" s="2397"/>
      <c r="T12" s="2397"/>
      <c r="U12" s="2397"/>
      <c r="V12" s="2397"/>
      <c r="W12" s="2397"/>
      <c r="X12" s="2397"/>
      <c r="Y12" s="2397"/>
      <c r="Z12" s="2397"/>
      <c r="AA12" s="2397"/>
      <c r="AB12" s="2397"/>
      <c r="AC12" s="2397"/>
      <c r="AD12" s="2397"/>
      <c r="AE12" s="2397"/>
      <c r="AF12" s="2397"/>
      <c r="AG12" s="2397"/>
    </row>
    <row r="13" s="2307" customFormat="1" ht="13.5" customHeight="1" spans="1:33">
      <c r="A13" s="2342" t="s">
        <v>3514</v>
      </c>
      <c r="B13" s="2343" t="s">
        <v>3515</v>
      </c>
      <c r="C13" s="1763">
        <f>ROUND(IF('数据-取费表'!B10="住宅",C11*F13,0),0)</f>
        <v>0</v>
      </c>
      <c r="D13" s="2345"/>
      <c r="E13" s="1718"/>
      <c r="F13" s="2347">
        <f>'数据-取费表'!E22</f>
        <v>0.05</v>
      </c>
      <c r="G13" s="2338" t="s">
        <v>3516</v>
      </c>
      <c r="H13" s="2341"/>
      <c r="I13" s="2341"/>
      <c r="J13" s="2341"/>
      <c r="K13" s="2396"/>
      <c r="L13" s="2397"/>
      <c r="M13" s="2397"/>
      <c r="N13" s="2397"/>
      <c r="O13" s="2397"/>
      <c r="P13" s="2397"/>
      <c r="Q13" s="2397"/>
      <c r="R13" s="2397"/>
      <c r="S13" s="2397"/>
      <c r="T13" s="2397"/>
      <c r="U13" s="2397"/>
      <c r="V13" s="2397"/>
      <c r="W13" s="2397"/>
      <c r="X13" s="2397"/>
      <c r="Y13" s="2397"/>
      <c r="Z13" s="2397"/>
      <c r="AA13" s="2397"/>
      <c r="AB13" s="2397"/>
      <c r="AC13" s="2397"/>
      <c r="AD13" s="2397"/>
      <c r="AE13" s="2397"/>
      <c r="AF13" s="2397"/>
      <c r="AG13" s="2397"/>
    </row>
    <row r="14" s="2308" customFormat="1" ht="13.5" customHeight="1" spans="1:33">
      <c r="A14" s="2342" t="s">
        <v>3517</v>
      </c>
      <c r="B14" s="2343" t="s">
        <v>3518</v>
      </c>
      <c r="C14" s="1763">
        <f>ROUND(D14*E14*F11,0)</f>
        <v>0</v>
      </c>
      <c r="D14" s="2345">
        <f>IF(C1="仅计算典型户型",'数据-取费表'!E5,'数据-取费表'!B5)</f>
        <v>0</v>
      </c>
      <c r="E14" s="1763">
        <f>'数据-取费表'!E23</f>
        <v>200</v>
      </c>
      <c r="F14" s="2347"/>
      <c r="G14" s="2338" t="s">
        <v>3519</v>
      </c>
      <c r="H14" s="2341"/>
      <c r="I14" s="2341"/>
      <c r="J14" s="2341"/>
      <c r="K14" s="2396"/>
      <c r="L14" s="2397"/>
      <c r="M14" s="2397"/>
      <c r="N14" s="2397"/>
      <c r="O14" s="2397"/>
      <c r="P14" s="2397"/>
      <c r="Q14" s="2397"/>
      <c r="R14" s="2397"/>
      <c r="S14" s="2397"/>
      <c r="T14" s="2397"/>
      <c r="U14" s="2397"/>
      <c r="V14" s="2397"/>
      <c r="W14" s="2397"/>
      <c r="X14" s="2397"/>
      <c r="Y14" s="2397"/>
      <c r="Z14" s="2397"/>
      <c r="AA14" s="2397"/>
      <c r="AB14" s="2397"/>
      <c r="AC14" s="2397"/>
      <c r="AD14" s="2397"/>
      <c r="AE14" s="2397"/>
      <c r="AF14" s="2397"/>
      <c r="AG14" s="2397"/>
    </row>
    <row r="15" s="2308" customFormat="1" ht="13.5" customHeight="1" spans="1:33">
      <c r="A15" s="2342" t="s">
        <v>3520</v>
      </c>
      <c r="B15" s="2343" t="s">
        <v>3521</v>
      </c>
      <c r="C15" s="2348">
        <f>ROUND(C11*F15,0)</f>
        <v>0</v>
      </c>
      <c r="D15" s="2349"/>
      <c r="E15" s="2348"/>
      <c r="F15" s="2350">
        <f>'数据-取费表'!E24</f>
        <v>0.015</v>
      </c>
      <c r="G15" s="2330" t="s">
        <v>3522</v>
      </c>
      <c r="H15" s="2351"/>
      <c r="I15" s="2351"/>
      <c r="J15" s="2351"/>
      <c r="K15" s="2398"/>
      <c r="L15" s="2397"/>
      <c r="M15" s="2397"/>
      <c r="N15" s="2397"/>
      <c r="O15" s="2397"/>
      <c r="P15" s="2397"/>
      <c r="Q15" s="2397"/>
      <c r="R15" s="2397"/>
      <c r="S15" s="2397"/>
      <c r="T15" s="2397"/>
      <c r="U15" s="2397"/>
      <c r="V15" s="2397"/>
      <c r="W15" s="2397"/>
      <c r="X15" s="2397"/>
      <c r="Y15" s="2397"/>
      <c r="Z15" s="2397"/>
      <c r="AA15" s="2397"/>
      <c r="AB15" s="2397"/>
      <c r="AC15" s="2397"/>
      <c r="AD15" s="2397"/>
      <c r="AE15" s="2397"/>
      <c r="AF15" s="2397"/>
      <c r="AG15" s="2397"/>
    </row>
    <row r="16" s="2308" customFormat="1" ht="13.5" customHeight="1" spans="1:33">
      <c r="A16" s="2342" t="s">
        <v>3523</v>
      </c>
      <c r="B16" s="2343" t="s">
        <v>3524</v>
      </c>
      <c r="C16" s="2344">
        <f>SUM(C11:C15)</f>
        <v>0</v>
      </c>
      <c r="D16" s="2345"/>
      <c r="E16" s="1763"/>
      <c r="F16" s="2347"/>
      <c r="G16" s="2338"/>
      <c r="H16" s="2341"/>
      <c r="I16" s="2341"/>
      <c r="J16" s="2341"/>
      <c r="K16" s="2396"/>
      <c r="L16" s="2397"/>
      <c r="M16" s="2397"/>
      <c r="N16" s="2397"/>
      <c r="O16" s="2397"/>
      <c r="P16" s="2397"/>
      <c r="Q16" s="2397"/>
      <c r="R16" s="2397"/>
      <c r="S16" s="2397"/>
      <c r="T16" s="2397"/>
      <c r="U16" s="2397"/>
      <c r="V16" s="2397"/>
      <c r="W16" s="2397"/>
      <c r="X16" s="2397"/>
      <c r="Y16" s="2397"/>
      <c r="Z16" s="2397"/>
      <c r="AA16" s="2397"/>
      <c r="AB16" s="2397"/>
      <c r="AC16" s="2397"/>
      <c r="AD16" s="2397"/>
      <c r="AE16" s="2397"/>
      <c r="AF16" s="2397"/>
      <c r="AG16" s="2397"/>
    </row>
    <row r="17" s="2308" customFormat="1" ht="13.5" customHeight="1" spans="1:33">
      <c r="A17" s="2342" t="s">
        <v>3525</v>
      </c>
      <c r="B17" s="2343" t="s">
        <v>3526</v>
      </c>
      <c r="C17" s="1763">
        <f>ROUND(D17*E17,0)</f>
        <v>0</v>
      </c>
      <c r="D17" s="2345">
        <f>IF(C1="仅计算典型户型",'数据-取费表'!E5,'数据-取费表'!B5)</f>
        <v>0</v>
      </c>
      <c r="E17" s="1763">
        <f>'数据-取费表'!E16</f>
        <v>0</v>
      </c>
      <c r="F17" s="2349"/>
      <c r="G17" s="2330" t="s">
        <v>3527</v>
      </c>
      <c r="H17" s="2351"/>
      <c r="I17" s="2351"/>
      <c r="J17" s="2351"/>
      <c r="K17" s="2398"/>
      <c r="L17" s="2397"/>
      <c r="M17" s="2397"/>
      <c r="N17" s="2397"/>
      <c r="O17" s="2397"/>
      <c r="P17" s="2397"/>
      <c r="Q17" s="2397"/>
      <c r="R17" s="2397"/>
      <c r="S17" s="2397"/>
      <c r="T17" s="2397"/>
      <c r="U17" s="2397"/>
      <c r="V17" s="2397"/>
      <c r="W17" s="2397"/>
      <c r="X17" s="2397"/>
      <c r="Y17" s="2397"/>
      <c r="Z17" s="2397"/>
      <c r="AA17" s="2397"/>
      <c r="AB17" s="2397"/>
      <c r="AC17" s="2397"/>
      <c r="AD17" s="2397"/>
      <c r="AE17" s="2397"/>
      <c r="AF17" s="2397"/>
      <c r="AG17" s="2397"/>
    </row>
    <row r="18" s="2307" customFormat="1" ht="13.5" customHeight="1" spans="1:33">
      <c r="A18" s="2342" t="s">
        <v>3528</v>
      </c>
      <c r="B18" s="2343" t="s">
        <v>3529</v>
      </c>
      <c r="C18" s="1763">
        <f>C19+C20-'数据-取费表'!E13</f>
        <v>-18987</v>
      </c>
      <c r="D18" s="2345"/>
      <c r="E18" s="1763"/>
      <c r="F18" s="2347"/>
      <c r="G18" s="2330" t="s">
        <v>3530</v>
      </c>
      <c r="H18" s="2351"/>
      <c r="I18" s="2351"/>
      <c r="J18" s="2351"/>
      <c r="K18" s="2398"/>
      <c r="L18" s="2397"/>
      <c r="M18" s="2397"/>
      <c r="N18" s="2397"/>
      <c r="O18" s="2397"/>
      <c r="P18" s="2397"/>
      <c r="Q18" s="2397"/>
      <c r="R18" s="2397"/>
      <c r="S18" s="2397"/>
      <c r="T18" s="2397"/>
      <c r="U18" s="2397"/>
      <c r="V18" s="2397"/>
      <c r="W18" s="2397"/>
      <c r="X18" s="2397"/>
      <c r="Y18" s="2397"/>
      <c r="Z18" s="2397"/>
      <c r="AA18" s="2397"/>
      <c r="AB18" s="2397"/>
      <c r="AC18" s="2397"/>
      <c r="AD18" s="2397"/>
      <c r="AE18" s="2397"/>
      <c r="AF18" s="2397"/>
      <c r="AG18" s="2397"/>
    </row>
    <row r="19" s="2307" customFormat="1" ht="13.5" customHeight="1" spans="1:33">
      <c r="A19" s="2342" t="s">
        <v>3509</v>
      </c>
      <c r="B19" s="2343" t="s">
        <v>3531</v>
      </c>
      <c r="C19" s="1763">
        <f>ROUND(D19*E19,0)</f>
        <v>0</v>
      </c>
      <c r="D19" s="2345">
        <f>IF('数据-取费表'!B10="住宅",IF(C1="仅计算典型户型",'数据-取费表'!E5,'数据-取费表'!B5),0)</f>
        <v>0</v>
      </c>
      <c r="E19" s="1763">
        <f>'数据-取费表'!E11</f>
        <v>160</v>
      </c>
      <c r="F19" s="2347"/>
      <c r="G19" s="2352"/>
      <c r="H19" s="2353"/>
      <c r="I19" s="2353"/>
      <c r="J19" s="2353"/>
      <c r="K19" s="2399"/>
      <c r="L19" s="2397"/>
      <c r="M19" s="2397"/>
      <c r="N19" s="2397"/>
      <c r="O19" s="2397"/>
      <c r="P19" s="2397"/>
      <c r="Q19" s="2397"/>
      <c r="R19" s="2397"/>
      <c r="S19" s="2397"/>
      <c r="T19" s="2397"/>
      <c r="U19" s="2397"/>
      <c r="V19" s="2397"/>
      <c r="W19" s="2397"/>
      <c r="X19" s="2397"/>
      <c r="Y19" s="2397"/>
      <c r="Z19" s="2397"/>
      <c r="AA19" s="2397"/>
      <c r="AB19" s="2397"/>
      <c r="AC19" s="2397"/>
      <c r="AD19" s="2397"/>
      <c r="AE19" s="2397"/>
      <c r="AF19" s="2397"/>
      <c r="AG19" s="2397"/>
    </row>
    <row r="20" s="2307" customFormat="1" ht="13.5" customHeight="1" spans="1:33">
      <c r="A20" s="2342" t="s">
        <v>3511</v>
      </c>
      <c r="B20" s="2343" t="s">
        <v>3532</v>
      </c>
      <c r="C20" s="1763">
        <f>ROUND(D20*E20,0)</f>
        <v>0</v>
      </c>
      <c r="D20" s="2345">
        <f>IF('数据-取费表'!B10&lt;&gt;"住宅",IF(C1="仅计算典型户型",'数据-取费表'!E5,'数据-取费表'!B5),0)</f>
        <v>0</v>
      </c>
      <c r="E20" s="1763">
        <f>'数据-取费表'!E12</f>
        <v>200</v>
      </c>
      <c r="F20" s="2347"/>
      <c r="G20" s="2352"/>
      <c r="H20" s="2353"/>
      <c r="I20" s="2353"/>
      <c r="J20" s="2353"/>
      <c r="K20" s="2399"/>
      <c r="L20" s="2397"/>
      <c r="M20" s="2397"/>
      <c r="N20" s="2397"/>
      <c r="O20" s="2397"/>
      <c r="P20" s="2397"/>
      <c r="Q20" s="2397"/>
      <c r="R20" s="2397"/>
      <c r="S20" s="2397"/>
      <c r="T20" s="2397"/>
      <c r="U20" s="2397"/>
      <c r="V20" s="2397"/>
      <c r="W20" s="2397"/>
      <c r="X20" s="2397"/>
      <c r="Y20" s="2397"/>
      <c r="Z20" s="2397"/>
      <c r="AA20" s="2397"/>
      <c r="AB20" s="2397"/>
      <c r="AC20" s="2397"/>
      <c r="AD20" s="2397"/>
      <c r="AE20" s="2397"/>
      <c r="AF20" s="2397"/>
      <c r="AG20" s="2397"/>
    </row>
    <row r="21" s="2307" customFormat="1" ht="13.5" customHeight="1" spans="1:33">
      <c r="A21" s="2329" t="s">
        <v>3500</v>
      </c>
      <c r="B21" s="2354" t="s">
        <v>3533</v>
      </c>
      <c r="C21" s="2355">
        <f>C16+C17+C18</f>
        <v>-18987</v>
      </c>
      <c r="D21" s="2356"/>
      <c r="E21" s="2357"/>
      <c r="F21" s="2357"/>
      <c r="G21" s="2330" t="s">
        <v>3534</v>
      </c>
      <c r="H21" s="2351"/>
      <c r="I21" s="2351"/>
      <c r="J21" s="2351"/>
      <c r="K21" s="2398"/>
      <c r="L21" s="2397"/>
      <c r="M21" s="2397"/>
      <c r="N21" s="2397"/>
      <c r="O21" s="2397"/>
      <c r="P21" s="2397"/>
      <c r="Q21" s="2397"/>
      <c r="R21" s="2397"/>
      <c r="S21" s="2397"/>
      <c r="T21" s="2397"/>
      <c r="U21" s="2397"/>
      <c r="V21" s="2397"/>
      <c r="W21" s="2397"/>
      <c r="X21" s="2397"/>
      <c r="Y21" s="2397"/>
      <c r="Z21" s="2397"/>
      <c r="AA21" s="2397"/>
      <c r="AB21" s="2397"/>
      <c r="AC21" s="2397"/>
      <c r="AD21" s="2397"/>
      <c r="AE21" s="2397"/>
      <c r="AF21" s="2397"/>
      <c r="AG21" s="2397"/>
    </row>
    <row r="22" s="2307" customFormat="1" ht="13.5" customHeight="1" spans="1:14">
      <c r="A22" s="2329" t="s">
        <v>3501</v>
      </c>
      <c r="B22" s="2354" t="s">
        <v>3535</v>
      </c>
      <c r="C22" s="2355">
        <f>ROUND(C21*F22,0)</f>
        <v>-190</v>
      </c>
      <c r="D22" s="2357"/>
      <c r="E22" s="2357"/>
      <c r="F22" s="2358">
        <f>'数据-取费表'!E25</f>
        <v>0.01</v>
      </c>
      <c r="G22" s="2338" t="s">
        <v>3536</v>
      </c>
      <c r="H22" s="2341"/>
      <c r="I22" s="2341"/>
      <c r="J22" s="2341"/>
      <c r="K22" s="2396"/>
      <c r="L22" s="2309"/>
      <c r="M22" s="2309"/>
      <c r="N22" s="2309"/>
    </row>
    <row r="23" s="2307" customFormat="1" ht="13.5" customHeight="1" spans="1:11">
      <c r="A23" s="2329" t="s">
        <v>3502</v>
      </c>
      <c r="B23" s="2354" t="s">
        <v>3537</v>
      </c>
      <c r="C23" s="2355">
        <f>ROUND(C4*F23*F11,0)</f>
        <v>0</v>
      </c>
      <c r="D23" s="2357"/>
      <c r="E23" s="2357"/>
      <c r="F23" s="2358">
        <f>'数据-取费表'!E26</f>
        <v>0.01</v>
      </c>
      <c r="G23" s="2338" t="s">
        <v>3538</v>
      </c>
      <c r="H23" s="2341"/>
      <c r="I23" s="2341"/>
      <c r="J23" s="2341"/>
      <c r="K23" s="2396"/>
    </row>
    <row r="24" s="2307" customFormat="1" ht="13.5" customHeight="1" spans="1:11">
      <c r="A24" s="2329" t="s">
        <v>3539</v>
      </c>
      <c r="B24" s="2354" t="s">
        <v>3540</v>
      </c>
      <c r="C24" s="2359">
        <f>ROUND(F24/(1+'数据-取费表'!F30),4)</f>
        <v>0.0305</v>
      </c>
      <c r="D24" s="2360" t="s">
        <v>3541</v>
      </c>
      <c r="E24" s="2360"/>
      <c r="F24" s="2358">
        <f>'数据-取费表'!E36+'数据-取费表'!E37</f>
        <v>0.0305</v>
      </c>
      <c r="G24" s="2338" t="s">
        <v>3542</v>
      </c>
      <c r="H24" s="2361"/>
      <c r="I24" s="2361"/>
      <c r="J24" s="2361"/>
      <c r="K24" s="2400"/>
    </row>
    <row r="25" s="2309" customFormat="1" ht="13.5" customHeight="1" spans="1:11">
      <c r="A25" s="2329" t="s">
        <v>3543</v>
      </c>
      <c r="B25" s="2356" t="s">
        <v>3544</v>
      </c>
      <c r="C25" s="2362">
        <f ca="1">C27</f>
        <v>0</v>
      </c>
      <c r="D25" s="2359">
        <f ca="1">C26</f>
        <v>0</v>
      </c>
      <c r="E25" s="2363" t="s">
        <v>3541</v>
      </c>
      <c r="F25" s="2364">
        <f ca="1">'数据-取费表'!E27</f>
        <v>0.0558</v>
      </c>
      <c r="G25" s="2330" t="s">
        <v>3545</v>
      </c>
      <c r="H25" s="2361"/>
      <c r="I25" s="2361"/>
      <c r="J25" s="2361"/>
      <c r="K25" s="2400"/>
    </row>
    <row r="26" s="2310" customFormat="1" ht="13.5" customHeight="1" spans="1:11">
      <c r="A26" s="2342" t="s">
        <v>3523</v>
      </c>
      <c r="B26" s="2365" t="s">
        <v>3546</v>
      </c>
      <c r="C26" s="2366">
        <f ca="1">ROUND(IF('数据-取费表'!B24&lt;=1,(1+C24)*F25*'数据-取费表'!B26,(1+C24)*(POWER((1+F25),'数据-取费表'!B26)-1)),4)</f>
        <v>0</v>
      </c>
      <c r="D26" s="2367"/>
      <c r="E26" s="2368"/>
      <c r="F26" s="2369"/>
      <c r="G26" s="2330"/>
      <c r="H26" s="2351"/>
      <c r="I26" s="2351"/>
      <c r="J26" s="2351"/>
      <c r="K26" s="2398"/>
    </row>
    <row r="27" s="2310" customFormat="1" ht="13.5" customHeight="1" spans="1:11">
      <c r="A27" s="2342" t="s">
        <v>3525</v>
      </c>
      <c r="B27" s="2365" t="s">
        <v>3547</v>
      </c>
      <c r="C27" s="2370">
        <f ca="1">ROUND(IF('数据-取费表'!B24&lt;=1,(C21+C22+C23)*F25*'数据-取费表'!B26/2,(C21+C22+C23)*(POWER((1+F25),'数据-取费表'!B26/2)-1)),0)</f>
        <v>0</v>
      </c>
      <c r="D27" s="2367"/>
      <c r="E27" s="2368"/>
      <c r="F27" s="2369"/>
      <c r="G27" s="2330" t="s">
        <v>3548</v>
      </c>
      <c r="H27" s="2351"/>
      <c r="I27" s="2351"/>
      <c r="J27" s="2351"/>
      <c r="K27" s="2398"/>
    </row>
    <row r="28" s="2311" customFormat="1" ht="13.5" customHeight="1" spans="1:11">
      <c r="A28" s="2329" t="s">
        <v>3549</v>
      </c>
      <c r="B28" s="2371" t="s">
        <v>3550</v>
      </c>
      <c r="C28" s="2372">
        <f>C30</f>
        <v>-1918</v>
      </c>
      <c r="D28" s="2359">
        <f>C29</f>
        <v>0.1031</v>
      </c>
      <c r="E28" s="2363" t="s">
        <v>3541</v>
      </c>
      <c r="F28" s="970">
        <f>'数据-取费表'!E28</f>
        <v>0.1</v>
      </c>
      <c r="G28" s="2373"/>
      <c r="H28" s="2361"/>
      <c r="I28" s="2361"/>
      <c r="J28" s="2361"/>
      <c r="K28" s="2400"/>
    </row>
    <row r="29" s="2312" customFormat="1" ht="13.5" customHeight="1" spans="1:11">
      <c r="A29" s="2342" t="s">
        <v>3523</v>
      </c>
      <c r="B29" s="2374" t="s">
        <v>3551</v>
      </c>
      <c r="C29" s="2367">
        <f>ROUND((1+C24)*F28,4)</f>
        <v>0.1031</v>
      </c>
      <c r="D29" s="2367"/>
      <c r="E29" s="2368"/>
      <c r="F29" s="2375"/>
      <c r="G29" s="2330" t="s">
        <v>3552</v>
      </c>
      <c r="H29" s="2351"/>
      <c r="I29" s="2351"/>
      <c r="J29" s="2351"/>
      <c r="K29" s="2398"/>
    </row>
    <row r="30" s="2312" customFormat="1" ht="13.5" customHeight="1" spans="1:11">
      <c r="A30" s="2342" t="s">
        <v>3525</v>
      </c>
      <c r="B30" s="2374" t="s">
        <v>3553</v>
      </c>
      <c r="C30" s="2376">
        <f>ROUND((C21+C22+C23)*F28,0)</f>
        <v>-1918</v>
      </c>
      <c r="D30" s="2367"/>
      <c r="E30" s="2377"/>
      <c r="F30" s="2375"/>
      <c r="G30" s="2330"/>
      <c r="H30" s="2351"/>
      <c r="I30" s="2351"/>
      <c r="J30" s="2351"/>
      <c r="K30" s="2398"/>
    </row>
    <row r="31" s="2309" customFormat="1" ht="13.5" customHeight="1" spans="1:11">
      <c r="A31" s="2378" t="s">
        <v>3554</v>
      </c>
      <c r="B31" s="2354" t="s">
        <v>3555</v>
      </c>
      <c r="C31" s="2379">
        <f>ROUND(C4*F31/(1+'数据-取费表'!F30),0)</f>
        <v>0</v>
      </c>
      <c r="D31" s="2380"/>
      <c r="E31" s="2381"/>
      <c r="F31" s="2382">
        <f>'数据-取费表'!E29</f>
        <v>0.056</v>
      </c>
      <c r="G31" s="2383" t="s">
        <v>3556</v>
      </c>
      <c r="H31" s="2384"/>
      <c r="I31" s="2384"/>
      <c r="J31" s="2384"/>
      <c r="K31" s="2401"/>
    </row>
    <row r="32" s="2306" customFormat="1" ht="13.5" customHeight="1" spans="1:11">
      <c r="A32" s="2385" t="s">
        <v>3557</v>
      </c>
      <c r="B32" s="2386"/>
      <c r="C32" s="2387">
        <f ca="1">ROUND((C4-C21-C22-C23-C25-C28-C31)/(1+C24+D25+D28),0)</f>
        <v>18609</v>
      </c>
      <c r="D32" s="2386"/>
      <c r="E32" s="2386"/>
      <c r="F32" s="2386"/>
      <c r="G32" s="2388" t="s">
        <v>3558</v>
      </c>
      <c r="H32" s="2386"/>
      <c r="I32" s="2386"/>
      <c r="J32" s="2386"/>
      <c r="K32" s="240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3559</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0</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0</v>
      </c>
      <c r="C3" s="2058" t="s">
        <v>3560</v>
      </c>
      <c r="D3" s="1506"/>
      <c r="E3" s="2059"/>
      <c r="F3" s="2059"/>
      <c r="G3" s="2060"/>
      <c r="H3" s="2064" t="s">
        <v>3561</v>
      </c>
      <c r="I3" s="2061"/>
      <c r="J3" s="2061"/>
      <c r="K3" s="2196"/>
      <c r="L3" s="2061"/>
      <c r="M3" s="2061"/>
    </row>
    <row r="4" ht="18" customHeight="1" spans="1:13">
      <c r="A4" s="2065" t="s">
        <v>3562</v>
      </c>
      <c r="B4" s="2066" t="s">
        <v>3563</v>
      </c>
      <c r="C4" s="2066" t="s">
        <v>3564</v>
      </c>
      <c r="D4" s="2066" t="s">
        <v>3565</v>
      </c>
      <c r="E4" s="2067" t="s">
        <v>3566</v>
      </c>
      <c r="F4" s="2068"/>
      <c r="G4" s="2069"/>
      <c r="H4" s="2065" t="s">
        <v>3562</v>
      </c>
      <c r="I4" s="2066" t="s">
        <v>3563</v>
      </c>
      <c r="J4" s="2066" t="s">
        <v>3564</v>
      </c>
      <c r="K4" s="2066" t="s">
        <v>3565</v>
      </c>
      <c r="L4" s="2067" t="s">
        <v>3566</v>
      </c>
      <c r="M4" s="2068"/>
    </row>
    <row r="5" ht="18" customHeight="1" spans="1:13">
      <c r="A5" s="2070">
        <v>1</v>
      </c>
      <c r="B5" s="2071" t="s">
        <v>3567</v>
      </c>
      <c r="C5" s="2072">
        <f ca="1">C6+C10+C12</f>
        <v>0</v>
      </c>
      <c r="D5" s="2073" t="s">
        <v>3568</v>
      </c>
      <c r="E5" s="1506"/>
      <c r="F5" s="2074"/>
      <c r="G5" s="2069"/>
      <c r="H5" s="2070">
        <v>1</v>
      </c>
      <c r="I5" s="2071" t="s">
        <v>3567</v>
      </c>
      <c r="J5" s="2072">
        <f ca="1">J6+J10+J12</f>
        <v>0</v>
      </c>
      <c r="K5" s="2197" t="s">
        <v>3569</v>
      </c>
      <c r="L5" s="1506"/>
      <c r="M5" s="2074"/>
    </row>
    <row r="6" ht="18" customHeight="1" spans="1:13">
      <c r="A6" s="2075" t="s">
        <v>3500</v>
      </c>
      <c r="B6" s="2076" t="s">
        <v>3570</v>
      </c>
      <c r="C6" s="2072">
        <f>ROUND(F6*F8*F7*(1-F9),0)</f>
        <v>0</v>
      </c>
      <c r="D6" s="2077" t="s">
        <v>3571</v>
      </c>
      <c r="E6" s="2078" t="s">
        <v>3572</v>
      </c>
      <c r="F6" s="2079">
        <f>'数据-取费表'!B30</f>
        <v>0</v>
      </c>
      <c r="G6" s="2069"/>
      <c r="H6" s="2075" t="s">
        <v>3500</v>
      </c>
      <c r="I6" s="2076" t="s">
        <v>3570</v>
      </c>
      <c r="J6" s="2072">
        <f>ROUND(M6*M8*M7*(1-M9),0)</f>
        <v>0</v>
      </c>
      <c r="K6" s="2077" t="s">
        <v>3571</v>
      </c>
      <c r="L6" s="2078" t="s">
        <v>3572</v>
      </c>
      <c r="M6" s="2079">
        <f>'数据-取费表'!B37</f>
        <v>0</v>
      </c>
    </row>
    <row r="7" ht="18" customHeight="1" spans="1:13">
      <c r="A7" s="2080"/>
      <c r="B7" s="2081"/>
      <c r="C7" s="2082"/>
      <c r="D7" s="2083"/>
      <c r="E7" s="2078" t="s">
        <v>3573</v>
      </c>
      <c r="F7" s="2079">
        <f>IF('数据-取费表'!B42="",IF(D1="仅计算典型户型",'数据-取费表'!E5,'数据-取费表'!B5),'数据-取费表'!B42)</f>
        <v>118.67</v>
      </c>
      <c r="G7" s="2069"/>
      <c r="H7" s="2084"/>
      <c r="I7" s="2081"/>
      <c r="J7" s="2082"/>
      <c r="K7" s="2083"/>
      <c r="L7" s="2078" t="s">
        <v>3573</v>
      </c>
      <c r="M7" s="2079">
        <f>IF('数据-取费表'!B42="",IF(D1="仅计算典型户型",'数据-取费表'!E5,'数据-取费表'!B5),'数据-取费表'!B42)</f>
        <v>118.67</v>
      </c>
    </row>
    <row r="8" ht="18" customHeight="1" spans="1:13">
      <c r="A8" s="2080"/>
      <c r="B8" s="2081"/>
      <c r="C8" s="2082"/>
      <c r="D8" s="2083"/>
      <c r="E8" s="2078" t="s">
        <v>3574</v>
      </c>
      <c r="F8" s="2079">
        <f>'数据-取费表'!B43</f>
        <v>0</v>
      </c>
      <c r="G8" s="2069"/>
      <c r="H8" s="2084"/>
      <c r="I8" s="2081"/>
      <c r="J8" s="2082"/>
      <c r="K8" s="2083"/>
      <c r="L8" s="2078" t="s">
        <v>3575</v>
      </c>
      <c r="M8" s="2079">
        <f>'数据-取费表'!B43</f>
        <v>0</v>
      </c>
    </row>
    <row r="9" ht="18" customHeight="1" spans="1:13">
      <c r="A9" s="2080"/>
      <c r="B9" s="2081"/>
      <c r="C9" s="2082"/>
      <c r="D9" s="2085"/>
      <c r="E9" s="2078" t="s">
        <v>3576</v>
      </c>
      <c r="F9" s="2086">
        <f>'数据-取费表'!B33</f>
        <v>0</v>
      </c>
      <c r="G9" s="2069"/>
      <c r="H9" s="2084"/>
      <c r="I9" s="2081"/>
      <c r="J9" s="2198"/>
      <c r="K9" s="2199"/>
      <c r="L9" s="2090" t="s">
        <v>3576</v>
      </c>
      <c r="M9" s="2086">
        <f>'数据-取费表'!B39</f>
        <v>0</v>
      </c>
    </row>
    <row r="10" ht="18" customHeight="1" spans="1:13">
      <c r="A10" s="2075" t="s">
        <v>3501</v>
      </c>
      <c r="B10" s="2087" t="s">
        <v>3577</v>
      </c>
      <c r="C10" s="2088">
        <f ca="1">ROUND(IF(F10="押一",C6/12*F11,IF(F10="押二",C6/12*2*F11,IF(F10="押三",C6/12*3*F11,C11*F11))),0)</f>
        <v>0</v>
      </c>
      <c r="D10" s="2089" t="s">
        <v>3578</v>
      </c>
      <c r="E10" s="2090" t="s">
        <v>3579</v>
      </c>
      <c r="F10" s="2091" t="s">
        <v>3580</v>
      </c>
      <c r="G10" s="2069"/>
      <c r="H10" s="2075" t="s">
        <v>3501</v>
      </c>
      <c r="I10" s="2087" t="s">
        <v>3577</v>
      </c>
      <c r="J10" s="2088">
        <f ca="1">ROUND(IF(M10="押一",J6/12*M11,IF(M10="押二",J6/12*2*M11,IF(M10="押三",J6/12*3*M11,J11*M11))),0)</f>
        <v>0</v>
      </c>
      <c r="K10" s="2077" t="s">
        <v>3578</v>
      </c>
      <c r="L10" s="2090" t="s">
        <v>3579</v>
      </c>
      <c r="M10" s="2091"/>
    </row>
    <row r="11" s="2043" customFormat="1" ht="18" customHeight="1" spans="1:37">
      <c r="A11" s="2092"/>
      <c r="B11" s="2093" t="s">
        <v>3581</v>
      </c>
      <c r="C11" s="2094"/>
      <c r="D11" s="2083"/>
      <c r="E11" s="2090" t="s">
        <v>3582</v>
      </c>
      <c r="F11" s="2095">
        <f ca="1">'数据-取费表'!B31</f>
        <v>0.0225</v>
      </c>
      <c r="G11" s="2096"/>
      <c r="H11" s="2097"/>
      <c r="I11" s="2093" t="s">
        <v>3583</v>
      </c>
      <c r="J11" s="2094"/>
      <c r="K11" s="2083"/>
      <c r="L11" s="2090" t="s">
        <v>3582</v>
      </c>
      <c r="M11" s="2095">
        <f ca="1">'数据-取费表'!B31</f>
        <v>0.0225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3502</v>
      </c>
      <c r="B12" s="2099" t="s">
        <v>3584</v>
      </c>
      <c r="C12" s="2100"/>
      <c r="D12" s="2101"/>
      <c r="E12" s="2102"/>
      <c r="F12" s="2103"/>
      <c r="G12" s="2069"/>
      <c r="H12" s="2098" t="s">
        <v>3502</v>
      </c>
      <c r="I12" s="2099" t="s">
        <v>3584</v>
      </c>
      <c r="J12" s="2100"/>
      <c r="K12" s="2181"/>
      <c r="L12" s="2102"/>
      <c r="M12" s="2201"/>
    </row>
    <row r="13" s="2043" customFormat="1" ht="18" customHeight="1" spans="1:37">
      <c r="A13" s="2104">
        <v>2</v>
      </c>
      <c r="B13" s="2105" t="s">
        <v>3585</v>
      </c>
      <c r="C13" s="2106">
        <f ca="1">ROUND(C29*F13,0)</f>
        <v>276906</v>
      </c>
      <c r="D13" s="2107" t="s">
        <v>3586</v>
      </c>
      <c r="E13" s="2107" t="s">
        <v>3587</v>
      </c>
      <c r="F13" s="2108">
        <f>'数据-取费表'!E20</f>
        <v>0.88</v>
      </c>
      <c r="G13" s="2096"/>
      <c r="H13" s="2104">
        <v>2</v>
      </c>
      <c r="I13" s="2105" t="s">
        <v>3585</v>
      </c>
      <c r="J13" s="2198">
        <f ca="1">ROUND(J14*J15,0)</f>
        <v>0</v>
      </c>
      <c r="K13" s="2128" t="s">
        <v>3586</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3523</v>
      </c>
      <c r="B14" s="2078" t="s">
        <v>3588</v>
      </c>
      <c r="C14" s="2110">
        <f>IF(D1="仅计算典型户型",'数据-取费表'!F18,'数据-取费表'!E18)</f>
        <v>213606</v>
      </c>
      <c r="D14" s="2111" t="s">
        <v>3589</v>
      </c>
      <c r="E14" s="2112"/>
      <c r="F14" s="2113"/>
      <c r="G14" s="2096"/>
      <c r="H14" s="2109" t="s">
        <v>3500</v>
      </c>
      <c r="I14" s="2078" t="s">
        <v>3590</v>
      </c>
      <c r="J14" s="1763">
        <f ca="1">C29</f>
        <v>314666</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3525</v>
      </c>
      <c r="B15" s="2078" t="s">
        <v>3512</v>
      </c>
      <c r="C15" s="1763">
        <f>ROUND(C14*F15,0)</f>
        <v>6408</v>
      </c>
      <c r="D15" s="2114" t="s">
        <v>3591</v>
      </c>
      <c r="E15" s="2114" t="s">
        <v>3592</v>
      </c>
      <c r="F15" s="2115">
        <f>'数据-取费表'!E21</f>
        <v>0.03</v>
      </c>
      <c r="G15" s="2069"/>
      <c r="H15" s="2116" t="s">
        <v>3501</v>
      </c>
      <c r="I15" s="2102" t="s">
        <v>3587</v>
      </c>
      <c r="J15" s="2206">
        <f>'数据-取费表'!B40</f>
        <v>0</v>
      </c>
      <c r="K15" s="2207"/>
      <c r="L15" s="2208"/>
      <c r="M15" s="2209"/>
    </row>
    <row r="16" s="2043" customFormat="1" ht="18" customHeight="1" spans="1:37">
      <c r="A16" s="2109" t="s">
        <v>3528</v>
      </c>
      <c r="B16" s="2078" t="s">
        <v>3515</v>
      </c>
      <c r="C16" s="1763">
        <f>ROUND(C14*F16,0)</f>
        <v>10680</v>
      </c>
      <c r="D16" s="2078" t="s">
        <v>3591</v>
      </c>
      <c r="E16" s="2078" t="s">
        <v>3592</v>
      </c>
      <c r="F16" s="2117">
        <f>IF('数据-取费表'!B10="住宅",'数据-取费表'!E22,0)</f>
        <v>0.05</v>
      </c>
      <c r="G16" s="2096"/>
      <c r="H16" s="2104" t="s">
        <v>740</v>
      </c>
      <c r="I16" s="2105" t="s">
        <v>3593</v>
      </c>
      <c r="J16" s="2106">
        <f ca="1">ROUND(J17+J22+J23+J24,0)</f>
        <v>0</v>
      </c>
      <c r="K16" s="2128" t="s">
        <v>3594</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3595</v>
      </c>
      <c r="B17" s="2078" t="s">
        <v>3596</v>
      </c>
      <c r="C17" s="1763">
        <f>ROUND(F17*IF(D1="仅计算典型户型",'数据-取费表'!E5,'数据-取费表'!B5),0)</f>
        <v>23734</v>
      </c>
      <c r="D17" s="2078" t="s">
        <v>3597</v>
      </c>
      <c r="E17" s="2078" t="s">
        <v>3598</v>
      </c>
      <c r="F17" s="2118">
        <f>'数据-取费表'!E23</f>
        <v>200</v>
      </c>
      <c r="G17" s="2096"/>
      <c r="H17" s="2109" t="s">
        <v>3500</v>
      </c>
      <c r="I17" s="2078" t="s">
        <v>3599</v>
      </c>
      <c r="J17" s="2132">
        <f ca="1">ROUND(IF(AND(项目基本情况!B7="自然人",项目基本情况!B6="北京市"),J6*M17/(1+'数据-取费表'!F30),J18+J19+J20),0)</f>
        <v>0</v>
      </c>
      <c r="K17" s="2111" t="s">
        <v>3600</v>
      </c>
      <c r="L17" s="2133" t="s">
        <v>3601</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3602</v>
      </c>
      <c r="B18" s="2078" t="s">
        <v>3521</v>
      </c>
      <c r="C18" s="1763">
        <f>ROUND(C14*F18,0)</f>
        <v>3204</v>
      </c>
      <c r="D18" s="2078" t="s">
        <v>3591</v>
      </c>
      <c r="E18" s="2078" t="s">
        <v>3592</v>
      </c>
      <c r="F18" s="2117">
        <f>'数据-取费表'!E24</f>
        <v>0.015</v>
      </c>
      <c r="G18" s="2069"/>
      <c r="H18" s="2109" t="s">
        <v>3523</v>
      </c>
      <c r="I18" s="2078" t="s">
        <v>3603</v>
      </c>
      <c r="J18" s="1763" t="str">
        <f>IF(项目基本情况!B7="自然人","——",ROUND(J6*M18/(1+'数据-取费表'!F30),0))</f>
        <v>——</v>
      </c>
      <c r="K18" s="2133" t="s">
        <v>3604</v>
      </c>
      <c r="L18" s="2078" t="s">
        <v>3592</v>
      </c>
      <c r="M18" s="2117">
        <f>'数据-取费表'!E29</f>
        <v>0.056</v>
      </c>
    </row>
    <row r="19" s="2043" customFormat="1" ht="18" customHeight="1" spans="1:37">
      <c r="A19" s="2109" t="s">
        <v>3500</v>
      </c>
      <c r="B19" s="2078" t="s">
        <v>3605</v>
      </c>
      <c r="C19" s="1763">
        <f>SUM(C14:C18)</f>
        <v>257632</v>
      </c>
      <c r="D19" s="2119" t="s">
        <v>3606</v>
      </c>
      <c r="E19" s="1765"/>
      <c r="F19" s="2118"/>
      <c r="G19" s="2096"/>
      <c r="H19" s="2109" t="s">
        <v>3525</v>
      </c>
      <c r="I19" s="2078" t="s">
        <v>3607</v>
      </c>
      <c r="J19" s="1763" t="str">
        <f ca="1">IF(项目基本情况!B7="自然人","——",IF(K19="按租金收入计税",ROUND(J6*M19/(1+'数据-取费表'!F30),0),ROUND(C29*M19*0.7,0)))</f>
        <v>——</v>
      </c>
      <c r="K19" s="2136"/>
      <c r="L19" s="2078" t="s">
        <v>3592</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3501</v>
      </c>
      <c r="B20" s="2078" t="s">
        <v>3608</v>
      </c>
      <c r="C20" s="1763">
        <f>ROUND(C19*F20,0)</f>
        <v>2576</v>
      </c>
      <c r="D20" s="2120" t="s">
        <v>3609</v>
      </c>
      <c r="E20" s="2078" t="s">
        <v>3592</v>
      </c>
      <c r="F20" s="2117">
        <f>'数据-取费表'!E25</f>
        <v>0.01</v>
      </c>
      <c r="G20" s="2096"/>
      <c r="H20" s="2109" t="s">
        <v>3528</v>
      </c>
      <c r="I20" s="2077" t="s">
        <v>3610</v>
      </c>
      <c r="J20" s="2138" t="str">
        <f>IF(项目基本情况!B7="自然人","——",ROUND(M20*M21,0))</f>
        <v>——</v>
      </c>
      <c r="K20" s="2139" t="s">
        <v>3611</v>
      </c>
      <c r="L20" s="2078" t="s">
        <v>3612</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3502</v>
      </c>
      <c r="B21" s="2078" t="s">
        <v>3613</v>
      </c>
      <c r="C21" s="1834">
        <f>F21</f>
        <v>0.01</v>
      </c>
      <c r="D21" s="2120" t="s">
        <v>3614</v>
      </c>
      <c r="E21" s="2078" t="s">
        <v>3615</v>
      </c>
      <c r="F21" s="2117">
        <f>'数据-取费表'!E26</f>
        <v>0.01</v>
      </c>
      <c r="G21" s="2069"/>
      <c r="H21" s="2092"/>
      <c r="I21" s="2085"/>
      <c r="J21" s="1835"/>
      <c r="K21" s="447"/>
      <c r="L21" s="2078" t="s">
        <v>3616</v>
      </c>
      <c r="M21" s="2079">
        <f>IF(D1="仅计算典型户型",'数据-取费表'!E6,'数据-取费表'!B6)</f>
        <v>0</v>
      </c>
    </row>
    <row r="22" ht="18" customHeight="1" spans="1:13">
      <c r="A22" s="2109" t="s">
        <v>3539</v>
      </c>
      <c r="B22" s="2078" t="s">
        <v>3617</v>
      </c>
      <c r="C22" s="1763"/>
      <c r="D22" s="2119" t="str">
        <f>IF(F23&lt;=1,"单利计息。","复利计息。")&amp;"建造成本、管理费用、销售费用产生的利息。"</f>
        <v>单利计息。建造成本、管理费用、销售费用产生的利息。</v>
      </c>
      <c r="E22" s="1765"/>
      <c r="F22" s="2118"/>
      <c r="G22" s="2069"/>
      <c r="H22" s="2109" t="s">
        <v>3501</v>
      </c>
      <c r="I22" s="2078" t="s">
        <v>3618</v>
      </c>
      <c r="J22" s="1763">
        <f ca="1">ROUND(J14*M22,0)</f>
        <v>0</v>
      </c>
      <c r="K22" s="2133" t="s">
        <v>3619</v>
      </c>
      <c r="L22" s="2078" t="s">
        <v>3592</v>
      </c>
      <c r="M22" s="2142">
        <f>'数据-取费表'!B45</f>
        <v>0</v>
      </c>
    </row>
    <row r="23" ht="18" customHeight="1" spans="1:13">
      <c r="A23" s="2109" t="s">
        <v>3523</v>
      </c>
      <c r="B23" s="2078" t="s">
        <v>3620</v>
      </c>
      <c r="C23" s="1763">
        <f ca="1">IF('数据-取费表'!B24&lt;=1,ROUND(C19*F24*F23/2,0)+ROUND(C20*F24*F23/2,0),ROUND(C19*(POWER((1+F24),F23/2)-1),0)+ROUND(C20*(POWER((1+F24),F23/2)-1),0))</f>
        <v>7260</v>
      </c>
      <c r="D23" s="2121" t="str">
        <f>IF(F23&lt;=1,"(建造成本+管理费用)×利率×(建设周期÷2)","(建造成本+管理费用)×((1+利率)^(建设周期÷2)-1)")</f>
        <v>(建造成本+管理费用)×利率×(建设周期÷2)</v>
      </c>
      <c r="E23" s="2078" t="s">
        <v>3621</v>
      </c>
      <c r="F23" s="2122">
        <f>'数据-取费表'!B22</f>
        <v>1</v>
      </c>
      <c r="G23" s="2069"/>
      <c r="H23" s="2109" t="s">
        <v>3502</v>
      </c>
      <c r="I23" s="2078" t="s">
        <v>3622</v>
      </c>
      <c r="J23" s="1763">
        <f ca="1">ROUND(J13*M23,0)</f>
        <v>0</v>
      </c>
      <c r="K23" s="2133" t="s">
        <v>3623</v>
      </c>
      <c r="L23" s="2078" t="s">
        <v>3592</v>
      </c>
      <c r="M23" s="2143">
        <f>'数据-取费表'!B46</f>
        <v>0</v>
      </c>
    </row>
    <row r="24" s="2043" customFormat="1" ht="18" customHeight="1" spans="1:37">
      <c r="A24" s="2109" t="s">
        <v>3525</v>
      </c>
      <c r="B24" s="2078" t="s">
        <v>3624</v>
      </c>
      <c r="C24" s="1763">
        <f ca="1">ROUND(IF('数据-取费表'!B24&lt;=1,F21*F24*F23/2,F21*(POWER((1+F24),F23/2)-1)),4)</f>
        <v>0.0003</v>
      </c>
      <c r="D24" s="2121" t="str">
        <f>IF(F23&lt;=1,"销售费用×利率×(建设周期÷2)","销售费用×((1+利率)^(建设周期÷2)-1)")</f>
        <v>销售费用×利率×(建设周期÷2)</v>
      </c>
      <c r="E24" s="2078" t="s">
        <v>3625</v>
      </c>
      <c r="F24" s="2123">
        <f ca="1">'数据-取费表'!E27</f>
        <v>0.0558</v>
      </c>
      <c r="G24" s="2096"/>
      <c r="H24" s="2116" t="s">
        <v>3539</v>
      </c>
      <c r="I24" s="2102" t="s">
        <v>3608</v>
      </c>
      <c r="J24" s="2124">
        <f ca="1">ROUND(J5*M24,0)</f>
        <v>0</v>
      </c>
      <c r="K24" s="2125" t="s">
        <v>3626</v>
      </c>
      <c r="L24" s="2102" t="s">
        <v>3592</v>
      </c>
      <c r="M24" s="2103">
        <f>'数据-取费表'!B47</f>
        <v>0</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3543</v>
      </c>
      <c r="B25" s="2078" t="s">
        <v>3627</v>
      </c>
      <c r="C25" s="1763"/>
      <c r="D25" s="2119" t="s">
        <v>3628</v>
      </c>
      <c r="E25" s="1765"/>
      <c r="F25" s="2118"/>
      <c r="G25" s="2096"/>
      <c r="H25" s="2104" t="s">
        <v>743</v>
      </c>
      <c r="I25" s="2144" t="s">
        <v>3629</v>
      </c>
      <c r="J25" s="2106">
        <f ca="1">J5-J16</f>
        <v>0</v>
      </c>
      <c r="K25" s="2145" t="s">
        <v>3630</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3523</v>
      </c>
      <c r="B26" s="2078" t="s">
        <v>3631</v>
      </c>
      <c r="C26" s="1763">
        <f>ROUND((C19+C20)*F26,0)</f>
        <v>26021</v>
      </c>
      <c r="D26" s="2120" t="s">
        <v>3632</v>
      </c>
      <c r="E26" s="2090" t="s">
        <v>3633</v>
      </c>
      <c r="F26" s="2086">
        <f>'数据-取费表'!E28</f>
        <v>0.1</v>
      </c>
      <c r="G26" s="2044"/>
      <c r="H26" s="2070" t="s">
        <v>769</v>
      </c>
      <c r="I26" s="2071" t="s">
        <v>3634</v>
      </c>
      <c r="J26" s="2072">
        <f ca="1">IF(J5&lt;&gt;0,ROUND(J25*(1-((1+M28)/(1+M26))^M27)/(M26-M28),0),0)</f>
        <v>0</v>
      </c>
      <c r="K26" s="2139" t="s">
        <v>3635</v>
      </c>
      <c r="L26" s="2078" t="s">
        <v>3636</v>
      </c>
      <c r="M26" s="2086">
        <f>'数据-取费表'!B16</f>
        <v>0.05</v>
      </c>
    </row>
    <row r="27" ht="18" customHeight="1" spans="1:13">
      <c r="A27" s="2109" t="s">
        <v>3525</v>
      </c>
      <c r="B27" s="2078" t="s">
        <v>3637</v>
      </c>
      <c r="C27" s="1763">
        <f>ROUND(F21*F26,4)</f>
        <v>0.001</v>
      </c>
      <c r="D27" s="2120" t="s">
        <v>3638</v>
      </c>
      <c r="E27" s="2114"/>
      <c r="F27" s="2115"/>
      <c r="G27" s="2044"/>
      <c r="H27" s="2084"/>
      <c r="I27" s="2081"/>
      <c r="J27" s="2082"/>
      <c r="K27" s="2149" t="s">
        <v>3639</v>
      </c>
      <c r="L27" s="2078" t="s">
        <v>3640</v>
      </c>
      <c r="M27" s="2151" t="str">
        <f>'数据-取费表'!B41</f>
        <v>——</v>
      </c>
    </row>
    <row r="28" ht="18" customHeight="1" spans="1:13">
      <c r="A28" s="2109" t="s">
        <v>3549</v>
      </c>
      <c r="B28" s="2078" t="s">
        <v>3641</v>
      </c>
      <c r="C28" s="1763">
        <f>ROUND(F28/(1+'数据-取费表'!F30),4)</f>
        <v>0.056</v>
      </c>
      <c r="D28" s="2120" t="s">
        <v>3642</v>
      </c>
      <c r="E28" s="2078" t="s">
        <v>3592</v>
      </c>
      <c r="F28" s="2117">
        <f>'数据-取费表'!E29</f>
        <v>0.056</v>
      </c>
      <c r="G28" s="2044"/>
      <c r="H28" s="2097"/>
      <c r="I28" s="2153"/>
      <c r="J28" s="2106"/>
      <c r="K28" s="447"/>
      <c r="L28" s="2078" t="s">
        <v>3643</v>
      </c>
      <c r="M28" s="2086">
        <f>'数据-取费表'!B38</f>
        <v>0</v>
      </c>
    </row>
    <row r="29" ht="18" customHeight="1" spans="1:13">
      <c r="A29" s="2116" t="s">
        <v>3554</v>
      </c>
      <c r="B29" s="2102" t="s">
        <v>3644</v>
      </c>
      <c r="C29" s="2124">
        <f ca="1">ROUND((C19+C20+C23+C26)/(1-F21-C24-C27-C28),0)</f>
        <v>314666</v>
      </c>
      <c r="D29" s="2125"/>
      <c r="E29" s="2102"/>
      <c r="F29" s="2126"/>
      <c r="G29" s="2044"/>
      <c r="H29" s="2127" t="s">
        <v>3645</v>
      </c>
      <c r="I29" s="2154" t="s">
        <v>3646</v>
      </c>
      <c r="J29" s="2155">
        <f ca="1">ROUND(J26/(1+F40)^F41,0)</f>
        <v>0</v>
      </c>
      <c r="K29" s="2156" t="s">
        <v>3647</v>
      </c>
      <c r="L29" s="2157"/>
      <c r="M29" s="2158">
        <f>IF(D1="仅计算典型户型",'数据-取费表'!E5,'数据-取费表'!B5)</f>
        <v>118.67</v>
      </c>
    </row>
    <row r="30" ht="18" customHeight="1" spans="1:13">
      <c r="A30" s="2104" t="s">
        <v>740</v>
      </c>
      <c r="B30" s="2105" t="s">
        <v>3593</v>
      </c>
      <c r="C30" s="2106">
        <f ca="1">ROUND(C31+C36+C37+C38,0)</f>
        <v>0</v>
      </c>
      <c r="D30" s="2128" t="s">
        <v>3594</v>
      </c>
      <c r="E30" s="2129"/>
      <c r="F30" s="2130"/>
      <c r="G30" s="2044"/>
      <c r="H30" s="2131"/>
      <c r="I30" s="2210"/>
      <c r="J30" s="2211"/>
      <c r="K30" s="2212"/>
      <c r="L30" s="2213"/>
      <c r="M30" s="2214"/>
    </row>
    <row r="31" ht="18" customHeight="1" spans="1:13">
      <c r="A31" s="2109" t="s">
        <v>3500</v>
      </c>
      <c r="B31" s="2078" t="s">
        <v>3599</v>
      </c>
      <c r="C31" s="2132">
        <f ca="1">ROUND(IF(AND(项目基本情况!B7="自然人",项目基本情况!B6="北京市"),C6*F31/(1+'数据-取费表'!F30),C32+C33+C34),0)</f>
        <v>0</v>
      </c>
      <c r="D31" s="2111" t="s">
        <v>3600</v>
      </c>
      <c r="E31" s="2133" t="s">
        <v>3601</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3523</v>
      </c>
      <c r="B32" s="2078" t="s">
        <v>3603</v>
      </c>
      <c r="C32" s="1763" t="str">
        <f>IF(项目基本情况!B7="自然人","——",ROUND(C6*F32/(1+'数据-取费表'!F30),0))</f>
        <v>——</v>
      </c>
      <c r="D32" s="2133" t="s">
        <v>3604</v>
      </c>
      <c r="E32" s="2078" t="s">
        <v>3592</v>
      </c>
      <c r="F32" s="2123">
        <f>'数据-取费表'!E29</f>
        <v>0.056</v>
      </c>
      <c r="G32" s="2044"/>
      <c r="H32" s="2135"/>
      <c r="I32" s="2215"/>
      <c r="J32" s="2216"/>
      <c r="K32" s="2217"/>
      <c r="L32" s="2218"/>
      <c r="M32" s="2219"/>
    </row>
    <row r="33" ht="18" customHeight="1" spans="1:13">
      <c r="A33" s="2109" t="s">
        <v>3525</v>
      </c>
      <c r="B33" s="2078" t="s">
        <v>3607</v>
      </c>
      <c r="C33" s="1763" t="str">
        <f ca="1">IF(项目基本情况!B7="自然人","——",IF(D33="按租金收入计税",ROUND(C6*F33/(1+'数据-取费表'!F30),0),IF(D33="按房产原值计税",ROUND(C29*F33*0.7,0),'数据-取费表'!B44)))</f>
        <v>——</v>
      </c>
      <c r="D33" s="2136" t="s">
        <v>3648</v>
      </c>
      <c r="E33" s="2078" t="s">
        <v>3592</v>
      </c>
      <c r="F33" s="2117">
        <f>IF(D33="按票据","——",IF(D33="按租金收入计税",'数据-取费表'!E39,'数据-取费表'!E38))</f>
        <v>0.12</v>
      </c>
      <c r="G33" s="2044"/>
      <c r="H33" s="2137"/>
      <c r="I33" s="2220" t="s">
        <v>3649</v>
      </c>
      <c r="J33" s="2221"/>
      <c r="K33" s="2222"/>
      <c r="L33" s="2137"/>
      <c r="M33" s="2137"/>
    </row>
    <row r="34" ht="18" customHeight="1" spans="1:13">
      <c r="A34" s="2075" t="s">
        <v>3528</v>
      </c>
      <c r="B34" s="2077" t="s">
        <v>3610</v>
      </c>
      <c r="C34" s="2138" t="str">
        <f>IF(项目基本情况!B7="自然人","——",ROUND(F34*F35,0))</f>
        <v>——</v>
      </c>
      <c r="D34" s="2139" t="s">
        <v>3611</v>
      </c>
      <c r="E34" s="2078" t="s">
        <v>3612</v>
      </c>
      <c r="F34" s="2122">
        <f>'数据-取费表'!E40</f>
        <v>0</v>
      </c>
      <c r="G34" s="2044"/>
      <c r="H34" s="2131"/>
      <c r="I34" s="1221" t="s">
        <v>3650</v>
      </c>
      <c r="J34" s="2223">
        <f ca="1">ROUND(C13*J35,0)</f>
        <v>17999</v>
      </c>
      <c r="K34" s="2224"/>
      <c r="L34" s="2225"/>
      <c r="M34" s="2225"/>
    </row>
    <row r="35" ht="24.6" customHeight="1" spans="1:13">
      <c r="A35" s="2140"/>
      <c r="B35" s="2085"/>
      <c r="C35" s="1835"/>
      <c r="D35" s="447"/>
      <c r="E35" s="2078" t="s">
        <v>3616</v>
      </c>
      <c r="F35" s="2079">
        <f>IF(D1="仅计算典型户型",'数据-取费表'!E6,'数据-取费表'!B6)</f>
        <v>0</v>
      </c>
      <c r="G35" s="2044" t="s">
        <v>1114</v>
      </c>
      <c r="H35" s="2131"/>
      <c r="I35" s="2226" t="s">
        <v>3651</v>
      </c>
      <c r="J35" s="2227">
        <f>'数据-取费表'!B18</f>
        <v>0.065</v>
      </c>
      <c r="K35" s="2222"/>
      <c r="L35" s="2137"/>
      <c r="M35" s="2137"/>
    </row>
    <row r="36" ht="18" customHeight="1" spans="1:13">
      <c r="A36" s="2141" t="s">
        <v>3501</v>
      </c>
      <c r="B36" s="2078" t="s">
        <v>3618</v>
      </c>
      <c r="C36" s="1763">
        <f ca="1">ROUND(C29*F36,0)</f>
        <v>0</v>
      </c>
      <c r="D36" s="2133" t="s">
        <v>3652</v>
      </c>
      <c r="E36" s="2078" t="s">
        <v>3592</v>
      </c>
      <c r="F36" s="2142">
        <f>'数据-取费表'!B45</f>
        <v>0</v>
      </c>
      <c r="G36" s="2044"/>
      <c r="H36" s="2137"/>
      <c r="I36" s="2228" t="s">
        <v>3653</v>
      </c>
      <c r="J36" s="2229"/>
      <c r="K36" s="2230"/>
      <c r="L36" s="2137"/>
      <c r="M36" s="2137"/>
    </row>
    <row r="37" ht="18" customHeight="1" spans="1:13">
      <c r="A37" s="2109" t="s">
        <v>3502</v>
      </c>
      <c r="B37" s="2078" t="s">
        <v>3622</v>
      </c>
      <c r="C37" s="1763">
        <f ca="1">ROUND(C13*F37,0)</f>
        <v>0</v>
      </c>
      <c r="D37" s="2133" t="s">
        <v>3623</v>
      </c>
      <c r="E37" s="2078" t="s">
        <v>3592</v>
      </c>
      <c r="F37" s="2143">
        <f>'数据-取费表'!B46</f>
        <v>0</v>
      </c>
      <c r="G37" s="2044"/>
      <c r="H37" s="2137"/>
      <c r="I37" s="2231" t="s">
        <v>3654</v>
      </c>
      <c r="J37" s="2232"/>
      <c r="K37" s="2230"/>
      <c r="L37" s="2137"/>
      <c r="M37" s="2137"/>
    </row>
    <row r="38" ht="18" customHeight="1" spans="1:13">
      <c r="A38" s="2116" t="s">
        <v>3539</v>
      </c>
      <c r="B38" s="2102" t="s">
        <v>3608</v>
      </c>
      <c r="C38" s="2124">
        <f ca="1">ROUND(C5*F38,0)</f>
        <v>0</v>
      </c>
      <c r="D38" s="2125" t="s">
        <v>3626</v>
      </c>
      <c r="E38" s="2102" t="s">
        <v>3592</v>
      </c>
      <c r="F38" s="2103">
        <f>'数据-取费表'!B47</f>
        <v>0</v>
      </c>
      <c r="G38" s="2044"/>
      <c r="H38" s="2137"/>
      <c r="I38" s="1221" t="s">
        <v>3655</v>
      </c>
      <c r="J38" s="2233" t="e">
        <f ca="1">ROUND(J34/C39,3)</f>
        <v>#DIV/0!</v>
      </c>
      <c r="K38" s="2234"/>
      <c r="L38" s="2137"/>
      <c r="M38" s="2137"/>
    </row>
    <row r="39" ht="18" customHeight="1" spans="1:13">
      <c r="A39" s="2104" t="s">
        <v>743</v>
      </c>
      <c r="B39" s="2144" t="s">
        <v>3629</v>
      </c>
      <c r="C39" s="2106">
        <f ca="1">C5-C30</f>
        <v>0</v>
      </c>
      <c r="D39" s="2145" t="s">
        <v>3630</v>
      </c>
      <c r="E39" s="2146"/>
      <c r="F39" s="2147"/>
      <c r="G39" s="2044"/>
      <c r="H39" s="2137"/>
      <c r="I39" s="1221" t="s">
        <v>3656</v>
      </c>
      <c r="J39" s="2233" t="e">
        <f ca="1">1-J38</f>
        <v>#DIV/0!</v>
      </c>
      <c r="K39" s="2234"/>
      <c r="L39" s="2137"/>
      <c r="M39" s="2137"/>
    </row>
    <row r="40" s="2044" customFormat="1" ht="18" customHeight="1" spans="1:17">
      <c r="A40" s="2070" t="s">
        <v>769</v>
      </c>
      <c r="B40" s="2071" t="s">
        <v>3657</v>
      </c>
      <c r="C40" s="2072">
        <f ca="1">ROUND(C39*(1-((1+F42)/(1+F40))^F41)/(F40-F42),0)</f>
        <v>0</v>
      </c>
      <c r="D40" s="2139" t="s">
        <v>3635</v>
      </c>
      <c r="E40" s="2078" t="s">
        <v>3636</v>
      </c>
      <c r="F40" s="2086">
        <f>'数据-取费表'!B16</f>
        <v>0.05</v>
      </c>
      <c r="H40" s="2148"/>
      <c r="I40" s="2231" t="s">
        <v>3658</v>
      </c>
      <c r="J40" s="2235"/>
      <c r="K40" s="2234"/>
      <c r="L40" s="2148"/>
      <c r="M40" s="2148"/>
      <c r="Q40" s="2048"/>
    </row>
    <row r="41" s="2044" customFormat="1" ht="18" customHeight="1" spans="1:17">
      <c r="A41" s="2084"/>
      <c r="B41" s="2081"/>
      <c r="C41" s="2082"/>
      <c r="D41" s="2149" t="s">
        <v>3639</v>
      </c>
      <c r="E41" s="2150" t="s">
        <v>3659</v>
      </c>
      <c r="F41" s="2151">
        <f>IF('数据-取费表'!B29="租赁期内按合同租金",'数据-取费表'!B35,IF(E41="收益年期(n)",'数据-取费表'!B34,'数据-取费表'!B13))</f>
        <v>62</v>
      </c>
      <c r="H41" s="2152"/>
      <c r="I41" s="2236" t="s">
        <v>3492</v>
      </c>
      <c r="J41" s="2233" t="e">
        <f ca="1">ROUND(C13/C40,3)</f>
        <v>#DIV/0!</v>
      </c>
      <c r="K41" s="2230"/>
      <c r="L41" s="2152"/>
      <c r="M41" s="2152"/>
      <c r="Q41" s="2048"/>
    </row>
    <row r="42" s="2044" customFormat="1" ht="18" customHeight="1" spans="1:17">
      <c r="A42" s="2097"/>
      <c r="B42" s="2153"/>
      <c r="C42" s="2106"/>
      <c r="D42" s="447"/>
      <c r="E42" s="2078" t="s">
        <v>3643</v>
      </c>
      <c r="F42" s="2086">
        <f>'数据-取费表'!B32</f>
        <v>0</v>
      </c>
      <c r="H42" s="2152"/>
      <c r="I42" s="2236" t="s">
        <v>3493</v>
      </c>
      <c r="J42" s="2237" t="e">
        <f ca="1">1-J41</f>
        <v>#DIV/0!</v>
      </c>
      <c r="K42" s="2230"/>
      <c r="L42" s="2152"/>
      <c r="M42" s="2152"/>
      <c r="Q42" s="2048"/>
    </row>
    <row r="43" s="2044" customFormat="1" ht="18" customHeight="1" spans="1:18">
      <c r="A43" s="2127" t="s">
        <v>3645</v>
      </c>
      <c r="B43" s="2154" t="s">
        <v>3660</v>
      </c>
      <c r="C43" s="2155">
        <f ca="1">ROUND(C40/F43,0)</f>
        <v>0</v>
      </c>
      <c r="D43" s="2156" t="s">
        <v>3661</v>
      </c>
      <c r="E43" s="2157" t="s">
        <v>3662</v>
      </c>
      <c r="F43" s="2158">
        <f>IF(D1="仅计算典型户型",'数据-取费表'!E5,'数据-取费表'!B5)</f>
        <v>118.67</v>
      </c>
      <c r="G43" s="2159"/>
      <c r="H43" s="2152"/>
      <c r="I43" s="2152"/>
      <c r="J43" s="2152"/>
      <c r="K43" s="2230"/>
      <c r="L43" s="2152"/>
      <c r="M43" s="2152"/>
      <c r="O43" s="2238" t="s">
        <v>3663</v>
      </c>
      <c r="P43" s="2239"/>
      <c r="Q43" s="2254"/>
      <c r="R43" s="2239"/>
    </row>
    <row r="44" s="2044" customFormat="1" ht="18" customHeight="1" spans="1:18">
      <c r="A44" s="2160"/>
      <c r="B44" s="2160"/>
      <c r="C44" s="2161"/>
      <c r="D44" s="2160"/>
      <c r="E44" s="2160"/>
      <c r="F44" s="2160"/>
      <c r="G44" s="2159"/>
      <c r="K44" s="2240"/>
      <c r="O44" s="2241" t="s">
        <v>3664</v>
      </c>
      <c r="P44" s="2242" t="s">
        <v>3665</v>
      </c>
      <c r="Q44" s="2291" t="s">
        <v>3666</v>
      </c>
      <c r="R44" s="2292" t="s">
        <v>3667</v>
      </c>
    </row>
    <row r="45" s="2044" customFormat="1" ht="18" customHeight="1" spans="1:18">
      <c r="A45" s="2160"/>
      <c r="B45" s="2160"/>
      <c r="C45" s="2161"/>
      <c r="D45" s="2160"/>
      <c r="E45" s="2160"/>
      <c r="F45" s="2160"/>
      <c r="G45" s="2162"/>
      <c r="K45" s="2240"/>
      <c r="O45" s="2243" t="s">
        <v>3509</v>
      </c>
      <c r="P45" s="2244" t="s">
        <v>3668</v>
      </c>
      <c r="Q45" s="2293">
        <f ca="1">C40+J29</f>
        <v>0</v>
      </c>
      <c r="R45" s="2294" t="s">
        <v>3669</v>
      </c>
    </row>
    <row r="46" s="2044" customFormat="1" ht="18" customHeight="1" spans="1:18">
      <c r="A46" s="2160"/>
      <c r="D46" s="2160"/>
      <c r="E46" s="2160"/>
      <c r="F46" s="2160"/>
      <c r="K46" s="2240"/>
      <c r="O46" s="2243" t="s">
        <v>3511</v>
      </c>
      <c r="P46" s="2244" t="s">
        <v>3670</v>
      </c>
      <c r="Q46" s="2293" t="str">
        <f ca="1">J61</f>
        <v>0</v>
      </c>
      <c r="R46" s="2294" t="s">
        <v>3671</v>
      </c>
    </row>
    <row r="47" s="2044" customFormat="1" ht="21" spans="1:18">
      <c r="A47" s="2163" t="s">
        <v>3672</v>
      </c>
      <c r="C47" s="2164">
        <f ca="1">IF(C2="元",C69-C40,ROUND((C69-C40)/10000,0))</f>
        <v>0</v>
      </c>
      <c r="D47" s="2165" t="str">
        <f>C2</f>
        <v>元</v>
      </c>
      <c r="E47" s="2160"/>
      <c r="F47" s="2160"/>
      <c r="I47" s="2245" t="s">
        <v>3673</v>
      </c>
      <c r="J47" s="2246"/>
      <c r="K47" s="2247"/>
      <c r="L47" s="2248">
        <f ca="1">IF(M48="住宅",0,IF(L49&gt;J52,L61,J61))</f>
        <v>0</v>
      </c>
      <c r="O47" s="2249" t="s">
        <v>3674</v>
      </c>
      <c r="P47" s="2244" t="s">
        <v>3675</v>
      </c>
      <c r="Q47" s="2293">
        <f ca="1">C29</f>
        <v>314666</v>
      </c>
      <c r="R47" s="2294" t="s">
        <v>3669</v>
      </c>
    </row>
    <row r="48" s="2044" customFormat="1" ht="15.75" spans="1:18">
      <c r="A48" s="2065" t="s">
        <v>3562</v>
      </c>
      <c r="B48" s="2066" t="s">
        <v>3563</v>
      </c>
      <c r="C48" s="2066" t="s">
        <v>3564</v>
      </c>
      <c r="D48" s="2066" t="s">
        <v>3565</v>
      </c>
      <c r="E48" s="2166" t="s">
        <v>3566</v>
      </c>
      <c r="F48" s="2167"/>
      <c r="I48" s="2250" t="s">
        <v>3676</v>
      </c>
      <c r="J48" s="2251"/>
      <c r="K48" s="2252" t="s">
        <v>3677</v>
      </c>
      <c r="L48" s="2253">
        <f>'数据-取费表'!B11</f>
        <v>70</v>
      </c>
      <c r="M48" s="2254" t="str">
        <f>IF('数据-取费表'!B10="住宅","住宅","非住宅")</f>
        <v>住宅</v>
      </c>
      <c r="O48" s="2249" t="s">
        <v>3678</v>
      </c>
      <c r="P48" s="2244" t="s">
        <v>3679</v>
      </c>
      <c r="Q48" s="2295" t="e">
        <f>J59</f>
        <v>#VALUE!</v>
      </c>
      <c r="R48" s="2294"/>
    </row>
    <row r="49" s="2044" customFormat="1" ht="15.75" spans="1:18">
      <c r="A49" s="2168" t="s">
        <v>2019</v>
      </c>
      <c r="B49" s="2071" t="s">
        <v>3567</v>
      </c>
      <c r="C49" s="2169">
        <f ca="1">C50+C54+C56</f>
        <v>0</v>
      </c>
      <c r="D49" s="2170"/>
      <c r="E49" s="2171"/>
      <c r="F49" s="2118"/>
      <c r="I49" s="2255" t="s">
        <v>3680</v>
      </c>
      <c r="J49" s="2256"/>
      <c r="K49" s="2257" t="s">
        <v>3681</v>
      </c>
      <c r="L49" s="2258">
        <f>'数据-取费表'!B13</f>
        <v>62</v>
      </c>
      <c r="O49" s="2249" t="s">
        <v>3682</v>
      </c>
      <c r="P49" s="2244" t="s">
        <v>3683</v>
      </c>
      <c r="Q49" s="2295">
        <f>J53</f>
        <v>0</v>
      </c>
      <c r="R49" s="2294"/>
    </row>
    <row r="50" s="2044" customFormat="1" ht="15.75" spans="1:18">
      <c r="A50" s="2172" t="s">
        <v>3500</v>
      </c>
      <c r="B50" s="2076" t="s">
        <v>3684</v>
      </c>
      <c r="C50" s="2072">
        <f>ROUND(F50*F52*F51*(1-F53),0)</f>
        <v>0</v>
      </c>
      <c r="D50" s="2173" t="s">
        <v>3685</v>
      </c>
      <c r="E50" s="2174" t="s">
        <v>3686</v>
      </c>
      <c r="F50" s="2175"/>
      <c r="I50" s="2255" t="s">
        <v>3687</v>
      </c>
      <c r="J50" s="2258">
        <f>'数据-取费表'!B27</f>
        <v>1998</v>
      </c>
      <c r="K50" s="2259" t="s">
        <v>3688</v>
      </c>
      <c r="L50" s="2260"/>
      <c r="O50" s="2249" t="s">
        <v>3689</v>
      </c>
      <c r="P50" s="2244" t="s">
        <v>3690</v>
      </c>
      <c r="Q50" s="2293">
        <f>J54</f>
        <v>62</v>
      </c>
      <c r="R50" s="2294" t="s">
        <v>3691</v>
      </c>
    </row>
    <row r="51" s="2044" customFormat="1" ht="15.75" spans="1:18">
      <c r="A51" s="2084"/>
      <c r="B51" s="2081"/>
      <c r="C51" s="2082"/>
      <c r="D51" s="2083"/>
      <c r="E51" s="2114" t="s">
        <v>3573</v>
      </c>
      <c r="F51" s="2176">
        <f>F7</f>
        <v>118.67</v>
      </c>
      <c r="I51" s="2255" t="s">
        <v>3692</v>
      </c>
      <c r="J51" s="2261">
        <f>SUMPRODUCT((I64:I66=J48)*(J63:L63=J49)*(J64:L66))</f>
        <v>0</v>
      </c>
      <c r="K51" s="2259" t="s">
        <v>3693</v>
      </c>
      <c r="L51" s="2260"/>
      <c r="O51" s="2243" t="s">
        <v>3514</v>
      </c>
      <c r="P51" s="2244" t="str">
        <f>IF(C2="元","收益价值(元)","收益价值(万元)")</f>
        <v>收益价值(元)</v>
      </c>
      <c r="Q51" s="2293">
        <f ca="1">ROUND(IF(C2="元",Q45+Q46,(Q45+Q46)/10000),0)</f>
        <v>0</v>
      </c>
      <c r="R51" s="2294" t="s">
        <v>3694</v>
      </c>
    </row>
    <row r="52" s="2044" customFormat="1" ht="16.5" spans="1:18">
      <c r="A52" s="2084"/>
      <c r="B52" s="2081"/>
      <c r="C52" s="2082"/>
      <c r="D52" s="2083"/>
      <c r="E52" s="2078" t="s">
        <v>3575</v>
      </c>
      <c r="F52" s="2079">
        <f>F8</f>
        <v>0</v>
      </c>
      <c r="I52" s="2262" t="s">
        <v>3695</v>
      </c>
      <c r="J52" s="2263">
        <f>IF(J50="",J51,J50+J51-YEAR('数据-取费表'!B2))</f>
        <v>-7</v>
      </c>
      <c r="K52" s="2264" t="s">
        <v>3696</v>
      </c>
      <c r="L52" s="2265">
        <f ca="1">ROUND(-PV('数据-取费表'!B15,J52,(C40-C13*J35)),0)</f>
        <v>144336</v>
      </c>
      <c r="O52" s="2238" t="s">
        <v>3697</v>
      </c>
      <c r="P52" s="2239"/>
      <c r="Q52" s="2254"/>
      <c r="R52" s="2239"/>
    </row>
    <row r="53" s="2044" customFormat="1" ht="15.75" spans="1:18">
      <c r="A53" s="2097"/>
      <c r="B53" s="2153"/>
      <c r="C53" s="2106"/>
      <c r="D53" s="2085"/>
      <c r="E53" s="2078" t="s">
        <v>3576</v>
      </c>
      <c r="F53" s="2177"/>
      <c r="I53" s="2266" t="s">
        <v>3698</v>
      </c>
      <c r="J53" s="2267"/>
      <c r="K53" s="2266" t="s">
        <v>3699</v>
      </c>
      <c r="L53" s="2267"/>
      <c r="O53" s="2241" t="s">
        <v>3664</v>
      </c>
      <c r="P53" s="2242" t="s">
        <v>3665</v>
      </c>
      <c r="Q53" s="2291" t="s">
        <v>3666</v>
      </c>
      <c r="R53" s="2292" t="s">
        <v>3667</v>
      </c>
    </row>
    <row r="54" s="2044" customFormat="1" ht="29.25" customHeight="1" spans="1:18">
      <c r="A54" s="2075" t="s">
        <v>3501</v>
      </c>
      <c r="B54" s="2087" t="s">
        <v>3577</v>
      </c>
      <c r="C54" s="2088">
        <f ca="1">ROUND(IF(F54="押一",C50/12*F11,IF(F54="押二",C50/12*2*F11,IF(F54="押三",C50/12*3*F11,C55*F11))),0)</f>
        <v>0</v>
      </c>
      <c r="D54" s="2089" t="s">
        <v>3578</v>
      </c>
      <c r="E54" s="2090" t="s">
        <v>3579</v>
      </c>
      <c r="F54" s="2091"/>
      <c r="I54" s="2268" t="s">
        <v>3700</v>
      </c>
      <c r="J54" s="2269">
        <f>IF(M48="住宅",IF(E1="——",MAX(J52,L49),MAX(J52,L49-'数据-取费表'!B26)),IF(E1="——",MIN(J52,L49),MIN(J52,L49-'数据-取费表'!B26)))</f>
        <v>62</v>
      </c>
      <c r="K54" s="2270" t="s">
        <v>3701</v>
      </c>
      <c r="L54" s="2271"/>
      <c r="O54" s="2243" t="s">
        <v>3509</v>
      </c>
      <c r="P54" s="2244" t="s">
        <v>3668</v>
      </c>
      <c r="Q54" s="2293">
        <f ca="1">C40+J29</f>
        <v>0</v>
      </c>
      <c r="R54" s="2294" t="s">
        <v>3669</v>
      </c>
    </row>
    <row r="55" s="2044" customFormat="1" ht="20.25" spans="1:18">
      <c r="A55" s="2075"/>
      <c r="B55" s="2178" t="s">
        <v>3583</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3511</v>
      </c>
      <c r="P55" s="2244" t="s">
        <v>3702</v>
      </c>
      <c r="Q55" s="2293">
        <f ca="1">L61</f>
        <v>0</v>
      </c>
      <c r="R55" s="2294" t="s">
        <v>3703</v>
      </c>
    </row>
    <row r="56" s="2044" customFormat="1" ht="20.25" spans="1:18">
      <c r="A56" s="2098" t="s">
        <v>3502</v>
      </c>
      <c r="B56" s="2099" t="s">
        <v>3584</v>
      </c>
      <c r="C56" s="2100"/>
      <c r="D56" s="2181"/>
      <c r="E56" s="2182"/>
      <c r="F56" s="2183"/>
      <c r="I56" s="2273" t="s">
        <v>3704</v>
      </c>
      <c r="J56" s="2274" t="e">
        <f>ROUND(IF(J48="钢混",J58/J51,1-(1-2%)*(J51-J58)/J51),3)</f>
        <v>#VALUE!</v>
      </c>
      <c r="K56" s="2275" t="s">
        <v>3705</v>
      </c>
      <c r="L56" s="2276"/>
      <c r="O56" s="2249" t="s">
        <v>3674</v>
      </c>
      <c r="P56" s="2244" t="s">
        <v>3706</v>
      </c>
      <c r="Q56" s="2293">
        <f>IF(L56="比较法",L50,IF(L56="基准地价",L51,0))</f>
        <v>0</v>
      </c>
      <c r="R56" s="2294" t="s">
        <v>3669</v>
      </c>
    </row>
    <row r="57" s="2044" customFormat="1" ht="44.25" spans="1:18">
      <c r="A57" s="2104">
        <v>2</v>
      </c>
      <c r="B57" s="2105" t="s">
        <v>3585</v>
      </c>
      <c r="C57" s="2184">
        <f ca="1">C13</f>
        <v>276906</v>
      </c>
      <c r="D57" s="2185"/>
      <c r="E57" s="2186"/>
      <c r="F57" s="2187"/>
      <c r="I57" s="2277" t="s">
        <v>3707</v>
      </c>
      <c r="J57" s="2278"/>
      <c r="K57" s="2255" t="s">
        <v>3708</v>
      </c>
      <c r="L57" s="2258">
        <f>IF(L49&lt;J52,"——",L49-J52)</f>
        <v>69</v>
      </c>
      <c r="O57" s="2249" t="s">
        <v>3678</v>
      </c>
      <c r="P57" s="2244" t="s">
        <v>3709</v>
      </c>
      <c r="Q57" s="2295">
        <f>L53</f>
        <v>0</v>
      </c>
      <c r="R57" s="2294"/>
    </row>
    <row r="58" s="2044" customFormat="1" ht="29.25" spans="1:18">
      <c r="A58" s="2188"/>
      <c r="B58" s="2078" t="s">
        <v>3644</v>
      </c>
      <c r="C58" s="2189">
        <f ca="1">C29</f>
        <v>314666</v>
      </c>
      <c r="D58" s="2185"/>
      <c r="E58" s="2186"/>
      <c r="F58" s="2187"/>
      <c r="I58" s="2279" t="s">
        <v>3710</v>
      </c>
      <c r="J58" s="2280" t="str">
        <f>IF(OR(M48="住宅",J52&lt;L49,J57="是"),"——",J52-L49)</f>
        <v>——</v>
      </c>
      <c r="K58" s="2255" t="s">
        <v>3711</v>
      </c>
      <c r="L58" s="2258">
        <f ca="1">IF(L49&lt;J52,"——",IF(L56="比较法",L50,IF(L56="基准地价",L51,L52)))</f>
        <v>144336</v>
      </c>
      <c r="O58" s="2249" t="s">
        <v>3682</v>
      </c>
      <c r="P58" s="2244" t="s">
        <v>3712</v>
      </c>
      <c r="Q58" s="2293" t="e">
        <f>L59</f>
        <v>#DIV/0!</v>
      </c>
      <c r="R58" s="2294" t="s">
        <v>3713</v>
      </c>
    </row>
    <row r="59" s="2044" customFormat="1" ht="29.25" spans="1:18">
      <c r="A59" s="2190" t="s">
        <v>740</v>
      </c>
      <c r="B59" s="2191" t="s">
        <v>3593</v>
      </c>
      <c r="C59" s="1716">
        <f ca="1">ROUND(C60+C65+C66+C67,0)</f>
        <v>0</v>
      </c>
      <c r="D59" s="2192" t="s">
        <v>3594</v>
      </c>
      <c r="E59" s="1765"/>
      <c r="F59" s="2118"/>
      <c r="I59" s="2279" t="s">
        <v>3714</v>
      </c>
      <c r="J59" s="2281" t="e">
        <f>IF(J56&lt;0.4,0.4,J56)</f>
        <v>#VALUE!</v>
      </c>
      <c r="K59" s="2264" t="s">
        <v>3715</v>
      </c>
      <c r="L59" s="2258" t="e">
        <f>ROUND(POWER(1+L53,L48-L49)*(POWER(1+L53,L49)-1)/(POWER(1+L53,L48)-1),4)</f>
        <v>#DIV/0!</v>
      </c>
      <c r="O59" s="2249" t="s">
        <v>3689</v>
      </c>
      <c r="P59" s="2244" t="str">
        <f>K60</f>
        <v>建筑物剩余耐用年限下的土地年期修正系数Kn</v>
      </c>
      <c r="Q59" s="2293" t="e">
        <f>L60</f>
        <v>#DIV/0!</v>
      </c>
      <c r="R59" s="2294" t="s">
        <v>3716</v>
      </c>
    </row>
    <row r="60" s="2044" customFormat="1" ht="29.25" spans="1:18">
      <c r="A60" s="2109" t="s">
        <v>3717</v>
      </c>
      <c r="B60" s="2078" t="s">
        <v>3599</v>
      </c>
      <c r="C60" s="2132">
        <f ca="1">ROUND(IF(AND(项目基本情况!B7="自然人",项目基本情况!B6="北京市"),C50*F60/(1+'数据-取费表'!F30),C61+C62+C63),0)</f>
        <v>0</v>
      </c>
      <c r="D60" s="2111" t="s">
        <v>3600</v>
      </c>
      <c r="E60" s="2133" t="s">
        <v>3601</v>
      </c>
      <c r="F60" s="2134">
        <f>IF(项目基本情况!B7="企业","——",IF('数据-取费表'!B10="住宅",IF(F50*F51*F52/12/(1+'数据-取费表'!F30)&gt;100000,4%,2.5%),IF(F50*F51*F52/12/(1+'数据-取费表'!F30)&gt;100000,12%,7%)))</f>
        <v>0.025</v>
      </c>
      <c r="I60" s="2279" t="s">
        <v>3718</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3514</v>
      </c>
      <c r="P60" s="2244" t="str">
        <f>IF(C2="元","收益价值(元)","收益价值(万元)")</f>
        <v>收益价值(元)</v>
      </c>
      <c r="Q60" s="2293">
        <f ca="1">ROUND(IF(C2="元",Q54+Q55,(Q54+Q55)/10000),0)</f>
        <v>0</v>
      </c>
      <c r="R60" s="2294" t="s">
        <v>3694</v>
      </c>
    </row>
    <row r="61" s="2044" customFormat="1" ht="16.5" spans="1:18">
      <c r="A61" s="2109" t="s">
        <v>3719</v>
      </c>
      <c r="B61" s="2078" t="s">
        <v>3603</v>
      </c>
      <c r="C61" s="1763" t="str">
        <f ca="1">IF(项目基本情况!B7="自然人","——",ROUND(C49*F61/(1+'数据-取费表'!F30),0))</f>
        <v>——</v>
      </c>
      <c r="D61" s="2133" t="s">
        <v>3720</v>
      </c>
      <c r="E61" s="2078" t="s">
        <v>3592</v>
      </c>
      <c r="F61" s="2123">
        <f t="shared" ref="F61:F67" si="0">F32</f>
        <v>0.056</v>
      </c>
      <c r="I61" s="2282" t="s">
        <v>3721</v>
      </c>
      <c r="J61" s="2283" t="str">
        <f ca="1">IF(OR(M48="住宅",J52&lt;L49,J57="是"),"0",ROUND(J60/(1+J53)^J54,0))</f>
        <v>0</v>
      </c>
      <c r="K61" s="2284" t="s">
        <v>3722</v>
      </c>
      <c r="L61" s="2283">
        <f ca="1">IF(OR(M48="住宅",L49&lt;J52),0,ROUND(L58*(L59/L60-1),0))</f>
        <v>0</v>
      </c>
      <c r="O61" s="2238" t="s">
        <v>3723</v>
      </c>
      <c r="P61" s="2239"/>
      <c r="Q61" s="2254"/>
      <c r="R61" s="2239"/>
    </row>
    <row r="62" s="2044" customFormat="1" ht="15.75" spans="1:18">
      <c r="A62" s="2109" t="s">
        <v>3724</v>
      </c>
      <c r="B62" s="2078" t="s">
        <v>3607</v>
      </c>
      <c r="C62" s="1763" t="str">
        <f ca="1">IF(项目基本情况!B7="自然人","——",IF(D62="按租金收入计税",ROUND(C50*F62/(1+'数据-取费表'!F30),0),IF(D62="按房产原值计税",ROUND(C58*F62*0.7,0),'数据-取费表'!B44)))</f>
        <v>——</v>
      </c>
      <c r="D62" s="2136" t="s">
        <v>3725</v>
      </c>
      <c r="E62" s="2078" t="s">
        <v>3592</v>
      </c>
      <c r="F62" s="2117">
        <f t="shared" si="0"/>
        <v>0.12</v>
      </c>
      <c r="O62" s="2241" t="s">
        <v>3664</v>
      </c>
      <c r="P62" s="2242" t="s">
        <v>3665</v>
      </c>
      <c r="Q62" s="2291" t="s">
        <v>3666</v>
      </c>
      <c r="R62" s="2292" t="s">
        <v>3667</v>
      </c>
    </row>
    <row r="63" s="2044" customFormat="1" ht="15.75" spans="1:18">
      <c r="A63" s="2172" t="s">
        <v>3726</v>
      </c>
      <c r="B63" s="2077" t="s">
        <v>3610</v>
      </c>
      <c r="C63" s="2138" t="str">
        <f>IF(项目基本情况!B7="自然人","——",ROUND(F63*F64,0))</f>
        <v>——</v>
      </c>
      <c r="D63" s="2139" t="s">
        <v>3611</v>
      </c>
      <c r="E63" s="2078" t="s">
        <v>3612</v>
      </c>
      <c r="F63" s="2122">
        <f t="shared" si="0"/>
        <v>0</v>
      </c>
      <c r="I63" s="2285" t="s">
        <v>3727</v>
      </c>
      <c r="J63" s="2286" t="s">
        <v>3728</v>
      </c>
      <c r="K63" s="2286" t="s">
        <v>3729</v>
      </c>
      <c r="L63" s="2286" t="s">
        <v>3730</v>
      </c>
      <c r="M63" s="2287" t="s">
        <v>3731</v>
      </c>
      <c r="O63" s="2243" t="s">
        <v>3509</v>
      </c>
      <c r="P63" s="2244" t="s">
        <v>3668</v>
      </c>
      <c r="Q63" s="2293">
        <f ca="1">C40+J29</f>
        <v>0</v>
      </c>
      <c r="R63" s="2294" t="s">
        <v>3669</v>
      </c>
    </row>
    <row r="64" s="2044" customFormat="1" ht="20.25" spans="1:18">
      <c r="A64" s="2092"/>
      <c r="B64" s="2085"/>
      <c r="C64" s="1835"/>
      <c r="D64" s="447"/>
      <c r="E64" s="2078" t="s">
        <v>3616</v>
      </c>
      <c r="F64" s="2079">
        <f t="shared" si="0"/>
        <v>0</v>
      </c>
      <c r="I64" s="2285" t="s">
        <v>3732</v>
      </c>
      <c r="J64" s="2286">
        <v>70</v>
      </c>
      <c r="K64" s="2286">
        <v>50</v>
      </c>
      <c r="L64" s="2286">
        <v>80</v>
      </c>
      <c r="M64" s="2288">
        <v>0.02</v>
      </c>
      <c r="O64" s="2243" t="s">
        <v>3511</v>
      </c>
      <c r="P64" s="2244" t="s">
        <v>3702</v>
      </c>
      <c r="Q64" s="2293">
        <f ca="1">L61</f>
        <v>0</v>
      </c>
      <c r="R64" s="2294" t="s">
        <v>3703</v>
      </c>
    </row>
    <row r="65" s="2044" customFormat="1" ht="24" spans="1:18">
      <c r="A65" s="2109" t="s">
        <v>3733</v>
      </c>
      <c r="B65" s="2078" t="s">
        <v>3618</v>
      </c>
      <c r="C65" s="1763">
        <f ca="1">ROUND(C58*F65,0)</f>
        <v>0</v>
      </c>
      <c r="D65" s="2133" t="s">
        <v>3652</v>
      </c>
      <c r="E65" s="2078" t="s">
        <v>3592</v>
      </c>
      <c r="F65" s="2142">
        <f t="shared" si="0"/>
        <v>0</v>
      </c>
      <c r="I65" s="2285" t="s">
        <v>3734</v>
      </c>
      <c r="J65" s="2286">
        <v>50</v>
      </c>
      <c r="K65" s="2286">
        <v>35</v>
      </c>
      <c r="L65" s="2286">
        <v>60</v>
      </c>
      <c r="M65" s="2287">
        <v>0</v>
      </c>
      <c r="O65" s="2249" t="s">
        <v>3674</v>
      </c>
      <c r="P65" s="2244" t="s">
        <v>3706</v>
      </c>
      <c r="Q65" s="2300">
        <f ca="1">L52</f>
        <v>144336</v>
      </c>
      <c r="R65" s="2301" t="s">
        <v>3735</v>
      </c>
    </row>
    <row r="66" s="2044" customFormat="1" ht="20.25" spans="1:18">
      <c r="A66" s="2109" t="s">
        <v>3736</v>
      </c>
      <c r="B66" s="2078" t="s">
        <v>3622</v>
      </c>
      <c r="C66" s="1763">
        <f ca="1">ROUND(C57*F66,0)</f>
        <v>0</v>
      </c>
      <c r="D66" s="2133" t="s">
        <v>3623</v>
      </c>
      <c r="E66" s="2078" t="s">
        <v>3592</v>
      </c>
      <c r="F66" s="2143">
        <f t="shared" si="0"/>
        <v>0</v>
      </c>
      <c r="I66" s="2285" t="s">
        <v>3737</v>
      </c>
      <c r="J66" s="2286">
        <v>40</v>
      </c>
      <c r="K66" s="2286">
        <v>30</v>
      </c>
      <c r="L66" s="2286">
        <v>50</v>
      </c>
      <c r="M66" s="2288">
        <v>0.02</v>
      </c>
      <c r="O66" s="2249" t="s">
        <v>3678</v>
      </c>
      <c r="P66" s="2299" t="s">
        <v>3738</v>
      </c>
      <c r="Q66" s="2293">
        <f ca="1">ROUND(Q67-Q68*Q69,0)</f>
        <v>-17999</v>
      </c>
      <c r="R66" s="2294"/>
    </row>
    <row r="67" s="2044" customFormat="1" ht="15.75" spans="1:18">
      <c r="A67" s="2109" t="s">
        <v>3739</v>
      </c>
      <c r="B67" s="2078" t="s">
        <v>3608</v>
      </c>
      <c r="C67" s="1763">
        <f ca="1">ROUND(C49*F67,0)</f>
        <v>0</v>
      </c>
      <c r="D67" s="2133" t="s">
        <v>3626</v>
      </c>
      <c r="E67" s="2078" t="s">
        <v>3592</v>
      </c>
      <c r="F67" s="2086">
        <f t="shared" si="0"/>
        <v>0</v>
      </c>
      <c r="O67" s="2249" t="s">
        <v>3740</v>
      </c>
      <c r="P67" s="2299" t="s">
        <v>3741</v>
      </c>
      <c r="Q67" s="2293">
        <f ca="1">C39</f>
        <v>0</v>
      </c>
      <c r="R67" s="2294" t="s">
        <v>3669</v>
      </c>
    </row>
    <row r="68" ht="15.75" spans="1:18">
      <c r="A68" s="2190" t="s">
        <v>743</v>
      </c>
      <c r="B68" s="2296" t="s">
        <v>3629</v>
      </c>
      <c r="C68" s="1716">
        <f ca="1">C49-C59</f>
        <v>0</v>
      </c>
      <c r="D68" s="2111" t="s">
        <v>3630</v>
      </c>
      <c r="E68" s="2297"/>
      <c r="F68" s="2298"/>
      <c r="H68" s="2044"/>
      <c r="I68" s="2044"/>
      <c r="J68" s="2044"/>
      <c r="K68" s="2044"/>
      <c r="L68" s="2044"/>
      <c r="M68" s="2044"/>
      <c r="O68" s="2249" t="s">
        <v>3742</v>
      </c>
      <c r="P68" s="2299" t="s">
        <v>3743</v>
      </c>
      <c r="Q68" s="2293">
        <f ca="1">C13</f>
        <v>276906</v>
      </c>
      <c r="R68" s="2294" t="s">
        <v>3669</v>
      </c>
    </row>
    <row r="69" ht="15.75" spans="1:18">
      <c r="A69" s="2070" t="s">
        <v>769</v>
      </c>
      <c r="B69" s="2071" t="s">
        <v>3657</v>
      </c>
      <c r="C69" s="2072">
        <f ca="1">ROUND(C68*(1-((1+F71)/(1+F69))^F70)/(F69-F71),0)</f>
        <v>0</v>
      </c>
      <c r="D69" s="2139" t="s">
        <v>3635</v>
      </c>
      <c r="E69" s="2078" t="s">
        <v>3636</v>
      </c>
      <c r="F69" s="2086">
        <f>F40</f>
        <v>0.05</v>
      </c>
      <c r="H69" s="2044"/>
      <c r="I69" s="2044"/>
      <c r="J69" s="2044"/>
      <c r="K69" s="2044"/>
      <c r="L69" s="2044"/>
      <c r="M69" s="2044"/>
      <c r="O69" s="2249" t="s">
        <v>3744</v>
      </c>
      <c r="P69" s="2299" t="s">
        <v>3745</v>
      </c>
      <c r="Q69" s="2295">
        <f>J35</f>
        <v>0.065</v>
      </c>
      <c r="R69" s="2294"/>
    </row>
    <row r="70" ht="15.75" spans="1:18">
      <c r="A70" s="2084"/>
      <c r="B70" s="2081"/>
      <c r="C70" s="2082"/>
      <c r="D70" s="2149" t="s">
        <v>3639</v>
      </c>
      <c r="E70" s="2078" t="s">
        <v>3640</v>
      </c>
      <c r="F70" s="2151">
        <f>F41</f>
        <v>62</v>
      </c>
      <c r="H70" s="2044"/>
      <c r="I70" s="2044"/>
      <c r="J70" s="2044"/>
      <c r="K70" s="2044"/>
      <c r="L70" s="2044"/>
      <c r="M70" s="2044"/>
      <c r="O70" s="2249" t="s">
        <v>3682</v>
      </c>
      <c r="P70" s="2244" t="s">
        <v>3709</v>
      </c>
      <c r="Q70" s="2295">
        <f>L53</f>
        <v>0</v>
      </c>
      <c r="R70" s="2294"/>
    </row>
    <row r="71" ht="20.25" spans="1:18">
      <c r="A71" s="2097"/>
      <c r="B71" s="2153"/>
      <c r="C71" s="2106"/>
      <c r="D71" s="447"/>
      <c r="E71" s="2078" t="s">
        <v>3643</v>
      </c>
      <c r="F71" s="2177"/>
      <c r="H71" s="2044"/>
      <c r="M71" s="2044"/>
      <c r="O71" s="2249" t="s">
        <v>3689</v>
      </c>
      <c r="P71" s="2244" t="s">
        <v>3712</v>
      </c>
      <c r="Q71" s="2293" t="e">
        <f>L59</f>
        <v>#DIV/0!</v>
      </c>
      <c r="R71" s="2294" t="s">
        <v>3713</v>
      </c>
    </row>
    <row r="72" ht="15.75" spans="1:18">
      <c r="A72" s="2127" t="s">
        <v>3645</v>
      </c>
      <c r="B72" s="2154" t="s">
        <v>3660</v>
      </c>
      <c r="C72" s="2155">
        <f ca="1">ROUND(C69/F72,0)</f>
        <v>0</v>
      </c>
      <c r="D72" s="2156" t="s">
        <v>3661</v>
      </c>
      <c r="E72" s="2157" t="s">
        <v>3662</v>
      </c>
      <c r="F72" s="2158">
        <f>F43</f>
        <v>118.67</v>
      </c>
      <c r="O72" s="2249" t="s">
        <v>3746</v>
      </c>
      <c r="P72" s="2244" t="str">
        <f>K60</f>
        <v>建筑物剩余耐用年限下的土地年期修正系数Kn</v>
      </c>
      <c r="Q72" s="2293" t="e">
        <f>L60</f>
        <v>#DIV/0!</v>
      </c>
      <c r="R72" s="2294" t="s">
        <v>3716</v>
      </c>
    </row>
    <row r="73" ht="15.75" spans="1:18">
      <c r="A73" s="2044"/>
      <c r="B73" s="2048"/>
      <c r="C73" s="2048"/>
      <c r="D73" s="2044"/>
      <c r="E73" s="2044"/>
      <c r="F73" s="2044"/>
      <c r="O73" s="2243" t="s">
        <v>3514</v>
      </c>
      <c r="P73" s="2244" t="str">
        <f>IF(C2="元","收益价值(元)","收益价值(万元)")</f>
        <v>收益价值(元)</v>
      </c>
      <c r="Q73" s="2293">
        <f ca="1">ROUND(IF(C2="元",Q63+Q64,(Q63+Q64)/10000),0)</f>
        <v>0</v>
      </c>
      <c r="R73" s="2294" t="s">
        <v>3694</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2" priority="3">
      <formula>$F$10="自定义"</formula>
    </cfRule>
  </conditionalFormatting>
  <conditionalFormatting sqref="J11">
    <cfRule type="expression" dxfId="12" priority="2">
      <formula>$M$10="自定义"</formula>
    </cfRule>
  </conditionalFormatting>
  <conditionalFormatting sqref="C55">
    <cfRule type="expression" dxfId="12" priority="1">
      <formula>$F$54="自定义"</formula>
    </cfRule>
  </conditionalFormatting>
  <conditionalFormatting sqref="I56">
    <cfRule type="expression" dxfId="13" priority="7">
      <formula>$J$52&gt;$L$49</formula>
    </cfRule>
  </conditionalFormatting>
  <conditionalFormatting sqref="K56">
    <cfRule type="expression" dxfId="13" priority="6">
      <formula>$L$49&gt;$J$52</formula>
    </cfRule>
  </conditionalFormatting>
  <conditionalFormatting sqref="I61">
    <cfRule type="expression" dxfId="13" priority="5">
      <formula>$J$52&gt;$L$49</formula>
    </cfRule>
  </conditionalFormatting>
  <conditionalFormatting sqref="K61">
    <cfRule type="expression" dxfId="13"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3747</v>
      </c>
      <c r="B1" s="1854"/>
      <c r="C1" s="1855"/>
      <c r="D1" s="1855"/>
      <c r="E1" s="1856"/>
      <c r="F1" s="1857"/>
      <c r="G1" s="1858"/>
      <c r="J1" s="1965" t="s">
        <v>3748</v>
      </c>
      <c r="K1" s="1966"/>
      <c r="L1" s="1966"/>
      <c r="M1" s="1966"/>
      <c r="N1" s="1966"/>
      <c r="O1" s="1966"/>
      <c r="P1" s="1966"/>
      <c r="Q1" s="1966"/>
      <c r="R1" s="2018"/>
      <c r="S1" s="2019"/>
      <c r="T1" s="2019"/>
      <c r="U1" s="2019"/>
    </row>
    <row r="2" s="1846" customFormat="1" customHeight="1" spans="1:23">
      <c r="A2" s="1859" t="s">
        <v>3749</v>
      </c>
      <c r="B2" s="1860" t="e">
        <f>C40</f>
        <v>#DIV/0!</v>
      </c>
      <c r="C2" s="1855" t="s">
        <v>3750</v>
      </c>
      <c r="D2" s="1855"/>
      <c r="E2" s="1861"/>
      <c r="F2" s="1862"/>
      <c r="G2" s="1863"/>
      <c r="H2" s="1864"/>
      <c r="I2" s="1967"/>
      <c r="J2" s="1968" t="s">
        <v>3751</v>
      </c>
      <c r="K2" s="1969"/>
      <c r="L2" s="1970" t="s">
        <v>3752</v>
      </c>
      <c r="M2" s="1970" t="s">
        <v>3753</v>
      </c>
      <c r="N2" s="1970" t="s">
        <v>3754</v>
      </c>
      <c r="O2" s="1970" t="s">
        <v>3755</v>
      </c>
      <c r="P2" s="1970" t="s">
        <v>3756</v>
      </c>
      <c r="Q2" s="2020" t="s">
        <v>3757</v>
      </c>
      <c r="R2" s="2021" t="s">
        <v>3758</v>
      </c>
      <c r="S2" s="2019"/>
      <c r="T2" s="2019"/>
      <c r="U2" s="2019"/>
      <c r="V2" s="1967"/>
      <c r="W2" s="1864"/>
    </row>
    <row r="3" s="1846" customFormat="1" customHeight="1" spans="1:23">
      <c r="A3" s="1865" t="s">
        <v>3759</v>
      </c>
      <c r="B3" s="1866" t="e">
        <f>ROUND(B2*10000/B4,0)</f>
        <v>#DIV/0!</v>
      </c>
      <c r="C3" s="1855" t="s">
        <v>3760</v>
      </c>
      <c r="D3" s="1855"/>
      <c r="E3" s="1861"/>
      <c r="F3" s="1862"/>
      <c r="G3" s="1863"/>
      <c r="H3" s="1864"/>
      <c r="I3" s="1967"/>
      <c r="J3" s="1971" t="s">
        <v>3761</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3762</v>
      </c>
      <c r="K4" s="1972"/>
      <c r="L4" s="1974"/>
      <c r="M4" s="1974"/>
      <c r="N4" s="1974"/>
      <c r="O4" s="1974"/>
      <c r="P4" s="1974"/>
      <c r="Q4" s="2024"/>
      <c r="R4" s="2025">
        <f>SUM(L4:Q4)</f>
        <v>0</v>
      </c>
      <c r="S4" s="2019"/>
      <c r="T4" s="2019"/>
      <c r="U4" s="2019"/>
      <c r="V4" s="1967"/>
      <c r="W4" s="1864"/>
    </row>
    <row r="5" s="1846" customFormat="1" customHeight="1" spans="1:23">
      <c r="A5" s="1869" t="s">
        <v>3763</v>
      </c>
      <c r="B5" s="1870"/>
      <c r="C5" s="1855"/>
      <c r="D5" s="1871"/>
      <c r="E5" s="1862"/>
      <c r="F5" s="1862"/>
      <c r="G5" s="1863"/>
      <c r="H5" s="1864"/>
      <c r="I5" s="1967"/>
      <c r="J5" s="1975" t="s">
        <v>3764</v>
      </c>
      <c r="K5" s="1976"/>
      <c r="L5" s="1976"/>
      <c r="M5" s="1977"/>
      <c r="N5" s="1977"/>
      <c r="O5" s="1977"/>
      <c r="P5" s="1977"/>
      <c r="Q5" s="1977"/>
      <c r="R5" s="2021">
        <f>SUM(R14,R19,R24,R25,R27,R28)</f>
        <v>0</v>
      </c>
      <c r="S5" s="2019"/>
      <c r="T5" s="2019" t="s">
        <v>3765</v>
      </c>
      <c r="U5" s="2019" t="e">
        <f>ROUND(R5*10000/365/R3,1)</f>
        <v>#DIV/0!</v>
      </c>
      <c r="V5" s="1967"/>
      <c r="W5" s="1864"/>
    </row>
    <row r="6" s="1846" customFormat="1" customHeight="1" spans="1:23">
      <c r="A6" s="1872" t="s">
        <v>3766</v>
      </c>
      <c r="B6" s="1873"/>
      <c r="C6" s="1874"/>
      <c r="D6" s="1875"/>
      <c r="E6" s="1876"/>
      <c r="F6" s="1877"/>
      <c r="G6" s="1878"/>
      <c r="H6" s="1864"/>
      <c r="I6" s="1967"/>
      <c r="J6" s="1978">
        <v>1</v>
      </c>
      <c r="K6" s="1979" t="s">
        <v>3767</v>
      </c>
      <c r="L6" s="1980" t="s">
        <v>3768</v>
      </c>
      <c r="M6" s="1981" t="s">
        <v>3769</v>
      </c>
      <c r="N6" s="1981" t="s">
        <v>3770</v>
      </c>
      <c r="O6" s="1981" t="s">
        <v>3771</v>
      </c>
      <c r="P6" s="1981" t="s">
        <v>3772</v>
      </c>
      <c r="Q6" s="1981" t="s">
        <v>3773</v>
      </c>
      <c r="R6" s="2023" t="s">
        <v>3774</v>
      </c>
      <c r="S6" s="2019"/>
      <c r="T6" s="2019" t="s">
        <v>3775</v>
      </c>
      <c r="U6" s="2019"/>
      <c r="V6" s="1967"/>
      <c r="W6" s="1864"/>
    </row>
    <row r="7" s="1846" customFormat="1" customHeight="1" spans="1:23">
      <c r="A7" s="1879" t="s">
        <v>3776</v>
      </c>
      <c r="B7" s="1880"/>
      <c r="C7" s="1881"/>
      <c r="D7" s="1882">
        <f>SUM(D9,D10,D11,D17,0)</f>
        <v>0</v>
      </c>
      <c r="E7" s="1883" t="e">
        <f>E9+E10+E11+E17</f>
        <v>#DIV/0!</v>
      </c>
      <c r="F7" s="1884"/>
      <c r="G7" s="1885"/>
      <c r="H7" s="1864"/>
      <c r="I7" s="1967"/>
      <c r="J7" s="1978"/>
      <c r="K7" s="1982"/>
      <c r="L7" s="1983" t="s">
        <v>3777</v>
      </c>
      <c r="M7" s="1984"/>
      <c r="N7" s="1984"/>
      <c r="O7" s="1985"/>
      <c r="P7" s="1985"/>
      <c r="Q7" s="1993">
        <v>365</v>
      </c>
      <c r="R7" s="2026">
        <f>ROUND(M7*N7*O7*P7*Q7/10000,0)</f>
        <v>0</v>
      </c>
      <c r="S7" s="2019"/>
      <c r="T7" s="2019" t="s">
        <v>3778</v>
      </c>
      <c r="U7" s="2019"/>
      <c r="V7" s="1967"/>
      <c r="W7" s="1864"/>
    </row>
    <row r="8" s="1846" customFormat="1" customHeight="1" spans="1:23">
      <c r="A8" s="1886" t="s">
        <v>3779</v>
      </c>
      <c r="B8" s="1887" t="s">
        <v>3780</v>
      </c>
      <c r="C8" s="1888"/>
      <c r="D8" s="1889" t="s">
        <v>3781</v>
      </c>
      <c r="E8" s="1890" t="s">
        <v>3782</v>
      </c>
      <c r="F8" s="1891" t="s">
        <v>3783</v>
      </c>
      <c r="G8" s="1892" t="s">
        <v>3784</v>
      </c>
      <c r="H8" s="1864"/>
      <c r="I8" s="1967"/>
      <c r="J8" s="1978"/>
      <c r="K8" s="1982"/>
      <c r="L8" s="1983" t="s">
        <v>3785</v>
      </c>
      <c r="M8" s="1984"/>
      <c r="N8" s="1984"/>
      <c r="O8" s="1985"/>
      <c r="P8" s="1985"/>
      <c r="Q8" s="1993">
        <v>365</v>
      </c>
      <c r="R8" s="2026">
        <f t="shared" ref="R8:R13" si="0">ROUND(M8*N8*O8*P8*Q8/10000,0)</f>
        <v>0</v>
      </c>
      <c r="S8" s="2019"/>
      <c r="T8" s="2019" t="s">
        <v>3786</v>
      </c>
      <c r="U8" s="2019"/>
      <c r="V8" s="1967"/>
      <c r="W8" s="1864"/>
    </row>
    <row r="9" s="1846" customFormat="1" customHeight="1" spans="1:23">
      <c r="A9" s="1886">
        <v>1</v>
      </c>
      <c r="B9" s="1887" t="s">
        <v>3787</v>
      </c>
      <c r="C9" s="1888"/>
      <c r="D9" s="1889">
        <f>ROUND(D6*E9,0)</f>
        <v>0</v>
      </c>
      <c r="E9" s="1893"/>
      <c r="F9" s="1894" t="s">
        <v>3788</v>
      </c>
      <c r="G9" s="1895" t="s">
        <v>3789</v>
      </c>
      <c r="H9" s="1864"/>
      <c r="I9" s="1967"/>
      <c r="J9" s="1978"/>
      <c r="K9" s="1982"/>
      <c r="L9" s="1983" t="s">
        <v>3790</v>
      </c>
      <c r="M9" s="1984"/>
      <c r="N9" s="1984"/>
      <c r="O9" s="1985"/>
      <c r="P9" s="1985"/>
      <c r="Q9" s="1993">
        <v>365</v>
      </c>
      <c r="R9" s="2026">
        <f t="shared" si="0"/>
        <v>0</v>
      </c>
      <c r="S9" s="2019"/>
      <c r="T9" s="2019"/>
      <c r="U9" s="2019"/>
      <c r="V9" s="1967"/>
      <c r="W9" s="1864"/>
    </row>
    <row r="10" s="1846" customFormat="1" customHeight="1" spans="1:23">
      <c r="A10" s="1886">
        <v>2</v>
      </c>
      <c r="B10" s="1887" t="s">
        <v>3791</v>
      </c>
      <c r="C10" s="1888"/>
      <c r="D10" s="1889">
        <f>ROUND(D6*E10,0)</f>
        <v>0</v>
      </c>
      <c r="E10" s="1893"/>
      <c r="F10" s="1894" t="s">
        <v>3792</v>
      </c>
      <c r="G10" s="1895" t="s">
        <v>3793</v>
      </c>
      <c r="H10" s="1864"/>
      <c r="I10" s="1967"/>
      <c r="J10" s="1978"/>
      <c r="K10" s="1982"/>
      <c r="L10" s="1983" t="s">
        <v>3794</v>
      </c>
      <c r="M10" s="1984"/>
      <c r="N10" s="1984"/>
      <c r="O10" s="1985"/>
      <c r="P10" s="1985"/>
      <c r="Q10" s="1993">
        <v>365</v>
      </c>
      <c r="R10" s="2026">
        <f t="shared" si="0"/>
        <v>0</v>
      </c>
      <c r="S10" s="2019"/>
      <c r="T10" s="2019"/>
      <c r="U10" s="2019"/>
      <c r="V10" s="1967"/>
      <c r="W10" s="1864"/>
    </row>
    <row r="11" s="1846" customFormat="1" customHeight="1" spans="1:23">
      <c r="A11" s="1886">
        <v>3</v>
      </c>
      <c r="B11" s="1887" t="s">
        <v>3795</v>
      </c>
      <c r="C11" s="1888"/>
      <c r="D11" s="1889">
        <f>D12+D14+D15+D16</f>
        <v>0</v>
      </c>
      <c r="E11" s="1896" t="e">
        <f>D11/D6</f>
        <v>#DIV/0!</v>
      </c>
      <c r="F11" s="1891"/>
      <c r="G11" s="1895"/>
      <c r="H11" s="1864"/>
      <c r="I11" s="1967"/>
      <c r="J11" s="1978"/>
      <c r="K11" s="1982"/>
      <c r="L11" s="1983" t="s">
        <v>3796</v>
      </c>
      <c r="M11" s="1984"/>
      <c r="N11" s="1984"/>
      <c r="O11" s="1985"/>
      <c r="P11" s="1985"/>
      <c r="Q11" s="1993">
        <v>365</v>
      </c>
      <c r="R11" s="2026">
        <f t="shared" si="0"/>
        <v>0</v>
      </c>
      <c r="S11" s="2019"/>
      <c r="T11" s="2019"/>
      <c r="U11" s="2019"/>
      <c r="V11" s="1967"/>
      <c r="W11" s="1864"/>
    </row>
    <row r="12" s="1846" customFormat="1" customHeight="1" spans="1:23">
      <c r="A12" s="1897" t="s">
        <v>3797</v>
      </c>
      <c r="B12" s="1898" t="s">
        <v>3798</v>
      </c>
      <c r="C12" s="1899"/>
      <c r="D12" s="1900">
        <f>ROUND(D13*1.2%*(1-30%),0)</f>
        <v>0</v>
      </c>
      <c r="E12" s="1901">
        <v>0.012</v>
      </c>
      <c r="F12" s="1891" t="s">
        <v>3799</v>
      </c>
      <c r="G12" s="1895"/>
      <c r="H12" s="1864"/>
      <c r="I12" s="1967"/>
      <c r="J12" s="1978"/>
      <c r="K12" s="1982"/>
      <c r="L12" s="1983" t="s">
        <v>3800</v>
      </c>
      <c r="M12" s="1984"/>
      <c r="N12" s="1984"/>
      <c r="O12" s="1985"/>
      <c r="P12" s="1985"/>
      <c r="Q12" s="1993">
        <v>365</v>
      </c>
      <c r="R12" s="2026">
        <f t="shared" si="0"/>
        <v>0</v>
      </c>
      <c r="S12" s="2019"/>
      <c r="T12" s="2019"/>
      <c r="U12" s="2019"/>
      <c r="V12" s="1967"/>
      <c r="W12" s="1864"/>
    </row>
    <row r="13" s="1846" customFormat="1" customHeight="1" spans="1:23">
      <c r="A13" s="1897"/>
      <c r="B13" s="1898"/>
      <c r="C13" s="1902" t="s">
        <v>3801</v>
      </c>
      <c r="D13" s="1903"/>
      <c r="E13" s="1904"/>
      <c r="F13" s="1891"/>
      <c r="G13" s="1895"/>
      <c r="H13" s="1864"/>
      <c r="I13" s="1967"/>
      <c r="J13" s="1978"/>
      <c r="K13" s="1982"/>
      <c r="L13" s="1983" t="s">
        <v>3802</v>
      </c>
      <c r="M13" s="1984"/>
      <c r="N13" s="1984"/>
      <c r="O13" s="1985"/>
      <c r="P13" s="1985"/>
      <c r="Q13" s="1993">
        <v>365</v>
      </c>
      <c r="R13" s="2026">
        <f t="shared" si="0"/>
        <v>0</v>
      </c>
      <c r="S13" s="2019"/>
      <c r="T13" s="2019"/>
      <c r="U13" s="2019"/>
      <c r="V13" s="1967"/>
      <c r="W13" s="1864"/>
    </row>
    <row r="14" s="1846" customFormat="1" customHeight="1" spans="1:23">
      <c r="A14" s="1897" t="s">
        <v>3803</v>
      </c>
      <c r="B14" s="1898" t="s">
        <v>3804</v>
      </c>
      <c r="C14" s="1899"/>
      <c r="D14" s="1900">
        <f>ROUND(E14*B5/10000,0)</f>
        <v>0</v>
      </c>
      <c r="E14" s="1905"/>
      <c r="F14" s="1891" t="s">
        <v>3805</v>
      </c>
      <c r="G14" s="1895"/>
      <c r="H14" s="1864"/>
      <c r="I14" s="1967"/>
      <c r="J14" s="1978"/>
      <c r="K14" s="1986"/>
      <c r="L14" s="1987" t="s">
        <v>3806</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3807</v>
      </c>
      <c r="B15" s="1898" t="s">
        <v>3808</v>
      </c>
      <c r="C15" s="1899"/>
      <c r="D15" s="1900">
        <f>ROUND(D6*E15,0)</f>
        <v>0</v>
      </c>
      <c r="E15" s="1901">
        <v>0.055</v>
      </c>
      <c r="F15" s="1891" t="s">
        <v>3809</v>
      </c>
      <c r="G15" s="1895"/>
      <c r="H15" s="1864"/>
      <c r="I15" s="1967"/>
      <c r="J15" s="1978">
        <v>2</v>
      </c>
      <c r="K15" s="1979" t="s">
        <v>3810</v>
      </c>
      <c r="L15" s="1990" t="s">
        <v>3811</v>
      </c>
      <c r="M15" s="1991" t="s">
        <v>3812</v>
      </c>
      <c r="N15" s="1991" t="s">
        <v>3813</v>
      </c>
      <c r="O15" s="1992" t="s">
        <v>3814</v>
      </c>
      <c r="P15" s="1992" t="s">
        <v>3773</v>
      </c>
      <c r="Q15" s="1868" t="s">
        <v>121</v>
      </c>
      <c r="R15" s="2028" t="s">
        <v>3774</v>
      </c>
      <c r="S15" s="2019"/>
      <c r="T15" s="2019"/>
      <c r="U15" s="2019"/>
      <c r="V15" s="1967"/>
      <c r="W15" s="1864"/>
    </row>
    <row r="16" s="1846" customFormat="1" customHeight="1" spans="1:23">
      <c r="A16" s="1897" t="s">
        <v>3815</v>
      </c>
      <c r="B16" s="1898" t="s">
        <v>3816</v>
      </c>
      <c r="C16" s="1899"/>
      <c r="D16" s="1906">
        <f>D6*E16</f>
        <v>0</v>
      </c>
      <c r="E16" s="1907"/>
      <c r="F16" s="1894" t="s">
        <v>3817</v>
      </c>
      <c r="G16" s="1895"/>
      <c r="H16" s="1864"/>
      <c r="I16" s="1967"/>
      <c r="J16" s="1978"/>
      <c r="K16" s="1982"/>
      <c r="L16" s="1983" t="s">
        <v>3818</v>
      </c>
      <c r="M16" s="1984"/>
      <c r="N16" s="1984"/>
      <c r="O16" s="1985"/>
      <c r="P16" s="1993">
        <v>365</v>
      </c>
      <c r="Q16" s="1984"/>
      <c r="R16" s="2029">
        <f>ROUND(M16*N16*O16*P16/10000,0)</f>
        <v>0</v>
      </c>
      <c r="S16" s="2019"/>
      <c r="T16" s="2019"/>
      <c r="U16" s="2019"/>
      <c r="V16" s="1967"/>
      <c r="W16" s="1864"/>
    </row>
    <row r="17" s="1846" customFormat="1" customHeight="1" spans="1:23">
      <c r="A17" s="1908">
        <v>4</v>
      </c>
      <c r="B17" s="1909" t="s">
        <v>3819</v>
      </c>
      <c r="C17" s="1910"/>
      <c r="D17" s="1911">
        <f>ROUND(D6*E17,0)</f>
        <v>0</v>
      </c>
      <c r="E17" s="1912"/>
      <c r="F17" s="1913" t="s">
        <v>3820</v>
      </c>
      <c r="G17" s="1914">
        <v>0.1</v>
      </c>
      <c r="H17" s="1864"/>
      <c r="I17" s="1967"/>
      <c r="J17" s="1978"/>
      <c r="K17" s="1982"/>
      <c r="L17" s="1983" t="s">
        <v>3821</v>
      </c>
      <c r="M17" s="1984"/>
      <c r="N17" s="1984"/>
      <c r="O17" s="1985"/>
      <c r="P17" s="1993">
        <v>365</v>
      </c>
      <c r="Q17" s="1984"/>
      <c r="R17" s="2029">
        <f>ROUND(M17*N17*O17*P17/10000,0)</f>
        <v>0</v>
      </c>
      <c r="S17" s="2019"/>
      <c r="T17" s="2019"/>
      <c r="U17" s="2019"/>
      <c r="V17" s="1967"/>
      <c r="W17" s="1864"/>
    </row>
    <row r="18" s="1846" customFormat="1" customHeight="1" spans="1:23">
      <c r="A18" s="1879" t="s">
        <v>3822</v>
      </c>
      <c r="B18" s="1880"/>
      <c r="C18" s="1880"/>
      <c r="D18" s="1915">
        <f>ROUND(D6*E18,0)</f>
        <v>0</v>
      </c>
      <c r="E18" s="1916"/>
      <c r="F18" s="1917" t="s">
        <v>3823</v>
      </c>
      <c r="G18" s="1914">
        <v>0.05</v>
      </c>
      <c r="H18" s="1864"/>
      <c r="I18" s="1967"/>
      <c r="J18" s="1978"/>
      <c r="K18" s="1982"/>
      <c r="L18" s="1983" t="s">
        <v>3824</v>
      </c>
      <c r="M18" s="1984"/>
      <c r="N18" s="1984"/>
      <c r="O18" s="1985"/>
      <c r="P18" s="1993">
        <v>365</v>
      </c>
      <c r="Q18" s="1984"/>
      <c r="R18" s="2029">
        <f>ROUND(M18*N18*O18*P18/10000,0)</f>
        <v>0</v>
      </c>
      <c r="S18" s="2019"/>
      <c r="T18" s="2019"/>
      <c r="U18" s="2019"/>
      <c r="V18" s="1967"/>
      <c r="W18" s="1864"/>
    </row>
    <row r="19" s="1846" customFormat="1" customHeight="1" spans="1:23">
      <c r="A19" s="1918" t="s">
        <v>3825</v>
      </c>
      <c r="B19" s="1876"/>
      <c r="C19" s="1876"/>
      <c r="D19" s="1876"/>
      <c r="E19" s="1876"/>
      <c r="F19" s="1877"/>
      <c r="G19" s="1895"/>
      <c r="H19" s="1864"/>
      <c r="I19" s="1967"/>
      <c r="J19" s="1978"/>
      <c r="K19" s="1986"/>
      <c r="L19" s="1987" t="s">
        <v>3806</v>
      </c>
      <c r="M19" s="1988"/>
      <c r="N19" s="1988">
        <f>SUM(N16:N18)</f>
        <v>0</v>
      </c>
      <c r="O19" s="1989"/>
      <c r="P19" s="1994" t="s">
        <v>3826</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3827</v>
      </c>
      <c r="L20" s="1990" t="s">
        <v>3828</v>
      </c>
      <c r="M20" s="1991" t="s">
        <v>3829</v>
      </c>
      <c r="N20" s="1995" t="s">
        <v>3830</v>
      </c>
      <c r="O20" s="1992" t="s">
        <v>3831</v>
      </c>
      <c r="P20" s="1905" t="s">
        <v>3773</v>
      </c>
      <c r="Q20" s="1868" t="s">
        <v>121</v>
      </c>
      <c r="R20" s="2028" t="s">
        <v>3774</v>
      </c>
      <c r="S20" s="2016"/>
      <c r="T20" s="2016"/>
      <c r="U20" s="2016"/>
      <c r="V20" s="1967"/>
      <c r="W20" s="1864"/>
    </row>
    <row r="21" s="1846" customFormat="1" customHeight="1" spans="1:23">
      <c r="A21" s="1879"/>
      <c r="B21" s="1880"/>
      <c r="C21" s="1887" t="s">
        <v>3832</v>
      </c>
      <c r="D21" s="1920" t="s">
        <v>3833</v>
      </c>
      <c r="E21" s="1888" t="s">
        <v>3834</v>
      </c>
      <c r="F21" s="1919"/>
      <c r="G21" s="1895"/>
      <c r="H21" s="1864"/>
      <c r="I21" s="1967"/>
      <c r="J21" s="1978"/>
      <c r="K21" s="1982"/>
      <c r="L21" s="1990" t="s">
        <v>3835</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3836</v>
      </c>
      <c r="D22" s="1922" t="s">
        <v>3837</v>
      </c>
      <c r="E22" s="1923" t="s">
        <v>3838</v>
      </c>
      <c r="F22" s="1919"/>
      <c r="G22" s="1924"/>
      <c r="H22" s="1864"/>
      <c r="I22" s="1967"/>
      <c r="J22" s="1978"/>
      <c r="K22" s="1982"/>
      <c r="L22" s="1990" t="s">
        <v>3839</v>
      </c>
      <c r="M22" s="1991"/>
      <c r="N22" s="1991"/>
      <c r="O22" s="1992"/>
      <c r="P22" s="1905">
        <v>365</v>
      </c>
      <c r="Q22" s="1868"/>
      <c r="R22" s="2031">
        <f>ROUND(M22*N22*O22*P22/10000,0)</f>
        <v>0</v>
      </c>
      <c r="S22" s="2016"/>
      <c r="T22" s="2016"/>
      <c r="U22" s="2016"/>
      <c r="V22" s="1967"/>
      <c r="W22" s="1864"/>
    </row>
    <row r="23" s="1846" customFormat="1" customHeight="1" spans="1:23">
      <c r="A23" s="1925">
        <v>1</v>
      </c>
      <c r="B23" s="1926" t="s">
        <v>3840</v>
      </c>
      <c r="C23" s="1927">
        <f>D6</f>
        <v>0</v>
      </c>
      <c r="D23" s="1928">
        <f>C23*(1+D24)</f>
        <v>0</v>
      </c>
      <c r="E23" s="1929">
        <f>D23*(1+E24)</f>
        <v>0</v>
      </c>
      <c r="F23" s="1930"/>
      <c r="G23" s="1931"/>
      <c r="H23" s="1864"/>
      <c r="I23" s="1967"/>
      <c r="J23" s="1978"/>
      <c r="K23" s="1982"/>
      <c r="L23" s="1990" t="s">
        <v>3841</v>
      </c>
      <c r="M23" s="1991"/>
      <c r="N23" s="1991"/>
      <c r="O23" s="1992"/>
      <c r="P23" s="1905">
        <v>365</v>
      </c>
      <c r="Q23" s="1868"/>
      <c r="R23" s="2031">
        <f>ROUND(M23*N23*O23*P23/10000,0)</f>
        <v>0</v>
      </c>
      <c r="S23" s="2019"/>
      <c r="T23" s="2019"/>
      <c r="U23" s="2019"/>
      <c r="V23" s="1967"/>
      <c r="W23" s="1864"/>
    </row>
    <row r="24" s="1846" customFormat="1" customHeight="1" spans="1:23">
      <c r="A24" s="1932"/>
      <c r="B24" s="1933" t="s">
        <v>3842</v>
      </c>
      <c r="C24" s="1934"/>
      <c r="D24" s="1935"/>
      <c r="E24" s="1936"/>
      <c r="F24" s="1937"/>
      <c r="G24" s="1931"/>
      <c r="H24" s="1864"/>
      <c r="I24" s="1967"/>
      <c r="J24" s="1978"/>
      <c r="K24" s="1986"/>
      <c r="L24" s="1987" t="s">
        <v>3806</v>
      </c>
      <c r="M24" s="1988">
        <f>SUM(M21:M23)</f>
        <v>0</v>
      </c>
      <c r="N24" s="1988"/>
      <c r="O24" s="1989"/>
      <c r="P24" s="1994" t="s">
        <v>3826</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3843</v>
      </c>
      <c r="L25" s="1997"/>
      <c r="M25" s="1997"/>
      <c r="N25" s="1997"/>
      <c r="O25" s="1997"/>
      <c r="P25" s="1998"/>
      <c r="Q25" s="2032">
        <v>0</v>
      </c>
      <c r="R25" s="2030">
        <f>ROUND(R14*Q25,0)</f>
        <v>0</v>
      </c>
      <c r="S25" s="2019"/>
      <c r="T25" s="2019"/>
      <c r="U25" s="2019"/>
      <c r="V25" s="2005"/>
      <c r="W25" s="1939"/>
    </row>
    <row r="26" s="1847" customFormat="1" customHeight="1" spans="1:23">
      <c r="A26" s="1925">
        <v>2</v>
      </c>
      <c r="B26" s="1926" t="s">
        <v>3844</v>
      </c>
      <c r="C26" s="1927">
        <f>D7</f>
        <v>0</v>
      </c>
      <c r="D26" s="1928">
        <f>D23*D27</f>
        <v>0</v>
      </c>
      <c r="E26" s="1929">
        <f>E23*E27</f>
        <v>0</v>
      </c>
      <c r="F26" s="1930"/>
      <c r="G26" s="1931"/>
      <c r="H26" s="1864"/>
      <c r="I26" s="1967"/>
      <c r="J26" s="1999">
        <v>5</v>
      </c>
      <c r="K26" s="2000" t="s">
        <v>3845</v>
      </c>
      <c r="L26" s="2001"/>
      <c r="M26" s="2002"/>
      <c r="N26" s="2003" t="s">
        <v>357</v>
      </c>
      <c r="O26" s="2003" t="s">
        <v>3846</v>
      </c>
      <c r="P26" s="2004" t="s">
        <v>3847</v>
      </c>
      <c r="Q26" s="2004" t="s">
        <v>3848</v>
      </c>
      <c r="R26" s="2023" t="s">
        <v>3774</v>
      </c>
      <c r="S26" s="2033"/>
      <c r="T26" s="2033"/>
      <c r="U26" s="2033"/>
      <c r="V26" s="2005"/>
      <c r="W26" s="1939"/>
    </row>
    <row r="27" s="1846" customFormat="1" customHeight="1" spans="1:23">
      <c r="A27" s="1932"/>
      <c r="B27" s="1933" t="s">
        <v>3849</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1114</v>
      </c>
      <c r="F28" s="1937"/>
      <c r="G28" s="1924"/>
      <c r="H28" s="1939"/>
      <c r="I28" s="2005"/>
      <c r="J28" s="2011">
        <v>6</v>
      </c>
      <c r="K28" s="2012" t="s">
        <v>3850</v>
      </c>
      <c r="L28" s="2013" t="s">
        <v>3851</v>
      </c>
      <c r="M28" s="2014"/>
      <c r="N28" s="2013" t="s">
        <v>3852</v>
      </c>
      <c r="O28" s="2015"/>
      <c r="P28" s="2013" t="s">
        <v>3853</v>
      </c>
      <c r="Q28" s="2035">
        <v>0.015</v>
      </c>
      <c r="R28" s="2036"/>
      <c r="S28" s="2016"/>
      <c r="T28" s="2016"/>
      <c r="U28" s="2016"/>
      <c r="V28" s="2005"/>
      <c r="W28" s="1939"/>
    </row>
    <row r="29" s="1847" customFormat="1" customHeight="1" spans="1:23">
      <c r="A29" s="1925">
        <v>3</v>
      </c>
      <c r="B29" s="1926" t="s">
        <v>3854</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3849</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3855</v>
      </c>
      <c r="K31" s="1966"/>
      <c r="L31" s="1966"/>
      <c r="M31" s="1966"/>
      <c r="N31" s="1966"/>
      <c r="O31" s="1966"/>
      <c r="P31" s="1966"/>
      <c r="Q31" s="1966"/>
      <c r="R31" s="2018"/>
      <c r="S31" s="2016"/>
      <c r="T31" s="2019"/>
      <c r="U31" s="2019"/>
      <c r="V31" s="2005"/>
      <c r="W31" s="1939"/>
    </row>
    <row r="32" s="1847" customFormat="1" customHeight="1" spans="1:23">
      <c r="A32" s="1925">
        <v>4</v>
      </c>
      <c r="B32" s="1926" t="s">
        <v>3856</v>
      </c>
      <c r="C32" s="1927">
        <f>C23-C26-C29</f>
        <v>0</v>
      </c>
      <c r="D32" s="1928">
        <f>D23-D26-D29</f>
        <v>0</v>
      </c>
      <c r="E32" s="1929">
        <f>E23-E26-E29</f>
        <v>0</v>
      </c>
      <c r="F32" s="1930"/>
      <c r="G32" s="1924"/>
      <c r="H32" s="1864"/>
      <c r="I32" s="1967"/>
      <c r="J32" s="1968" t="s">
        <v>3751</v>
      </c>
      <c r="K32" s="1969"/>
      <c r="L32" s="1970" t="s">
        <v>3752</v>
      </c>
      <c r="M32" s="1970" t="s">
        <v>3753</v>
      </c>
      <c r="N32" s="1970" t="s">
        <v>3754</v>
      </c>
      <c r="O32" s="1970" t="s">
        <v>3755</v>
      </c>
      <c r="P32" s="1970" t="s">
        <v>3756</v>
      </c>
      <c r="Q32" s="2020" t="s">
        <v>3757</v>
      </c>
      <c r="R32" s="2037" t="s">
        <v>3758</v>
      </c>
      <c r="S32" s="2016"/>
      <c r="T32" s="2019"/>
      <c r="U32" s="2019"/>
      <c r="V32" s="2005"/>
      <c r="W32" s="1939"/>
    </row>
    <row r="33" s="1846" customFormat="1" customHeight="1" spans="1:23">
      <c r="A33" s="1925"/>
      <c r="B33" s="1926"/>
      <c r="C33" s="1927"/>
      <c r="D33" s="1942"/>
      <c r="E33" s="1899"/>
      <c r="F33" s="1930"/>
      <c r="G33" s="1924"/>
      <c r="H33" s="1939"/>
      <c r="I33" s="2005"/>
      <c r="J33" s="1971" t="s">
        <v>3761</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3857</v>
      </c>
      <c r="C34" s="1943"/>
      <c r="D34" s="1944"/>
      <c r="E34" s="1945"/>
      <c r="F34" s="1930"/>
      <c r="G34" s="1924"/>
      <c r="H34" s="1939"/>
      <c r="I34" s="2005"/>
      <c r="J34" s="1971" t="s">
        <v>3762</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3858</v>
      </c>
      <c r="C35" s="1946"/>
      <c r="D35" s="1947"/>
      <c r="E35" s="1948"/>
      <c r="F35" s="1930"/>
      <c r="G35" s="1949"/>
      <c r="H35" s="1864"/>
      <c r="I35" s="2005"/>
      <c r="J35" s="1975" t="s">
        <v>3764</v>
      </c>
      <c r="K35" s="1976"/>
      <c r="L35" s="1976"/>
      <c r="M35" s="1977"/>
      <c r="N35" s="1977"/>
      <c r="O35" s="1977"/>
      <c r="P35" s="1977"/>
      <c r="Q35" s="1977"/>
      <c r="R35" s="2040">
        <f>R40+R41+R43</f>
        <v>0</v>
      </c>
      <c r="S35" s="2016"/>
      <c r="T35" s="2019" t="s">
        <v>3765</v>
      </c>
      <c r="U35" s="2019"/>
      <c r="V35" s="1967"/>
      <c r="W35" s="1864"/>
    </row>
    <row r="36" s="1846" customFormat="1" customHeight="1" spans="1:23">
      <c r="A36" s="1925">
        <v>7</v>
      </c>
      <c r="B36" s="1950" t="s">
        <v>3859</v>
      </c>
      <c r="C36" s="1951"/>
      <c r="D36" s="1952"/>
      <c r="E36" s="1953"/>
      <c r="F36" s="1954">
        <f>C36+D36+E36</f>
        <v>0</v>
      </c>
      <c r="G36" s="1924"/>
      <c r="H36" s="1864"/>
      <c r="I36" s="1967"/>
      <c r="J36" s="1978">
        <v>1</v>
      </c>
      <c r="K36" s="1979" t="s">
        <v>3860</v>
      </c>
      <c r="L36" s="1980"/>
      <c r="M36" s="1981"/>
      <c r="N36" s="1981"/>
      <c r="O36" s="1981"/>
      <c r="P36" s="1981"/>
      <c r="Q36" s="1981"/>
      <c r="R36" s="2023" t="s">
        <v>3774</v>
      </c>
      <c r="S36" s="2016"/>
      <c r="T36" s="2019" t="s">
        <v>3775</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3778</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3786</v>
      </c>
      <c r="U38" s="2019"/>
      <c r="V38" s="1967"/>
      <c r="W38" s="1864"/>
    </row>
    <row r="39" s="1846" customFormat="1" customHeight="1" spans="1:23">
      <c r="A39" s="1925">
        <v>9</v>
      </c>
      <c r="B39" s="1926" t="s">
        <v>3861</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3862</v>
      </c>
      <c r="C40" s="1957" t="e">
        <f>C39+D39+E39</f>
        <v>#DIV/0!</v>
      </c>
      <c r="D40" s="1958"/>
      <c r="E40" s="1958"/>
      <c r="F40" s="1959"/>
      <c r="G40" s="1924"/>
      <c r="H40" s="1864"/>
      <c r="I40" s="1967"/>
      <c r="J40" s="1978"/>
      <c r="K40" s="1986"/>
      <c r="L40" s="1987" t="s">
        <v>3806</v>
      </c>
      <c r="M40" s="1988"/>
      <c r="N40" s="1988"/>
      <c r="O40" s="1989"/>
      <c r="P40" s="1989"/>
      <c r="Q40" s="2027"/>
      <c r="R40" s="2021">
        <f>SUM(R37:R39)</f>
        <v>0</v>
      </c>
      <c r="S40" s="2016"/>
      <c r="T40" s="2019"/>
      <c r="U40" s="2019"/>
      <c r="V40" s="1967"/>
      <c r="W40" s="1864"/>
    </row>
    <row r="41" s="1846" customFormat="1" customHeight="1" spans="1:23">
      <c r="A41" s="1960">
        <v>11</v>
      </c>
      <c r="B41" s="1961" t="s">
        <v>3863</v>
      </c>
      <c r="C41" s="1961" t="e">
        <f>ROUND(C40*10000/B4,0)</f>
        <v>#DIV/0!</v>
      </c>
      <c r="D41" s="1962"/>
      <c r="E41" s="1962"/>
      <c r="F41" s="1963"/>
      <c r="G41" s="1964"/>
      <c r="H41" s="1864"/>
      <c r="I41" s="1967"/>
      <c r="J41" s="1978">
        <v>2</v>
      </c>
      <c r="K41" s="1996" t="s">
        <v>3843</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3845</v>
      </c>
      <c r="L42" s="2001"/>
      <c r="M42" s="2002"/>
      <c r="N42" s="2003" t="s">
        <v>357</v>
      </c>
      <c r="O42" s="2003" t="s">
        <v>3846</v>
      </c>
      <c r="P42" s="2004" t="s">
        <v>3847</v>
      </c>
      <c r="Q42" s="2004" t="s">
        <v>3848</v>
      </c>
      <c r="R42" s="2023" t="s">
        <v>3774</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3850</v>
      </c>
      <c r="L44" s="2017" t="s">
        <v>3851</v>
      </c>
      <c r="M44" s="2014"/>
      <c r="N44" s="2017" t="s">
        <v>3852</v>
      </c>
      <c r="O44" s="2014"/>
      <c r="P44" s="2017" t="s">
        <v>3853</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3864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3865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3866</v>
      </c>
      <c r="C4" s="1720" t="s">
        <v>3867</v>
      </c>
      <c r="D4" s="1721"/>
      <c r="E4" s="1721"/>
      <c r="F4" s="1721"/>
      <c r="G4" s="1721"/>
      <c r="H4" s="1721"/>
      <c r="I4" s="1721"/>
      <c r="J4" s="1721"/>
      <c r="K4" s="1721"/>
      <c r="L4" s="1721"/>
      <c r="M4" s="1721"/>
      <c r="N4" s="1721"/>
      <c r="O4" s="1721"/>
      <c r="P4" s="1721"/>
      <c r="Q4" s="1721"/>
      <c r="R4" s="1721"/>
      <c r="S4" s="1802"/>
      <c r="T4" s="1719" t="s">
        <v>3868</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3869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3870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3871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3872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3873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3874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3875</v>
      </c>
      <c r="B20" s="1749" t="s">
        <v>3876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3877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3878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3879</v>
      </c>
      <c r="B24" s="1759" t="e">
        <f ca="1">ROUND(B23*10000/B25,0)</f>
        <v>#DIV/0!</v>
      </c>
      <c r="C24" s="1714"/>
      <c r="D24" s="1715"/>
      <c r="E24" s="1715"/>
      <c r="F24" s="1715"/>
      <c r="G24" s="1715"/>
      <c r="H24" s="1715"/>
      <c r="I24" s="1715"/>
      <c r="J24" s="1715"/>
      <c r="K24" s="1715"/>
      <c r="L24" s="1715"/>
      <c r="M24" s="1715"/>
      <c r="N24" s="1715"/>
      <c r="O24" s="1715"/>
      <c r="P24" s="1715"/>
      <c r="Q24" s="1715"/>
      <c r="R24" s="1800"/>
      <c r="S24" s="1763" t="s">
        <v>3880</v>
      </c>
      <c r="T24" s="1764" t="s">
        <v>3881</v>
      </c>
      <c r="U24" s="519" t="s">
        <v>3882</v>
      </c>
      <c r="V24" s="1831"/>
      <c r="W24" s="1832" t="s">
        <v>3883</v>
      </c>
      <c r="X24" s="519" t="s">
        <v>3884</v>
      </c>
      <c r="Y24" s="1831"/>
      <c r="Z24" s="1842" t="s">
        <v>3883</v>
      </c>
    </row>
    <row r="25" spans="1:26">
      <c r="A25" s="1716" t="s">
        <v>3885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3886</v>
      </c>
      <c r="B26" s="1766" t="s">
        <v>357</v>
      </c>
      <c r="C26" s="1766" t="s">
        <v>3868</v>
      </c>
      <c r="D26" s="1766" t="str">
        <f>B8</f>
        <v>修正项2</v>
      </c>
      <c r="E26" s="1766" t="s">
        <v>3868</v>
      </c>
      <c r="F26" s="1766" t="str">
        <f>B10</f>
        <v>修正项3</v>
      </c>
      <c r="G26" s="1766" t="s">
        <v>3868</v>
      </c>
      <c r="H26" s="1766" t="str">
        <f>B12</f>
        <v>修正项4</v>
      </c>
      <c r="I26" s="1766" t="s">
        <v>3868</v>
      </c>
      <c r="J26" s="1766" t="str">
        <f>B14</f>
        <v>修正项5</v>
      </c>
      <c r="K26" s="1766" t="s">
        <v>3868</v>
      </c>
      <c r="L26" s="1766" t="str">
        <f>B16</f>
        <v>修正项6</v>
      </c>
      <c r="M26" s="1766" t="s">
        <v>3868</v>
      </c>
      <c r="N26" s="1766" t="str">
        <f>B18</f>
        <v>修正项7</v>
      </c>
      <c r="O26" s="1766" t="s">
        <v>3868</v>
      </c>
      <c r="P26" s="1766" t="str">
        <f>B20</f>
        <v>楼层</v>
      </c>
      <c r="Q26" s="1766" t="s">
        <v>3868</v>
      </c>
      <c r="R26" s="1837" t="s">
        <v>3887</v>
      </c>
      <c r="S26" s="1766" t="s">
        <v>3888</v>
      </c>
      <c r="T26" s="1766" t="s">
        <v>3888</v>
      </c>
      <c r="U26" s="337" t="s">
        <v>3889</v>
      </c>
      <c r="V26" s="337" t="s">
        <v>3890</v>
      </c>
      <c r="W26" s="1766" t="s">
        <v>3891</v>
      </c>
      <c r="X26" s="337" t="s">
        <v>3889</v>
      </c>
      <c r="Y26" s="337" t="s">
        <v>3890</v>
      </c>
      <c r="Z26" s="1766" t="s">
        <v>3891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3892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3893</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118.67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880</v>
      </c>
      <c r="D5" s="1105"/>
      <c r="E5" s="1106" t="s">
        <v>3894</v>
      </c>
      <c r="F5" s="1107"/>
      <c r="G5" s="1104" t="s">
        <v>3895</v>
      </c>
      <c r="H5" s="1105"/>
      <c r="I5" s="1104" t="s">
        <v>3896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38443</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3897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3898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3899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912</v>
      </c>
      <c r="B32" s="1123" t="s">
        <v>3900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885</v>
      </c>
      <c r="S32" s="1296">
        <f t="shared" si="12"/>
        <v>100</v>
      </c>
      <c r="T32" s="1295" t="s">
        <v>885</v>
      </c>
      <c r="U32" s="1296">
        <f t="shared" si="13"/>
        <v>100</v>
      </c>
      <c r="V32" s="1295" t="s">
        <v>885</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3901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885</v>
      </c>
      <c r="S38" s="1296">
        <f t="shared" si="12"/>
        <v>100</v>
      </c>
      <c r="T38" s="1295" t="s">
        <v>885</v>
      </c>
      <c r="U38" s="1296">
        <f t="shared" si="13"/>
        <v>100</v>
      </c>
      <c r="V38" s="1295" t="s">
        <v>885</v>
      </c>
      <c r="W38" s="1296">
        <f t="shared" si="14"/>
        <v>100</v>
      </c>
      <c r="X38" s="1282"/>
      <c r="Y38" s="1267" t="s">
        <v>916</v>
      </c>
      <c r="Z38" s="1281" t="str">
        <f t="shared" si="15"/>
        <v>业态</v>
      </c>
      <c r="AA38" s="1312">
        <f t="shared" si="3"/>
        <v>1</v>
      </c>
      <c r="AB38" s="1312">
        <f t="shared" si="4"/>
        <v>1</v>
      </c>
      <c r="AC38" s="1312">
        <f t="shared" si="5"/>
        <v>1</v>
      </c>
    </row>
    <row r="39" ht="15" spans="1:29">
      <c r="A39" s="1185"/>
      <c r="B39" s="1127" t="s">
        <v>3902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3903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3904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930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933</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934</v>
      </c>
      <c r="B48" s="1624"/>
      <c r="C48" s="1625" t="e">
        <f>R49</f>
        <v>#DIV/0!</v>
      </c>
      <c r="D48" s="831" t="s">
        <v>935</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3905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937</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938</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939</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940</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2005-4</v>
      </c>
      <c r="D58" s="1631">
        <f>EDATE(C58,-1)</f>
        <v>38412</v>
      </c>
      <c r="E58" s="1631">
        <f t="shared" ref="E58:O58" si="16">EDATE(D58,-1)</f>
        <v>38384</v>
      </c>
      <c r="F58" s="1631">
        <f t="shared" si="16"/>
        <v>38353</v>
      </c>
      <c r="G58" s="1631">
        <f t="shared" si="16"/>
        <v>38322</v>
      </c>
      <c r="H58" s="1631">
        <f t="shared" si="16"/>
        <v>38292</v>
      </c>
      <c r="I58" s="1631">
        <f t="shared" si="16"/>
        <v>38261</v>
      </c>
      <c r="J58" s="1631">
        <f t="shared" si="16"/>
        <v>38231</v>
      </c>
      <c r="K58" s="1631">
        <f t="shared" si="16"/>
        <v>38200</v>
      </c>
      <c r="L58" s="1631">
        <f t="shared" si="16"/>
        <v>38169</v>
      </c>
      <c r="M58" s="1631">
        <f t="shared" si="16"/>
        <v>38139</v>
      </c>
      <c r="N58" s="1631">
        <f t="shared" si="16"/>
        <v>38108</v>
      </c>
      <c r="O58" s="1631">
        <f t="shared" si="16"/>
        <v>38078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941</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942</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943</v>
      </c>
      <c r="D65" s="1346" t="s">
        <v>944</v>
      </c>
      <c r="E65" s="1346" t="s">
        <v>945</v>
      </c>
      <c r="F65" s="1346" t="s">
        <v>946</v>
      </c>
      <c r="G65" s="1346" t="s">
        <v>947</v>
      </c>
      <c r="H65" s="1346" t="s">
        <v>948</v>
      </c>
      <c r="I65" s="1346" t="s">
        <v>949</v>
      </c>
      <c r="J65" s="1346"/>
      <c r="K65" s="1039"/>
      <c r="L65" s="1039"/>
      <c r="M65" s="1394"/>
      <c r="N65" s="1390"/>
      <c r="O65" s="1390"/>
      <c r="P65" s="1697"/>
      <c r="Q65" s="1382"/>
    </row>
    <row r="66" ht="15.75" spans="1:17">
      <c r="A66" s="1342"/>
      <c r="B66" s="1347"/>
      <c r="C66" s="1348" t="s">
        <v>3906</v>
      </c>
      <c r="D66" s="1348" t="s">
        <v>3906</v>
      </c>
      <c r="E66" s="1348" t="s">
        <v>3906</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950</v>
      </c>
      <c r="D82" s="1346" t="s">
        <v>951</v>
      </c>
      <c r="E82" s="1346" t="s">
        <v>952</v>
      </c>
      <c r="F82" s="1346" t="s">
        <v>953</v>
      </c>
      <c r="G82" s="1346" t="s">
        <v>954</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912</v>
      </c>
      <c r="B100" s="1341" t="s">
        <v>3900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3901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3902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3903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3907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3908</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118.67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880</v>
      </c>
      <c r="D5" s="1105"/>
      <c r="E5" s="1106" t="s">
        <v>3894</v>
      </c>
      <c r="F5" s="1107"/>
      <c r="G5" s="1104" t="s">
        <v>3895</v>
      </c>
      <c r="H5" s="1105"/>
      <c r="I5" s="1104" t="s">
        <v>3896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38443</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3909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3899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912</v>
      </c>
      <c r="B33" s="1123" t="s">
        <v>913</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885</v>
      </c>
      <c r="S33" s="1296">
        <f t="shared" si="12"/>
        <v>100</v>
      </c>
      <c r="T33" s="1295" t="s">
        <v>885</v>
      </c>
      <c r="U33" s="1296">
        <f t="shared" si="13"/>
        <v>100</v>
      </c>
      <c r="V33" s="1295" t="s">
        <v>885</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3910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885</v>
      </c>
      <c r="S39" s="1296">
        <f t="shared" si="12"/>
        <v>100</v>
      </c>
      <c r="T39" s="1295" t="s">
        <v>885</v>
      </c>
      <c r="U39" s="1296">
        <f t="shared" si="13"/>
        <v>100</v>
      </c>
      <c r="V39" s="1295" t="s">
        <v>885</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3902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3911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933</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934</v>
      </c>
      <c r="B49" s="1624"/>
      <c r="C49" s="1625" t="e">
        <f>R50</f>
        <v>#DIV/0!</v>
      </c>
      <c r="D49" s="831" t="s">
        <v>935</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936</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937</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938</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939</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940</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2005-4</v>
      </c>
      <c r="D59" s="1631">
        <f>EDATE(C59,-1)</f>
        <v>38412</v>
      </c>
      <c r="E59" s="1631">
        <f t="shared" ref="E59:O59" si="16">EDATE(D59,-1)</f>
        <v>38384</v>
      </c>
      <c r="F59" s="1631">
        <f t="shared" si="16"/>
        <v>38353</v>
      </c>
      <c r="G59" s="1631">
        <f t="shared" si="16"/>
        <v>38322</v>
      </c>
      <c r="H59" s="1631">
        <f t="shared" si="16"/>
        <v>38292</v>
      </c>
      <c r="I59" s="1631">
        <f t="shared" si="16"/>
        <v>38261</v>
      </c>
      <c r="J59" s="1631">
        <f t="shared" si="16"/>
        <v>38231</v>
      </c>
      <c r="K59" s="1631">
        <f t="shared" si="16"/>
        <v>38200</v>
      </c>
      <c r="L59" s="1631">
        <f t="shared" si="16"/>
        <v>38169</v>
      </c>
      <c r="M59" s="1631">
        <f t="shared" si="16"/>
        <v>38139</v>
      </c>
      <c r="N59" s="1631">
        <f t="shared" si="16"/>
        <v>38108</v>
      </c>
      <c r="O59" s="1631">
        <f t="shared" si="16"/>
        <v>38078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941</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942</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943</v>
      </c>
      <c r="D66" s="1346" t="s">
        <v>944</v>
      </c>
      <c r="E66" s="1346" t="s">
        <v>945</v>
      </c>
      <c r="F66" s="1346" t="s">
        <v>946</v>
      </c>
      <c r="G66" s="1346" t="s">
        <v>947</v>
      </c>
      <c r="H66" s="1346" t="s">
        <v>948</v>
      </c>
      <c r="I66" s="1346" t="s">
        <v>949</v>
      </c>
      <c r="J66" s="1346"/>
      <c r="K66" s="1039"/>
      <c r="L66" s="1039"/>
      <c r="M66" s="1394"/>
      <c r="N66" s="1390"/>
      <c r="O66" s="1390"/>
      <c r="P66" s="1391"/>
      <c r="Q66" s="1382"/>
    </row>
    <row r="67" ht="15.75" spans="1:17">
      <c r="A67" s="1342"/>
      <c r="B67" s="1347"/>
      <c r="C67" s="1348" t="s">
        <v>3906</v>
      </c>
      <c r="D67" s="1348" t="s">
        <v>3906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950</v>
      </c>
      <c r="D83" s="1346" t="s">
        <v>951</v>
      </c>
      <c r="E83" s="1346" t="s">
        <v>952</v>
      </c>
      <c r="F83" s="1346" t="s">
        <v>953</v>
      </c>
      <c r="G83" s="1346" t="s">
        <v>954</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3909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912</v>
      </c>
      <c r="B101" s="1341" t="s">
        <v>913</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3910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3912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3903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3913</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118.67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3894</v>
      </c>
      <c r="F5" s="739"/>
      <c r="G5" s="736" t="s">
        <v>3895</v>
      </c>
      <c r="H5" s="737"/>
      <c r="I5" s="736" t="s">
        <v>3896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38443</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912</v>
      </c>
      <c r="B29" s="755" t="s">
        <v>913</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885</v>
      </c>
      <c r="S29" s="948">
        <f t="shared" si="12"/>
        <v>100</v>
      </c>
      <c r="T29" s="947" t="s">
        <v>885</v>
      </c>
      <c r="U29" s="948">
        <f t="shared" si="13"/>
        <v>100</v>
      </c>
      <c r="V29" s="947" t="s">
        <v>885</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885</v>
      </c>
      <c r="S35" s="948">
        <f t="shared" si="12"/>
        <v>100</v>
      </c>
      <c r="T35" s="947" t="s">
        <v>885</v>
      </c>
      <c r="U35" s="948">
        <f t="shared" si="13"/>
        <v>100</v>
      </c>
      <c r="V35" s="947" t="s">
        <v>885</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930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3914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933</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934</v>
      </c>
      <c r="B42" s="1470"/>
      <c r="C42" s="1471" t="e">
        <f>R43</f>
        <v>#DIV/0!</v>
      </c>
      <c r="D42" s="831" t="s">
        <v>935</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936</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937</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938</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939</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940</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2005-4</v>
      </c>
      <c r="D52" s="1477">
        <f>EDATE(C52,-1)</f>
        <v>38412</v>
      </c>
      <c r="E52" s="1571">
        <f t="shared" ref="E52:O52" si="16">EDATE(D52,-1)</f>
        <v>38384</v>
      </c>
      <c r="F52" s="1571">
        <f t="shared" si="16"/>
        <v>38353</v>
      </c>
      <c r="G52" s="1571">
        <f t="shared" si="16"/>
        <v>38322</v>
      </c>
      <c r="H52" s="1571">
        <f t="shared" si="16"/>
        <v>38292</v>
      </c>
      <c r="I52" s="1571">
        <f t="shared" si="16"/>
        <v>38261</v>
      </c>
      <c r="J52" s="1571">
        <f t="shared" si="16"/>
        <v>38231</v>
      </c>
      <c r="K52" s="1571">
        <f t="shared" si="16"/>
        <v>38200</v>
      </c>
      <c r="L52" s="1571">
        <f t="shared" si="16"/>
        <v>38169</v>
      </c>
      <c r="M52" s="1571">
        <f t="shared" si="16"/>
        <v>38139</v>
      </c>
      <c r="N52" s="1571">
        <f t="shared" si="16"/>
        <v>38108</v>
      </c>
      <c r="O52" s="1571">
        <f t="shared" si="16"/>
        <v>38078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941</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942</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943</v>
      </c>
      <c r="D59" s="988" t="s">
        <v>944</v>
      </c>
      <c r="E59" s="988" t="s">
        <v>945</v>
      </c>
      <c r="F59" s="988" t="s">
        <v>946</v>
      </c>
      <c r="G59" s="988" t="s">
        <v>947</v>
      </c>
      <c r="H59" s="988" t="s">
        <v>948</v>
      </c>
      <c r="I59" s="988" t="s">
        <v>949</v>
      </c>
      <c r="J59" s="988"/>
      <c r="K59" s="1038"/>
      <c r="L59" s="1039"/>
      <c r="M59" s="1040"/>
      <c r="N59" s="1034"/>
      <c r="O59" s="1034"/>
      <c r="P59" s="1035"/>
      <c r="Q59" s="955"/>
    </row>
    <row r="60" ht="15.75" spans="1:17">
      <c r="A60" s="984"/>
      <c r="B60" s="989"/>
      <c r="C60" s="990" t="s">
        <v>3906</v>
      </c>
      <c r="D60" s="990" t="s">
        <v>3906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950</v>
      </c>
      <c r="D76" s="988" t="s">
        <v>951</v>
      </c>
      <c r="E76" s="988" t="s">
        <v>952</v>
      </c>
      <c r="F76" s="988" t="s">
        <v>953</v>
      </c>
      <c r="G76" s="988" t="s">
        <v>954</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912</v>
      </c>
      <c r="B88" s="983" t="s">
        <v>913</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3915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3916</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118.67</v>
      </c>
      <c r="E3" s="1507" t="s">
        <v>3917</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3894</v>
      </c>
      <c r="F5" s="739"/>
      <c r="G5" s="736" t="s">
        <v>3895</v>
      </c>
      <c r="H5" s="737"/>
      <c r="I5" s="736" t="s">
        <v>3896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38443</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3899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912</v>
      </c>
      <c r="B26" s="1539" t="s">
        <v>3918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3919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3920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3921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3922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3923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885</v>
      </c>
      <c r="S32" s="948">
        <f t="shared" si="12"/>
        <v>100</v>
      </c>
      <c r="T32" s="947" t="s">
        <v>885</v>
      </c>
      <c r="U32" s="948">
        <f t="shared" si="13"/>
        <v>100</v>
      </c>
      <c r="V32" s="947" t="s">
        <v>885</v>
      </c>
      <c r="W32" s="948">
        <f t="shared" si="14"/>
        <v>100</v>
      </c>
      <c r="X32" s="934"/>
      <c r="Y32" s="913" t="s">
        <v>916</v>
      </c>
      <c r="Z32" s="851" t="str">
        <f t="shared" si="15"/>
        <v>车位类型</v>
      </c>
      <c r="AA32" s="963">
        <f t="shared" si="3"/>
        <v>1</v>
      </c>
      <c r="AB32" s="963">
        <f t="shared" si="4"/>
        <v>1</v>
      </c>
      <c r="AC32" s="963">
        <f t="shared" si="5"/>
        <v>1</v>
      </c>
    </row>
    <row r="33" ht="15" spans="1:29">
      <c r="A33" s="1543"/>
      <c r="B33" s="799" t="s">
        <v>3924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3925</v>
      </c>
      <c r="B37" s="1546" t="s">
        <v>3926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3927</v>
      </c>
      <c r="B38" s="1470" t="str">
        <f>B37</f>
        <v>元/平方米</v>
      </c>
      <c r="C38" s="1471" t="e">
        <f>R39</f>
        <v>#DIV/0!</v>
      </c>
      <c r="D38" s="831" t="s">
        <v>935</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936</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937</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938</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939</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940</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2005-4</v>
      </c>
      <c r="D48" s="1477">
        <f>EDATE(C48,-1)</f>
        <v>38412</v>
      </c>
      <c r="E48" s="1477">
        <f t="shared" ref="E48:O48" si="16">EDATE(D48,-1)</f>
        <v>38384</v>
      </c>
      <c r="F48" s="1477">
        <f t="shared" si="16"/>
        <v>38353</v>
      </c>
      <c r="G48" s="1477">
        <f t="shared" si="16"/>
        <v>38322</v>
      </c>
      <c r="H48" s="1477">
        <f t="shared" si="16"/>
        <v>38292</v>
      </c>
      <c r="I48" s="1477">
        <f t="shared" si="16"/>
        <v>38261</v>
      </c>
      <c r="J48" s="1477">
        <f t="shared" si="16"/>
        <v>38231</v>
      </c>
      <c r="K48" s="1477">
        <f t="shared" si="16"/>
        <v>38200</v>
      </c>
      <c r="L48" s="1477">
        <f t="shared" si="16"/>
        <v>38169</v>
      </c>
      <c r="M48" s="1477">
        <f t="shared" si="16"/>
        <v>38139</v>
      </c>
      <c r="N48" s="1477">
        <f t="shared" si="16"/>
        <v>38108</v>
      </c>
      <c r="O48" s="1477">
        <f t="shared" si="16"/>
        <v>38078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941</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942</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943</v>
      </c>
      <c r="D55" s="988" t="s">
        <v>944</v>
      </c>
      <c r="E55" s="988" t="s">
        <v>945</v>
      </c>
      <c r="F55" s="988" t="s">
        <v>946</v>
      </c>
      <c r="G55" s="988" t="s">
        <v>947</v>
      </c>
      <c r="H55" s="988" t="s">
        <v>948</v>
      </c>
      <c r="I55" s="988" t="s">
        <v>949</v>
      </c>
      <c r="J55" s="988"/>
      <c r="K55" s="1038"/>
      <c r="L55" s="1039"/>
      <c r="M55" s="1040"/>
      <c r="N55" s="1034"/>
      <c r="O55" s="1034"/>
      <c r="P55" s="1035"/>
      <c r="Q55" s="955"/>
    </row>
    <row r="56" ht="15.75" spans="1:17">
      <c r="A56" s="984"/>
      <c r="B56" s="989"/>
      <c r="C56" s="990" t="s">
        <v>3906</v>
      </c>
      <c r="D56" s="990" t="s">
        <v>3906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950</v>
      </c>
      <c r="D67" s="988" t="s">
        <v>951</v>
      </c>
      <c r="E67" s="988" t="s">
        <v>952</v>
      </c>
      <c r="F67" s="988" t="s">
        <v>953</v>
      </c>
      <c r="G67" s="988" t="s">
        <v>954</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3899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912</v>
      </c>
      <c r="B79" s="983" t="s">
        <v>3928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3919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3920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3921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3922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3923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3924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D38">
      <formula1>"简单平均,加权平均"</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3916</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118.67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3894</v>
      </c>
      <c r="F5" s="739"/>
      <c r="G5" s="736" t="s">
        <v>3895</v>
      </c>
      <c r="H5" s="737"/>
      <c r="I5" s="736" t="s">
        <v>3896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38443</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3899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912</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3920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3921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3929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3930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3931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885</v>
      </c>
      <c r="S32" s="948">
        <f t="shared" si="12"/>
        <v>100</v>
      </c>
      <c r="T32" s="947" t="s">
        <v>885</v>
      </c>
      <c r="U32" s="948">
        <f t="shared" si="13"/>
        <v>100</v>
      </c>
      <c r="V32" s="947" t="s">
        <v>885</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933</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934</v>
      </c>
      <c r="B36" s="1470"/>
      <c r="C36" s="1471" t="e">
        <f>R37</f>
        <v>#DIV/0!</v>
      </c>
      <c r="D36" s="831" t="s">
        <v>935</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936</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937</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938</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939</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940</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2005-4</v>
      </c>
      <c r="D46" s="1477">
        <f>EDATE(C46,-1)</f>
        <v>38412</v>
      </c>
      <c r="E46" s="1477">
        <f t="shared" ref="E46:O46" si="16">EDATE(D46,-1)</f>
        <v>38384</v>
      </c>
      <c r="F46" s="1477">
        <f t="shared" si="16"/>
        <v>38353</v>
      </c>
      <c r="G46" s="1477">
        <f t="shared" si="16"/>
        <v>38322</v>
      </c>
      <c r="H46" s="1477">
        <f t="shared" si="16"/>
        <v>38292</v>
      </c>
      <c r="I46" s="1477">
        <f t="shared" si="16"/>
        <v>38261</v>
      </c>
      <c r="J46" s="1477">
        <f t="shared" si="16"/>
        <v>38231</v>
      </c>
      <c r="K46" s="1477">
        <f t="shared" si="16"/>
        <v>38200</v>
      </c>
      <c r="L46" s="1477">
        <f t="shared" si="16"/>
        <v>38169</v>
      </c>
      <c r="M46" s="1477">
        <f t="shared" si="16"/>
        <v>38139</v>
      </c>
      <c r="N46" s="1477">
        <f t="shared" si="16"/>
        <v>38108</v>
      </c>
      <c r="O46" s="1477">
        <f t="shared" si="16"/>
        <v>38078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941</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942</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943</v>
      </c>
      <c r="D53" s="988" t="s">
        <v>944</v>
      </c>
      <c r="E53" s="988" t="s">
        <v>945</v>
      </c>
      <c r="F53" s="988" t="s">
        <v>946</v>
      </c>
      <c r="G53" s="988" t="s">
        <v>947</v>
      </c>
      <c r="H53" s="988" t="s">
        <v>948</v>
      </c>
      <c r="I53" s="988" t="s">
        <v>949</v>
      </c>
      <c r="J53" s="988"/>
      <c r="K53" s="1038"/>
      <c r="L53" s="1039"/>
      <c r="M53" s="1040"/>
      <c r="N53" s="1034"/>
      <c r="O53" s="1034"/>
      <c r="P53" s="1035"/>
      <c r="Q53" s="955"/>
    </row>
    <row r="54" ht="15.75" spans="1:17">
      <c r="A54" s="984"/>
      <c r="B54" s="989"/>
      <c r="C54" s="990" t="s">
        <v>3906</v>
      </c>
      <c r="D54" s="990" t="s">
        <v>3906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950</v>
      </c>
      <c r="D65" s="988" t="s">
        <v>951</v>
      </c>
      <c r="E65" s="988" t="s">
        <v>952</v>
      </c>
      <c r="F65" s="988" t="s">
        <v>953</v>
      </c>
      <c r="G65" s="988" t="s">
        <v>954</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3899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912</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3920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3921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3929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3930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3931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9 E29 G29 I29">
      <formula1>有无电梯</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893" customWidth="1"/>
    <col min="2" max="3" width="12.5" style="3893" customWidth="1"/>
    <col min="4" max="6" width="8.125" style="3893"/>
    <col min="7" max="7" width="17.5" style="3893" customWidth="1"/>
    <col min="8" max="16384" width="8.125" style="3893"/>
  </cols>
  <sheetData>
    <row r="1" ht="23.25" spans="1:7">
      <c r="A1" s="3972" t="s">
        <v>78</v>
      </c>
      <c r="B1" s="3973"/>
      <c r="C1" s="3973"/>
      <c r="D1" s="3973"/>
      <c r="E1" s="3973"/>
      <c r="F1" s="3973"/>
      <c r="G1" s="3973"/>
    </row>
    <row r="2" spans="1:1">
      <c r="A2" s="3974"/>
    </row>
    <row r="3" s="3970" customFormat="1" ht="18" spans="1:7">
      <c r="A3" s="3975" t="str">
        <f>IF(ISNUMBER(FIND("公司",项目基本情况!B4)),项目基本情况!B4&amp;"：",项目基本情况!B4&amp;"  先生/女士：")</f>
        <v>xx  先生/女士：</v>
      </c>
      <c r="B3" s="3976"/>
      <c r="C3" s="3976"/>
      <c r="D3" s="3976"/>
      <c r="E3" s="3976"/>
      <c r="F3" s="3976"/>
      <c r="G3" s="3976"/>
    </row>
    <row r="4" ht="18.75" spans="1:7">
      <c r="A4" s="3977" t="str">
        <f>IF(ISNUMBER(FIND("公司",A3)),"受贵公司委托，我公司对"&amp;项目基本情况!I1&amp;"进行了预评估。","受您的委托，我公司对"&amp;项目基本情况!I1&amp;"进行了预评估。")</f>
        <v>受您的委托，我公司对北京市房地产进行了预评估。</v>
      </c>
      <c r="B4" s="3977"/>
      <c r="C4" s="3977"/>
      <c r="D4" s="3977"/>
      <c r="E4" s="3977"/>
      <c r="F4" s="3977"/>
      <c r="G4" s="3977"/>
    </row>
    <row r="5" ht="18.75" spans="1:1">
      <c r="A5" s="3978" t="s">
        <v>79</v>
      </c>
    </row>
    <row r="6" s="3971" customFormat="1" ht="56.25" spans="1:7">
      <c r="A6" s="39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估价对象为北京市房地产，为XX所有。根据《》[]，估价对象建筑面积为118.67平方米。根据《》[]，估价对象（分摊）出让国有建设用地使用权面积为平方米。估价对象用途为。</v>
      </c>
      <c r="B6" s="3977"/>
      <c r="C6" s="3977"/>
      <c r="D6" s="3977"/>
      <c r="E6" s="3977"/>
      <c r="F6" s="3977"/>
      <c r="G6" s="3977"/>
    </row>
    <row r="7" ht="18.75" spans="1:1">
      <c r="A7" s="3978" t="s">
        <v>80</v>
      </c>
    </row>
    <row r="8" ht="18.75" spans="1:7">
      <c r="A8" s="3979" t="str">
        <f>IF(项目基本情况!D4="抵押",IF(项目基本情况!B4=项目基本情况!B5,定义!C51,定义!B51),定义!D51)</f>
        <v>为估价委托人了解估价对象房地产市场价值提供参考依据。</v>
      </c>
      <c r="B8" s="3980"/>
      <c r="C8" s="3977"/>
      <c r="D8" s="3977"/>
      <c r="E8" s="3977"/>
      <c r="F8" s="3977"/>
      <c r="G8" s="3977"/>
    </row>
    <row r="9" ht="18.75" spans="1:2">
      <c r="A9" s="3976" t="s">
        <v>81</v>
      </c>
      <c r="B9" s="3981"/>
    </row>
    <row r="10" ht="18" spans="1:7">
      <c r="A10" s="3982" t="str">
        <f>TEXT(项目基本情况!D2,"yyyy年m月d日;;")&amp;IF(项目基本情况!B2=项目基本情况!D2,"（评估专业人员实地查勘之日）","")</f>
        <v>2005年4月1日</v>
      </c>
      <c r="B10" s="3983"/>
      <c r="C10" s="3983"/>
      <c r="D10" s="3983"/>
      <c r="E10" s="3983"/>
      <c r="F10" s="3983"/>
      <c r="G10" s="3983"/>
    </row>
    <row r="11" ht="18.75" spans="1:1">
      <c r="A11" s="3976" t="s">
        <v>82</v>
      </c>
    </row>
    <row r="12" ht="75" spans="1:7">
      <c r="A12" s="3977" t="s">
        <v>83</v>
      </c>
      <c r="B12" s="3977"/>
      <c r="C12" s="3977"/>
      <c r="D12" s="3977"/>
      <c r="E12" s="3977"/>
      <c r="F12" s="3977"/>
      <c r="G12" s="3977"/>
    </row>
    <row r="13" ht="37.5" spans="1:7">
      <c r="A13" s="397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本次估价的“房地产价值”是指在正常市场情况下，在价值时点2005年4月1日，估价对象规划用途为，假定未设立法定优先受偿款下的房地产市场价值。</v>
      </c>
      <c r="B13" s="3977"/>
      <c r="C13" s="3977"/>
      <c r="D13" s="3977"/>
      <c r="E13" s="3977"/>
      <c r="F13" s="3977"/>
      <c r="G13" s="3977"/>
    </row>
    <row r="14" ht="75" spans="1:7">
      <c r="A14" s="39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984"/>
      <c r="C14" s="3984"/>
      <c r="D14" s="3984"/>
      <c r="E14" s="3984"/>
      <c r="F14" s="3984"/>
      <c r="G14" s="3984"/>
    </row>
    <row r="15" ht="56.25" spans="1:7">
      <c r="A15" s="3977" t="s">
        <v>84</v>
      </c>
      <c r="B15" s="3977"/>
      <c r="C15" s="3977"/>
      <c r="D15" s="3977"/>
      <c r="E15" s="3977"/>
      <c r="F15" s="3977"/>
      <c r="G15" s="3977"/>
    </row>
    <row r="16" ht="56.25" spans="1:7">
      <c r="A16" s="39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984"/>
      <c r="C16" s="3984"/>
      <c r="D16" s="3984"/>
      <c r="E16" s="3984"/>
      <c r="F16" s="3984"/>
      <c r="G16" s="3984"/>
    </row>
    <row r="17" ht="18.75" spans="1:1">
      <c r="A17" s="3976" t="s">
        <v>85</v>
      </c>
    </row>
    <row r="18" ht="18" spans="1:1">
      <c r="A18" s="3908"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3932</v>
      </c>
      <c r="B1" s="1090"/>
      <c r="C1" s="1091" t="s">
        <v>3933</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3934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3401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880</v>
      </c>
      <c r="D5" s="1105"/>
      <c r="E5" s="1106" t="s">
        <v>3894</v>
      </c>
      <c r="F5" s="1107"/>
      <c r="G5" s="1104" t="s">
        <v>3895</v>
      </c>
      <c r="H5" s="1105"/>
      <c r="I5" s="1104" t="s">
        <v>3896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38443</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102</v>
      </c>
      <c r="G10" s="1131"/>
      <c r="H10" s="1129">
        <f>ROUND(100/'数据-取费表'!B14,0)</f>
        <v>102</v>
      </c>
      <c r="I10" s="1131"/>
      <c r="J10" s="1129">
        <f>ROUND(100/'数据-取费表'!B14,0)</f>
        <v>102</v>
      </c>
      <c r="K10" s="1244"/>
      <c r="L10" s="1245"/>
      <c r="M10" s="1246"/>
      <c r="N10" s="1246"/>
      <c r="O10" s="1247"/>
      <c r="P10" s="491"/>
      <c r="Q10" s="1294" t="str">
        <f t="shared" si="6"/>
        <v>土地使用年限（年）</v>
      </c>
      <c r="R10" s="1290" t="s">
        <v>885</v>
      </c>
      <c r="S10" s="1291">
        <f t="shared" si="0"/>
        <v>102</v>
      </c>
      <c r="T10" s="1290" t="s">
        <v>885</v>
      </c>
      <c r="U10" s="1291">
        <f t="shared" si="1"/>
        <v>102</v>
      </c>
      <c r="V10" s="1290" t="s">
        <v>885</v>
      </c>
      <c r="W10" s="1291">
        <f t="shared" si="2"/>
        <v>102</v>
      </c>
      <c r="X10" s="1292"/>
      <c r="Y10" s="1294"/>
      <c r="Z10" s="1311" t="str">
        <f t="shared" si="7"/>
        <v>土地使用年限（年）</v>
      </c>
      <c r="AA10" s="1310">
        <f t="shared" si="3"/>
        <v>0.980392156862745</v>
      </c>
      <c r="AB10" s="1310">
        <f t="shared" si="4"/>
        <v>0.980392156862745</v>
      </c>
      <c r="AC10" s="1310">
        <f t="shared" si="5"/>
        <v>0.980392156862745</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3935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3936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3909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3937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885</v>
      </c>
      <c r="S36" s="1296">
        <f t="shared" si="10"/>
        <v>100</v>
      </c>
      <c r="T36" s="1295" t="s">
        <v>885</v>
      </c>
      <c r="U36" s="1296">
        <f t="shared" si="11"/>
        <v>100</v>
      </c>
      <c r="V36" s="1295" t="s">
        <v>885</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912</v>
      </c>
      <c r="B38" s="1182" t="s">
        <v>3938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3939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3940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3941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3942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885</v>
      </c>
      <c r="S42" s="1296">
        <f t="shared" si="10"/>
        <v>100</v>
      </c>
      <c r="T42" s="1295" t="s">
        <v>885</v>
      </c>
      <c r="U42" s="1296">
        <f t="shared" si="11"/>
        <v>100</v>
      </c>
      <c r="V42" s="1295" t="s">
        <v>885</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3925</v>
      </c>
      <c r="B46" s="1194" t="s">
        <v>3943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934</v>
      </c>
      <c r="B47" s="1202"/>
      <c r="C47" s="1203" t="e">
        <f>R48</f>
        <v>#DIV/0!</v>
      </c>
      <c r="D47" s="831" t="s">
        <v>935</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936</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937</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938</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939</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3944</v>
      </c>
      <c r="B55" s="1213" t="s">
        <v>3945</v>
      </c>
      <c r="C55" s="1214" t="s">
        <v>3946</v>
      </c>
      <c r="D55" s="1215" t="s">
        <v>3947</v>
      </c>
      <c r="E55" s="1216" t="s">
        <v>3948</v>
      </c>
      <c r="F55" s="1217" t="s">
        <v>3949</v>
      </c>
      <c r="G55" s="1218" t="s">
        <v>3950</v>
      </c>
      <c r="H55" s="1218" t="str">
        <f>项目基本情况!G8</f>
        <v>XX</v>
      </c>
      <c r="I55" s="1276" t="s">
        <v>3951</v>
      </c>
      <c r="J55" s="1277"/>
      <c r="K55" s="1278"/>
    </row>
    <row r="56" s="1084" customFormat="1" spans="1:14">
      <c r="A56" s="1219" t="s">
        <v>3952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3953</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3954</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3955</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3956</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3957</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3958</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3959</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3960</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3961</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3962</v>
      </c>
      <c r="B66" s="1316" t="s">
        <v>3906</v>
      </c>
      <c r="C66" s="1316" t="s">
        <v>3906</v>
      </c>
      <c r="D66" s="1316" t="s">
        <v>3906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2005-4-1</v>
      </c>
      <c r="D68" s="1322">
        <f>EDATE(C68,-3)</f>
        <v>38353</v>
      </c>
      <c r="E68" s="1322">
        <f t="shared" ref="E68:O68" si="18">EDATE(D68,-3)</f>
        <v>38261</v>
      </c>
      <c r="F68" s="1322">
        <f t="shared" si="18"/>
        <v>38169</v>
      </c>
      <c r="G68" s="1322">
        <f t="shared" si="18"/>
        <v>38078</v>
      </c>
      <c r="H68" s="1322">
        <f t="shared" si="18"/>
        <v>37987</v>
      </c>
      <c r="I68" s="1322">
        <f t="shared" si="18"/>
        <v>37895</v>
      </c>
      <c r="J68" s="1322">
        <f t="shared" si="18"/>
        <v>37803</v>
      </c>
      <c r="K68" s="1322">
        <f t="shared" si="18"/>
        <v>37712</v>
      </c>
      <c r="L68" s="1322">
        <f t="shared" si="18"/>
        <v>37622</v>
      </c>
      <c r="M68" s="1322">
        <f t="shared" si="18"/>
        <v>37530</v>
      </c>
      <c r="N68" s="1322">
        <f t="shared" si="18"/>
        <v>37438</v>
      </c>
      <c r="O68" s="1322">
        <f t="shared" si="18"/>
        <v>37347</v>
      </c>
    </row>
    <row r="69" ht="21" spans="1:17">
      <c r="A69" s="1323" t="s">
        <v>940</v>
      </c>
      <c r="B69" s="1300"/>
      <c r="C69" s="1324"/>
      <c r="D69" s="1324"/>
      <c r="E69" s="1324"/>
      <c r="F69" s="1324"/>
      <c r="G69" s="1324"/>
      <c r="H69" s="1324"/>
      <c r="I69" s="1375"/>
      <c r="J69" s="1375"/>
      <c r="K69" s="1376"/>
      <c r="L69" s="1377"/>
      <c r="M69" s="1375"/>
      <c r="N69" s="1375"/>
      <c r="O69" s="1375"/>
      <c r="P69" s="1378"/>
      <c r="Q69" s="1382"/>
    </row>
    <row r="70" s="1086" customFormat="1" ht="15" spans="1:16">
      <c r="A70" s="1325" t="s">
        <v>3963</v>
      </c>
      <c r="B70" s="1326"/>
      <c r="C70" s="1327" t="str">
        <f>YEAR(C68)&amp;"-"&amp;ROUNDUP(MONTH(C68)/3,0)</f>
        <v>2005-2</v>
      </c>
      <c r="D70" s="1327" t="str">
        <f>YEAR(D68)&amp;"-"&amp;ROUNDUP(MONTH(D68)/3,0)</f>
        <v>2005-1</v>
      </c>
      <c r="E70" s="1327" t="str">
        <f t="shared" ref="E70:O70" si="19">YEAR(E68)&amp;"-"&amp;ROUNDUP(MONTH(E68)/3,0)</f>
        <v>2004-4</v>
      </c>
      <c r="F70" s="1327" t="str">
        <f t="shared" si="19"/>
        <v>2004-3</v>
      </c>
      <c r="G70" s="1327" t="str">
        <f t="shared" si="19"/>
        <v>2004-2</v>
      </c>
      <c r="H70" s="1327" t="str">
        <f t="shared" si="19"/>
        <v>2004-1</v>
      </c>
      <c r="I70" s="1327" t="str">
        <f t="shared" si="19"/>
        <v>2003-4</v>
      </c>
      <c r="J70" s="1327" t="str">
        <f t="shared" si="19"/>
        <v>2003-3</v>
      </c>
      <c r="K70" s="1327" t="str">
        <f t="shared" si="19"/>
        <v>2003-2</v>
      </c>
      <c r="L70" s="1327" t="str">
        <f t="shared" si="19"/>
        <v>2003-1</v>
      </c>
      <c r="M70" s="1327" t="str">
        <f t="shared" si="19"/>
        <v>2002-4</v>
      </c>
      <c r="N70" s="1327" t="str">
        <f t="shared" si="19"/>
        <v>2002-3</v>
      </c>
      <c r="O70" s="1327" t="str">
        <f t="shared" si="19"/>
        <v>2002-2</v>
      </c>
      <c r="P70" s="1379"/>
    </row>
    <row r="71" s="1080" customFormat="1" ht="29.25" customHeight="1" spans="1:16">
      <c r="A71" s="1328" t="s">
        <v>3964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941</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942</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3936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950</v>
      </c>
      <c r="D102" s="1346" t="s">
        <v>951</v>
      </c>
      <c r="E102" s="1346" t="s">
        <v>952</v>
      </c>
      <c r="F102" s="1346" t="s">
        <v>953</v>
      </c>
      <c r="G102" s="1346" t="s">
        <v>954</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3965</v>
      </c>
      <c r="D104" s="1346" t="s">
        <v>3966</v>
      </c>
      <c r="E104" s="1346" t="s">
        <v>3967</v>
      </c>
      <c r="F104" s="1346" t="s">
        <v>3968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3909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3937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912</v>
      </c>
      <c r="B116" s="1341" t="s">
        <v>3938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3939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3940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3941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3942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3932</v>
      </c>
      <c r="B1" s="717"/>
      <c r="C1" s="718" t="s">
        <v>3913</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3934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3401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880</v>
      </c>
      <c r="D5" s="737"/>
      <c r="E5" s="738" t="s">
        <v>3894</v>
      </c>
      <c r="F5" s="739"/>
      <c r="G5" s="736" t="s">
        <v>3895</v>
      </c>
      <c r="H5" s="737"/>
      <c r="I5" s="736" t="s">
        <v>3896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38443</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102</v>
      </c>
      <c r="G10" s="760"/>
      <c r="H10" s="761">
        <f>ROUND(100/'数据-取费表'!B14,0)</f>
        <v>102</v>
      </c>
      <c r="I10" s="760"/>
      <c r="J10" s="761">
        <f>ROUND(100/'数据-取费表'!B14,0)</f>
        <v>102</v>
      </c>
      <c r="K10" s="894"/>
      <c r="L10" s="895"/>
      <c r="M10" s="896"/>
      <c r="N10" s="896"/>
      <c r="O10" s="897"/>
      <c r="P10" s="893"/>
      <c r="Q10" s="946" t="str">
        <f t="shared" si="6"/>
        <v>土地使用年限（年）</v>
      </c>
      <c r="R10" s="942" t="s">
        <v>885</v>
      </c>
      <c r="S10" s="943">
        <f t="shared" si="0"/>
        <v>102</v>
      </c>
      <c r="T10" s="942" t="s">
        <v>885</v>
      </c>
      <c r="U10" s="943">
        <f t="shared" si="1"/>
        <v>102</v>
      </c>
      <c r="V10" s="942" t="s">
        <v>885</v>
      </c>
      <c r="W10" s="943">
        <f t="shared" si="2"/>
        <v>102</v>
      </c>
      <c r="X10" s="944"/>
      <c r="Y10" s="946"/>
      <c r="Z10" s="962" t="str">
        <f t="shared" si="7"/>
        <v>土地使用年限（年）</v>
      </c>
      <c r="AA10" s="961">
        <f t="shared" si="3"/>
        <v>0.980392156862745</v>
      </c>
      <c r="AB10" s="961">
        <f t="shared" si="4"/>
        <v>0.980392156862745</v>
      </c>
      <c r="AC10" s="961">
        <f t="shared" si="5"/>
        <v>0.980392156862745</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3969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3909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3937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885</v>
      </c>
      <c r="S32" s="948">
        <f t="shared" si="10"/>
        <v>100</v>
      </c>
      <c r="T32" s="947" t="s">
        <v>885</v>
      </c>
      <c r="U32" s="948">
        <f t="shared" si="11"/>
        <v>100</v>
      </c>
      <c r="V32" s="947" t="s">
        <v>885</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912</v>
      </c>
      <c r="B34" s="811" t="s">
        <v>3938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3939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3941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3942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885</v>
      </c>
      <c r="S37" s="948">
        <f t="shared" si="10"/>
        <v>100</v>
      </c>
      <c r="T37" s="947" t="s">
        <v>885</v>
      </c>
      <c r="U37" s="948">
        <f t="shared" si="11"/>
        <v>100</v>
      </c>
      <c r="V37" s="947" t="s">
        <v>885</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3925</v>
      </c>
      <c r="B41" s="821" t="s">
        <v>3970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934</v>
      </c>
      <c r="B42" s="829"/>
      <c r="C42" s="830" t="e">
        <f>R43</f>
        <v>#DIV/0!</v>
      </c>
      <c r="D42" s="831" t="s">
        <v>935</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936</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937</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938</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939</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3944</v>
      </c>
      <c r="B50" s="846" t="s">
        <v>3945</v>
      </c>
      <c r="C50" s="847" t="s">
        <v>3946</v>
      </c>
      <c r="D50" s="848" t="s">
        <v>3947</v>
      </c>
      <c r="E50" s="849" t="s">
        <v>3948</v>
      </c>
      <c r="F50" s="850" t="s">
        <v>3949</v>
      </c>
      <c r="G50" s="851" t="s">
        <v>3971</v>
      </c>
      <c r="H50" s="851" t="str">
        <f>项目基本情况!G8</f>
        <v>XX</v>
      </c>
      <c r="I50" s="923" t="s">
        <v>3951</v>
      </c>
      <c r="J50" s="924"/>
      <c r="K50" s="925"/>
    </row>
    <row r="51" s="711" customFormat="1" spans="1:15">
      <c r="A51" s="852" t="s">
        <v>3952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3953</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3954</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3955</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3956</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3957</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3958</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3959</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3960</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3961</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3962</v>
      </c>
      <c r="B61" s="864" t="s">
        <v>3906</v>
      </c>
      <c r="C61" s="864" t="s">
        <v>3906</v>
      </c>
      <c r="D61" s="864" t="s">
        <v>3906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2005-4-1</v>
      </c>
      <c r="D63" s="870">
        <f>EDATE(C63,-3)</f>
        <v>38353</v>
      </c>
      <c r="E63" s="870">
        <f t="shared" ref="E63:O63" si="18">EDATE(D63,-3)</f>
        <v>38261</v>
      </c>
      <c r="F63" s="870">
        <f t="shared" si="18"/>
        <v>38169</v>
      </c>
      <c r="G63" s="870">
        <f t="shared" si="18"/>
        <v>38078</v>
      </c>
      <c r="H63" s="870">
        <f t="shared" si="18"/>
        <v>37987</v>
      </c>
      <c r="I63" s="870">
        <f t="shared" si="18"/>
        <v>37895</v>
      </c>
      <c r="J63" s="870">
        <f t="shared" si="18"/>
        <v>37803</v>
      </c>
      <c r="K63" s="870">
        <f t="shared" si="18"/>
        <v>37712</v>
      </c>
      <c r="L63" s="870">
        <f t="shared" si="18"/>
        <v>37622</v>
      </c>
      <c r="M63" s="870">
        <f t="shared" si="18"/>
        <v>37530</v>
      </c>
      <c r="N63" s="870">
        <f t="shared" si="18"/>
        <v>37438</v>
      </c>
      <c r="O63" s="870">
        <f t="shared" si="18"/>
        <v>37347</v>
      </c>
    </row>
    <row r="64" ht="21" spans="1:17">
      <c r="A64" s="871" t="s">
        <v>940</v>
      </c>
      <c r="B64" s="872"/>
      <c r="C64" s="873"/>
      <c r="D64" s="873"/>
      <c r="E64" s="873"/>
      <c r="F64" s="874"/>
      <c r="G64" s="874"/>
      <c r="H64" s="873"/>
      <c r="I64" s="927"/>
      <c r="J64" s="927"/>
      <c r="K64" s="928"/>
      <c r="L64" s="929"/>
      <c r="M64" s="927"/>
      <c r="N64" s="927"/>
      <c r="O64" s="927"/>
      <c r="P64" s="930"/>
      <c r="Q64" s="955"/>
    </row>
    <row r="65" s="712" customFormat="1" ht="15" spans="1:16">
      <c r="A65" s="966" t="s">
        <v>3963</v>
      </c>
      <c r="B65" s="967"/>
      <c r="C65" s="968" t="str">
        <f>YEAR(C63)&amp;"-"&amp;ROUNDUP(MONTH(C63)/3,0)</f>
        <v>2005-2</v>
      </c>
      <c r="D65" s="968" t="str">
        <f t="shared" ref="D65:O65" si="19">YEAR(D63)&amp;"-"&amp;ROUNDUP(MONTH(D63)/3,0)</f>
        <v>2005-1</v>
      </c>
      <c r="E65" s="968" t="str">
        <f t="shared" si="19"/>
        <v>2004-4</v>
      </c>
      <c r="F65" s="968" t="str">
        <f t="shared" si="19"/>
        <v>2004-3</v>
      </c>
      <c r="G65" s="968" t="str">
        <f t="shared" si="19"/>
        <v>2004-2</v>
      </c>
      <c r="H65" s="968" t="str">
        <f t="shared" si="19"/>
        <v>2004-1</v>
      </c>
      <c r="I65" s="968" t="str">
        <f t="shared" si="19"/>
        <v>2003-4</v>
      </c>
      <c r="J65" s="968" t="str">
        <f t="shared" si="19"/>
        <v>2003-3</v>
      </c>
      <c r="K65" s="968" t="str">
        <f t="shared" si="19"/>
        <v>2003-2</v>
      </c>
      <c r="L65" s="968" t="str">
        <f t="shared" si="19"/>
        <v>2003-1</v>
      </c>
      <c r="M65" s="968" t="str">
        <f t="shared" si="19"/>
        <v>2002-4</v>
      </c>
      <c r="N65" s="968" t="str">
        <f t="shared" si="19"/>
        <v>2002-3</v>
      </c>
      <c r="O65" s="968" t="str">
        <f t="shared" si="19"/>
        <v>2002-2</v>
      </c>
      <c r="P65" s="1021"/>
    </row>
    <row r="66" s="707" customFormat="1" ht="33.75" customHeight="1" spans="1:16">
      <c r="A66" s="969" t="s">
        <v>3972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941</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942</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3936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950</v>
      </c>
      <c r="D93" s="988" t="s">
        <v>951</v>
      </c>
      <c r="E93" s="988" t="s">
        <v>952</v>
      </c>
      <c r="F93" s="988" t="s">
        <v>953</v>
      </c>
      <c r="G93" s="988" t="s">
        <v>954</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3965</v>
      </c>
      <c r="D95" s="988" t="s">
        <v>3966</v>
      </c>
      <c r="E95" s="988" t="s">
        <v>3967</v>
      </c>
      <c r="F95" s="988" t="s">
        <v>3968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3909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3937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912</v>
      </c>
      <c r="B107" s="983" t="s">
        <v>3938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3939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3941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3942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D52:D60">
      <formula1>"25%,1"</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3973</v>
      </c>
      <c r="B1" s="398"/>
      <c r="C1" s="399" t="s">
        <v>872</v>
      </c>
      <c r="D1" s="400">
        <f>SUM(D29:D30,D33:D39)</f>
        <v>118.67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3974</v>
      </c>
      <c r="S1" s="646" t="s">
        <v>3975</v>
      </c>
      <c r="T1" s="646" t="s">
        <v>3976</v>
      </c>
      <c r="U1" s="646" t="s">
        <v>3977</v>
      </c>
      <c r="V1" s="646" t="s">
        <v>3978</v>
      </c>
      <c r="W1" s="647"/>
      <c r="X1" s="647"/>
      <c r="Y1" s="647"/>
      <c r="Z1" s="647"/>
      <c r="AA1" s="647"/>
      <c r="AB1" s="647"/>
      <c r="AC1" s="647"/>
      <c r="AD1" s="655"/>
      <c r="AE1" s="655"/>
      <c r="AF1" s="655"/>
      <c r="AG1" s="655"/>
      <c r="AH1" s="655"/>
      <c r="AI1" s="655"/>
      <c r="AJ1" s="666"/>
    </row>
    <row r="2" ht="24.75" spans="1:36">
      <c r="A2" s="401" t="s">
        <v>870</v>
      </c>
      <c r="B2" s="402">
        <f>C26</f>
        <v>0</v>
      </c>
      <c r="C2" s="403" t="s">
        <v>3934</v>
      </c>
      <c r="D2" s="404" t="s">
        <v>3979</v>
      </c>
      <c r="E2" s="405" t="s">
        <v>461</v>
      </c>
      <c r="F2" s="404" t="s">
        <v>3980</v>
      </c>
      <c r="G2" s="406">
        <f>项目基本情况!F9</f>
        <v>0</v>
      </c>
      <c r="H2" s="407" t="s">
        <v>3981</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3401</v>
      </c>
      <c r="D3" s="404" t="s">
        <v>3982</v>
      </c>
      <c r="E3" s="405" t="s">
        <v>3983</v>
      </c>
      <c r="F3" s="408" t="s">
        <v>3984</v>
      </c>
      <c r="G3" s="409">
        <f>项目基本情况!C15</f>
        <v>0</v>
      </c>
      <c r="H3" s="410" t="s">
        <v>3985</v>
      </c>
      <c r="I3" s="578"/>
      <c r="J3" s="574" t="s">
        <v>3986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3987</v>
      </c>
      <c r="B5" s="414" t="s">
        <v>3988</v>
      </c>
      <c r="C5" s="415">
        <f>ROUND(IF(E2="商业",C6*C7+C16,(IF(E2="住宅",C6*C12+C16,C6+C16))),0)</f>
        <v>0</v>
      </c>
      <c r="D5" s="416">
        <f>ROUND(C6+C16,0)</f>
        <v>0</v>
      </c>
      <c r="E5" s="416"/>
      <c r="F5" s="417"/>
      <c r="G5" s="418"/>
      <c r="H5" s="418"/>
      <c r="I5" s="418"/>
      <c r="J5" s="580"/>
      <c r="K5" s="581"/>
      <c r="L5" s="575" t="s">
        <v>3989</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3990</v>
      </c>
      <c r="C6" s="421">
        <f>SUMIF(L1:L12,G2,M1:M12)</f>
        <v>0</v>
      </c>
      <c r="D6" s="422" t="s">
        <v>3991</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3992</v>
      </c>
      <c r="C7" s="426" t="e">
        <f>IF(C8="不临58条商业街",1,ROUND(1+(1.6*E8+1.2*E9+0.8*E10+0.4*E11)*C9,4))</f>
        <v>#DIV/0!</v>
      </c>
      <c r="D7" s="427" t="s">
        <v>3993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3994</v>
      </c>
      <c r="X7" s="650">
        <f>G2</f>
        <v>0</v>
      </c>
      <c r="Y7" s="650" t="s">
        <v>3984</v>
      </c>
      <c r="Z7" s="658">
        <f>G3</f>
        <v>0</v>
      </c>
      <c r="AA7" s="647"/>
      <c r="AB7" s="647"/>
      <c r="AC7" s="647"/>
      <c r="AD7" s="655"/>
      <c r="AE7" s="655"/>
      <c r="AF7" s="655"/>
      <c r="AG7" s="655"/>
      <c r="AH7" s="655"/>
      <c r="AI7" s="655"/>
      <c r="AJ7" s="666"/>
    </row>
    <row r="8" ht="15" spans="1:36">
      <c r="A8" s="430"/>
      <c r="B8" s="410" t="s">
        <v>3995</v>
      </c>
      <c r="C8" s="431"/>
      <c r="D8" s="432" t="s">
        <v>3996</v>
      </c>
      <c r="E8" s="433" t="e">
        <f>ROUND(C11/E7,4)</f>
        <v>#DIV/0!</v>
      </c>
      <c r="F8" s="434" t="s">
        <v>3997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3998</v>
      </c>
      <c r="X8" s="649"/>
      <c r="Y8" s="659" t="s">
        <v>3999</v>
      </c>
      <c r="Z8" s="659" t="s">
        <v>4000</v>
      </c>
      <c r="AA8" s="659" t="s">
        <v>4001</v>
      </c>
      <c r="AB8" s="659" t="s">
        <v>4002</v>
      </c>
      <c r="AC8" s="659" t="s">
        <v>4003</v>
      </c>
      <c r="AD8" s="659" t="s">
        <v>4004</v>
      </c>
      <c r="AE8" s="659" t="s">
        <v>4005</v>
      </c>
      <c r="AF8" s="659" t="s">
        <v>4006</v>
      </c>
      <c r="AG8" s="659" t="s">
        <v>4007</v>
      </c>
      <c r="AH8" s="659" t="s">
        <v>4008</v>
      </c>
      <c r="AI8" s="659" t="s">
        <v>4009</v>
      </c>
      <c r="AJ8" s="659" t="s">
        <v>4010</v>
      </c>
    </row>
    <row r="9" ht="15" spans="1:36">
      <c r="A9" s="430"/>
      <c r="B9" s="410" t="s">
        <v>4011</v>
      </c>
      <c r="C9" s="436">
        <f>SUMIF(修正!C59:C119,C8,修正!E59:E119)</f>
        <v>0</v>
      </c>
      <c r="D9" s="410" t="s">
        <v>4012</v>
      </c>
      <c r="E9" s="410" t="e">
        <f>ROUND(C11/E7,4)</f>
        <v>#DIV/0!</v>
      </c>
      <c r="F9" s="434" t="s">
        <v>4013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4014</v>
      </c>
      <c r="X9" s="652" t="s">
        <v>4015</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4016</v>
      </c>
      <c r="C10" s="410">
        <f>SUMIF(修正!C59:C119,C8,修正!F59:F119)</f>
        <v>0</v>
      </c>
      <c r="D10" s="410" t="s">
        <v>4017</v>
      </c>
      <c r="E10" s="410" t="e">
        <f>ROUND(C11/E7,4)</f>
        <v>#DIV/0!</v>
      </c>
      <c r="F10" s="434" t="s">
        <v>4018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4019</v>
      </c>
      <c r="C11" s="437">
        <f>C10/4</f>
        <v>0</v>
      </c>
      <c r="D11" s="437" t="s">
        <v>4020</v>
      </c>
      <c r="E11" s="437" t="e">
        <f>ROUND(C11/E7,4)</f>
        <v>#DIV/0!</v>
      </c>
      <c r="F11" s="438" t="s">
        <v>4021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4022</v>
      </c>
      <c r="X11" s="653" t="s">
        <v>3984</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4023</v>
      </c>
      <c r="C12" s="426">
        <f>ROUND(C15*D15*E15*F15*G15*H15*I15*J15,4)</f>
        <v>1.32</v>
      </c>
      <c r="D12" s="441" t="s">
        <v>4024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4025</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4026</v>
      </c>
      <c r="C13" s="445" t="s">
        <v>4027</v>
      </c>
      <c r="D13" s="446" t="s">
        <v>4028</v>
      </c>
      <c r="E13" s="446" t="s">
        <v>4029</v>
      </c>
      <c r="F13" s="447" t="s">
        <v>4030</v>
      </c>
      <c r="G13" s="448" t="s">
        <v>4031</v>
      </c>
      <c r="H13" s="448" t="s">
        <v>4031</v>
      </c>
      <c r="I13" s="448" t="s">
        <v>4031</v>
      </c>
      <c r="J13" s="591" t="s">
        <v>4031</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4032</v>
      </c>
      <c r="D14" s="450" t="s">
        <v>4033</v>
      </c>
      <c r="E14" s="450" t="s">
        <v>4033</v>
      </c>
      <c r="F14" s="451" t="s">
        <v>4034</v>
      </c>
      <c r="G14" s="452" t="s">
        <v>4035</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3868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4036</v>
      </c>
      <c r="C16" s="425">
        <f>ROUND(IF(F17="与级别开发程度一致",0,(G17-E17)/C17),0)</f>
        <v>0</v>
      </c>
      <c r="D16" s="460" t="s">
        <v>4037</v>
      </c>
      <c r="E16" s="461"/>
      <c r="F16" s="460" t="s">
        <v>4038</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4039</v>
      </c>
      <c r="C17" s="465">
        <f>SUMPRODUCT((修正!A2:A5=E2)*(修正!B1:M1=G2)*(修正!B2:M5))</f>
        <v>0</v>
      </c>
      <c r="D17" s="456" t="str">
        <f>IF(OR(G2="八级",G2="九级",G2="十级",G2="十一级",G2="十二级"),"五通一平","七通一平")</f>
        <v>七通一平</v>
      </c>
      <c r="E17" s="466">
        <f>SUMPRODUCT((修正!B1:M1=G2)*(修正!B15:M15))</f>
        <v>0</v>
      </c>
      <c r="F17" s="467" t="s">
        <v>4040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4041</v>
      </c>
      <c r="B18" s="470" t="s">
        <v>4042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4043</v>
      </c>
      <c r="B19" s="474" t="s">
        <v>4044</v>
      </c>
      <c r="C19" s="475">
        <f>ROUND(IF(H19="按公示增长率计算",SUMPRODUCT((地价!A3:A37=YEAR(G19)&amp;"-"&amp;ROUNDUP(MONTH(G19)/3,0))*(地价!X2:AB2=E2)*(地价!X3:AB37)),IF(H19="地价指数",M20/M19,(1+I19)^O19)),4)</f>
        <v>0</v>
      </c>
      <c r="D19" s="476" t="s">
        <v>4045</v>
      </c>
      <c r="E19" s="477">
        <v>41640</v>
      </c>
      <c r="F19" s="476" t="s">
        <v>4046</v>
      </c>
      <c r="G19" s="478">
        <f>'数据-取费表'!B2</f>
        <v>38443</v>
      </c>
      <c r="H19" s="479" t="s">
        <v>4047</v>
      </c>
      <c r="I19" s="600" t="str">
        <f>IF(H19="季度增幅（自定义）",SUMIF(N21:N24,E2,O21:O24),"")</f>
        <v/>
      </c>
      <c r="J19" s="601"/>
      <c r="K19" s="599"/>
      <c r="L19" s="602" t="s">
        <v>4048</v>
      </c>
      <c r="M19" s="603">
        <f>ROUND(SUMIF(地价!B2:F2,E2,地价!B37:F37),0)</f>
        <v>423</v>
      </c>
      <c r="N19" s="604" t="s">
        <v>4049</v>
      </c>
      <c r="O19" s="605" t="e">
        <f>ROUNDDOWN(DATEDIF(E19,G19,"M")/3,0)</f>
        <v>#NUM!</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4050</v>
      </c>
      <c r="B20" s="481" t="s">
        <v>4051</v>
      </c>
      <c r="C20" s="482">
        <f>ROUND(POWER(1+G20,J20-I20)*(POWER(1+G20,I20)-1)/(POWER(1+G20,J20)-1),4)</f>
        <v>0.9838</v>
      </c>
      <c r="D20" s="483" t="s">
        <v>4052</v>
      </c>
      <c r="E20" s="484">
        <f>存贷款利率!E20/100</f>
        <v>0.0435</v>
      </c>
      <c r="F20" s="483" t="s">
        <v>4053</v>
      </c>
      <c r="G20" s="485">
        <f>SUMIF(M26:P26,E2,M28:P28)</f>
        <v>0.05</v>
      </c>
      <c r="H20" s="483" t="s">
        <v>4054</v>
      </c>
      <c r="I20" s="460">
        <f>'数据-取费表'!B13</f>
        <v>62</v>
      </c>
      <c r="J20" s="606">
        <f>IF(E2="住宅",70,IF(E2="商业",40,50))</f>
        <v>70</v>
      </c>
      <c r="K20" s="599"/>
      <c r="L20" s="607" t="s">
        <v>4055</v>
      </c>
      <c r="M20" s="608">
        <f>ROUND(SUMPRODUCT((地价!A4:A37=YEAR(G19)&amp;"-"&amp;ROUNDUP(MONTH(G19)/3,0))*(地价!B2:F2=E2)*(地价!B4:F37)),0)</f>
        <v>0</v>
      </c>
      <c r="N20" s="609" t="s">
        <v>4056</v>
      </c>
      <c r="O20" s="610" t="s">
        <v>4057</v>
      </c>
      <c r="P20" s="611" t="s">
        <v>4058</v>
      </c>
      <c r="Q20" s="599"/>
      <c r="R20" s="541"/>
      <c r="S20" s="541"/>
      <c r="T20" s="541"/>
      <c r="U20" s="541"/>
      <c r="V20" s="541"/>
      <c r="W20" s="541"/>
      <c r="X20" s="396"/>
      <c r="Y20" s="396"/>
      <c r="Z20" s="396"/>
      <c r="AA20" s="396"/>
      <c r="AB20" s="396"/>
      <c r="AC20" s="396"/>
      <c r="AD20" s="396"/>
      <c r="AE20" s="664"/>
      <c r="AF20" s="664"/>
    </row>
    <row r="21" s="393" customFormat="1" ht="14.25" spans="1:32">
      <c r="A21" s="486" t="s">
        <v>4059</v>
      </c>
      <c r="B21" s="487" t="s">
        <v>4060</v>
      </c>
      <c r="C21" s="488">
        <f>IF(B21="容积率修正",IF(G3&lt;=10,D22,J22),C23)</f>
        <v>0</v>
      </c>
      <c r="D21" s="489"/>
      <c r="E21" s="489"/>
      <c r="F21" s="489"/>
      <c r="G21" s="489"/>
      <c r="H21" s="489"/>
      <c r="I21" s="489"/>
      <c r="J21" s="612"/>
      <c r="K21" s="599"/>
      <c r="L21" s="599"/>
      <c r="M21" s="599"/>
      <c r="N21" s="613" t="s">
        <v>4061</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4062</v>
      </c>
      <c r="C22" s="491" t="s">
        <v>4063</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4064</v>
      </c>
      <c r="J22" s="616" t="str">
        <f>IF(G3&gt;10,D113,"——")</f>
        <v>——</v>
      </c>
      <c r="K22" s="599"/>
      <c r="L22" s="599"/>
      <c r="M22" s="599"/>
      <c r="N22" s="613" t="s">
        <v>4065</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4066</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4067</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4068</v>
      </c>
      <c r="B24" s="497" t="s">
        <v>4069</v>
      </c>
      <c r="C24" s="498">
        <f>SUMIF(A46:A88,E2,B46:B88)</f>
        <v>1</v>
      </c>
      <c r="D24" s="499"/>
      <c r="E24" s="500"/>
      <c r="F24" s="500"/>
      <c r="G24" s="500"/>
      <c r="H24" s="500"/>
      <c r="I24" s="500"/>
      <c r="J24" s="617"/>
      <c r="K24" s="599"/>
      <c r="L24" s="599"/>
      <c r="M24" s="599"/>
      <c r="N24" s="618" t="s">
        <v>4070</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4071</v>
      </c>
      <c r="B25" s="501" t="s">
        <v>4072</v>
      </c>
      <c r="C25" s="502"/>
      <c r="D25" s="429"/>
      <c r="E25" s="429"/>
      <c r="F25" s="503"/>
      <c r="G25" s="429"/>
      <c r="H25" s="429"/>
      <c r="I25" s="429"/>
      <c r="J25" s="584"/>
      <c r="K25" s="541"/>
      <c r="L25" s="541"/>
      <c r="M25" s="541"/>
      <c r="N25" s="621" t="s">
        <v>4073</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4074</v>
      </c>
      <c r="C26" s="505">
        <f>IF(B21="容积率修正",E29+SUM(E33:E39),SUM(V2:V16)+SUM(E33:E39))</f>
        <v>0</v>
      </c>
      <c r="D26" s="506"/>
      <c r="E26" s="453"/>
      <c r="F26" s="507"/>
      <c r="G26" s="453"/>
      <c r="H26" s="453"/>
      <c r="I26" s="453"/>
      <c r="J26" s="624"/>
      <c r="K26" s="541"/>
      <c r="L26" s="625" t="s">
        <v>4075</v>
      </c>
      <c r="M26" s="427" t="s">
        <v>4076</v>
      </c>
      <c r="N26" s="427" t="s">
        <v>4077</v>
      </c>
      <c r="O26" s="427" t="s">
        <v>4078</v>
      </c>
      <c r="P26" s="626" t="s">
        <v>4079</v>
      </c>
      <c r="Q26" s="541"/>
      <c r="R26" s="541"/>
      <c r="S26" s="541"/>
      <c r="T26" s="541"/>
      <c r="U26" s="541"/>
      <c r="V26" s="541"/>
      <c r="W26" s="541"/>
      <c r="X26" s="396"/>
      <c r="Y26" s="396"/>
      <c r="Z26" s="396"/>
      <c r="AA26" s="396"/>
      <c r="AB26" s="396"/>
      <c r="AC26" s="396"/>
      <c r="AD26" s="396"/>
      <c r="AE26" s="396"/>
      <c r="AF26" s="396"/>
    </row>
    <row r="27" ht="15.75" spans="1:32">
      <c r="A27" s="504"/>
      <c r="B27" s="508" t="s">
        <v>4080</v>
      </c>
      <c r="C27" s="509">
        <f>E30+SUM(I33:I39)</f>
        <v>0</v>
      </c>
      <c r="D27" s="510"/>
      <c r="E27" s="511"/>
      <c r="F27" s="512"/>
      <c r="G27" s="511"/>
      <c r="H27" s="511"/>
      <c r="I27" s="511"/>
      <c r="J27" s="627"/>
      <c r="K27" s="541"/>
      <c r="L27" s="628" t="s">
        <v>4081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4082</v>
      </c>
      <c r="C28" s="514" t="s">
        <v>4083</v>
      </c>
      <c r="D28" s="514" t="s">
        <v>4084</v>
      </c>
      <c r="E28" s="501" t="s">
        <v>4085</v>
      </c>
      <c r="F28" s="515"/>
      <c r="G28" s="442"/>
      <c r="H28" s="442"/>
      <c r="I28" s="442"/>
      <c r="J28" s="587"/>
      <c r="K28" s="541"/>
      <c r="L28" s="630" t="s">
        <v>4053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4086</v>
      </c>
      <c r="C29" s="516">
        <f>ROUND(C5*C18*C19*C20*C21*C24,0)</f>
        <v>0</v>
      </c>
      <c r="D29" s="517">
        <f>项目基本情况!C12</f>
        <v>118.67</v>
      </c>
      <c r="E29" s="518">
        <f>ROUND(C29*D29,0)</f>
        <v>0</v>
      </c>
      <c r="F29" s="519" t="s">
        <v>4087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4088</v>
      </c>
      <c r="C30" s="456">
        <f>ROUND(IF(E2="工业",C29*M39,C29*M38),0)</f>
        <v>0</v>
      </c>
      <c r="D30" s="522"/>
      <c r="E30" s="518">
        <f>ROUND(C30*D30,0)</f>
        <v>0</v>
      </c>
      <c r="F30" s="523" t="s">
        <v>4089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4090</v>
      </c>
      <c r="C31" s="527" t="s">
        <v>4091</v>
      </c>
      <c r="D31" s="442"/>
      <c r="E31" s="527"/>
      <c r="F31" s="527"/>
      <c r="G31" s="441" t="s">
        <v>4089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4083</v>
      </c>
      <c r="D32" s="530" t="s">
        <v>4084</v>
      </c>
      <c r="E32" s="530" t="s">
        <v>4085</v>
      </c>
      <c r="F32" s="410" t="s">
        <v>4092</v>
      </c>
      <c r="G32" s="492" t="s">
        <v>4083</v>
      </c>
      <c r="H32" s="492" t="s">
        <v>4084</v>
      </c>
      <c r="I32" s="492" t="s">
        <v>4085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4093</v>
      </c>
      <c r="B33" s="532" t="s">
        <v>4094</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4095</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4096</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4097</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4098</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4099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4100</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4101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4102</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4079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4103</v>
      </c>
      <c r="C41" s="410">
        <f>ROUND(POWER(1+E41,H41-G41)*(POWER(1+E41,G41)-1)/(POWER(1+E41,H41)-1),4)</f>
        <v>0</v>
      </c>
      <c r="D41" s="410" t="s">
        <v>4053</v>
      </c>
      <c r="E41" s="539">
        <f>G20</f>
        <v>0.05</v>
      </c>
      <c r="F41" s="410" t="s">
        <v>4054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4104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4105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4106</v>
      </c>
      <c r="B47" s="552" t="s">
        <v>4107</v>
      </c>
      <c r="C47" s="552" t="s">
        <v>4108</v>
      </c>
      <c r="D47" s="552" t="s">
        <v>4109</v>
      </c>
      <c r="E47" s="553" t="s">
        <v>4110</v>
      </c>
      <c r="F47" s="506" t="s">
        <v>4111</v>
      </c>
      <c r="G47" s="552" t="s">
        <v>3868</v>
      </c>
      <c r="H47" s="554" t="s">
        <v>4112</v>
      </c>
      <c r="I47" s="552" t="s">
        <v>4113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4114</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4115</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4116</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4117</v>
      </c>
      <c r="B51" s="563" t="s">
        <v>4118</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4119</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4120</v>
      </c>
      <c r="B53" s="564" t="s">
        <v>4121</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4122</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4123</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4124</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4125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4106</v>
      </c>
      <c r="B58" s="561"/>
      <c r="C58" s="552" t="s">
        <v>4108</v>
      </c>
      <c r="D58" s="552" t="s">
        <v>4109</v>
      </c>
      <c r="E58" s="553" t="s">
        <v>4110</v>
      </c>
      <c r="F58" s="506" t="s">
        <v>4111</v>
      </c>
      <c r="G58" s="552" t="s">
        <v>3868</v>
      </c>
      <c r="H58" s="554" t="s">
        <v>4112</v>
      </c>
      <c r="I58" s="552" t="s">
        <v>4113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4126</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4115</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4116</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4117</v>
      </c>
      <c r="B62" s="563" t="s">
        <v>4118</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4119</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4120</v>
      </c>
      <c r="B64" s="564" t="s">
        <v>4121</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4122</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4123</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4124</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4127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4106</v>
      </c>
      <c r="B69" s="561"/>
      <c r="C69" s="552" t="s">
        <v>4108</v>
      </c>
      <c r="D69" s="552" t="s">
        <v>4109</v>
      </c>
      <c r="E69" s="553" t="s">
        <v>4110</v>
      </c>
      <c r="F69" s="506" t="s">
        <v>4111</v>
      </c>
      <c r="G69" s="552" t="s">
        <v>3868</v>
      </c>
      <c r="H69" s="554" t="s">
        <v>4112</v>
      </c>
      <c r="I69" s="552" t="s">
        <v>4113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4128</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4115</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4116</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4129</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4122</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4123</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4120</v>
      </c>
      <c r="B76" s="564" t="s">
        <v>4121</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4124</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4130</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4131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4106</v>
      </c>
      <c r="B80" s="561"/>
      <c r="C80" s="552" t="s">
        <v>4108</v>
      </c>
      <c r="D80" s="552" t="s">
        <v>4109</v>
      </c>
      <c r="E80" s="553" t="s">
        <v>4110</v>
      </c>
      <c r="F80" s="506" t="s">
        <v>4111</v>
      </c>
      <c r="G80" s="552" t="s">
        <v>3868</v>
      </c>
      <c r="H80" s="554" t="s">
        <v>4112</v>
      </c>
      <c r="I80" s="552" t="s">
        <v>4113</v>
      </c>
      <c r="J80" s="642" t="s">
        <v>226</v>
      </c>
      <c r="K80" s="642" t="s">
        <v>238</v>
      </c>
      <c r="L80" s="642" t="s">
        <v>249</v>
      </c>
      <c r="M80" s="642" t="s">
        <v>259</v>
      </c>
      <c r="N80" s="642" t="s">
        <v>266</v>
      </c>
      <c r="Q80" s="705"/>
      <c r="R80" s="705"/>
      <c r="S80" s="705"/>
      <c r="T80" s="705"/>
      <c r="U80" s="705"/>
      <c r="V80" s="705"/>
      <c r="W80" s="705"/>
      <c r="AA80" s="395"/>
      <c r="AG80" s="394"/>
    </row>
    <row r="81" ht="38.25" spans="1:33">
      <c r="A81" s="551" t="s">
        <v>4132</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4115</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4116</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4129</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4122</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4123</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4120</v>
      </c>
      <c r="B87" s="564" t="s">
        <v>4121</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4133</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4134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4135</v>
      </c>
      <c r="B91" s="518" t="s">
        <v>4136</v>
      </c>
      <c r="C91" s="519" t="s">
        <v>4137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3999</v>
      </c>
      <c r="D92" s="518" t="s">
        <v>4000</v>
      </c>
      <c r="E92" s="518" t="s">
        <v>4001</v>
      </c>
      <c r="F92" s="518" t="s">
        <v>4002</v>
      </c>
      <c r="G92" s="518" t="s">
        <v>4003</v>
      </c>
      <c r="H92" s="518" t="s">
        <v>4004</v>
      </c>
      <c r="I92" s="518" t="s">
        <v>4005</v>
      </c>
      <c r="J92" s="518" t="s">
        <v>4006</v>
      </c>
      <c r="K92" s="518" t="s">
        <v>4007</v>
      </c>
      <c r="L92" s="518" t="s">
        <v>4008</v>
      </c>
      <c r="M92" s="518" t="s">
        <v>4009</v>
      </c>
      <c r="N92" s="518" t="s">
        <v>4010</v>
      </c>
      <c r="Q92" s="705"/>
      <c r="R92" s="705"/>
      <c r="S92" s="705"/>
      <c r="T92" s="705"/>
      <c r="U92" s="705"/>
      <c r="V92" s="705"/>
      <c r="W92" s="705"/>
    </row>
    <row r="93" spans="1:23">
      <c r="A93" s="675" t="s">
        <v>4138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4015</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4139</v>
      </c>
      <c r="B101" s="682" t="s">
        <v>4140</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4025</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4141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4142</v>
      </c>
      <c r="B113" s="686">
        <f>G3</f>
        <v>0</v>
      </c>
      <c r="C113" s="687" t="s">
        <v>4143</v>
      </c>
      <c r="D113" s="688">
        <f>SUMPRODUCT((A115:A118=F113)*(B114:M114=H113)*B115:M118)</f>
        <v>0</v>
      </c>
      <c r="E113" s="404" t="s">
        <v>4075</v>
      </c>
      <c r="F113" s="689" t="str">
        <f>E2</f>
        <v>住宅</v>
      </c>
      <c r="G113" s="404" t="s">
        <v>3980</v>
      </c>
      <c r="H113" s="689">
        <f>G2</f>
        <v>0</v>
      </c>
      <c r="I113" s="404"/>
      <c r="J113" s="700"/>
      <c r="K113" s="700"/>
      <c r="L113" s="700"/>
      <c r="M113" s="700"/>
    </row>
    <row r="114" spans="1:13">
      <c r="A114" s="690"/>
      <c r="B114" s="691" t="s">
        <v>4144</v>
      </c>
      <c r="C114" s="691" t="s">
        <v>4145</v>
      </c>
      <c r="D114" s="691" t="s">
        <v>4146</v>
      </c>
      <c r="E114" s="692" t="s">
        <v>4147</v>
      </c>
      <c r="F114" s="692" t="s">
        <v>4148</v>
      </c>
      <c r="G114" s="692" t="s">
        <v>4149</v>
      </c>
      <c r="H114" s="693" t="s">
        <v>4150</v>
      </c>
      <c r="I114" s="693" t="s">
        <v>4151</v>
      </c>
      <c r="J114" s="701" t="s">
        <v>4152</v>
      </c>
      <c r="K114" s="701" t="s">
        <v>4153</v>
      </c>
      <c r="L114" s="701" t="s">
        <v>4154</v>
      </c>
      <c r="M114" s="702" t="s">
        <v>4155</v>
      </c>
    </row>
    <row r="115" spans="1:13">
      <c r="A115" s="694" t="s">
        <v>4076</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4077</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4078</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4079</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4156</v>
      </c>
      <c r="B1" s="281"/>
    </row>
    <row r="2" ht="14.25" spans="1:2">
      <c r="A2" s="281"/>
      <c r="B2" s="281"/>
    </row>
    <row r="3" ht="14.25" spans="1:6">
      <c r="A3" s="281"/>
      <c r="B3" s="281"/>
      <c r="C3" s="372" t="s">
        <v>4157</v>
      </c>
      <c r="D3" s="372" t="s">
        <v>4158</v>
      </c>
      <c r="E3" s="372" t="s">
        <v>461</v>
      </c>
      <c r="F3" s="372" t="s">
        <v>4159</v>
      </c>
    </row>
    <row r="4" ht="14.25" spans="1:6">
      <c r="A4" s="373" t="s">
        <v>4160</v>
      </c>
      <c r="B4" s="374" t="s">
        <v>4161</v>
      </c>
      <c r="C4" s="372"/>
      <c r="D4" s="372"/>
      <c r="E4" s="372"/>
      <c r="F4" s="372"/>
    </row>
    <row r="5" ht="14.25" spans="1:6">
      <c r="A5" s="290" t="s">
        <v>4162</v>
      </c>
      <c r="B5" s="291" t="s">
        <v>4163</v>
      </c>
      <c r="C5" s="375">
        <v>0.089</v>
      </c>
      <c r="D5" s="375">
        <v>0.074</v>
      </c>
      <c r="E5" s="375">
        <v>0.075</v>
      </c>
      <c r="F5" s="376">
        <v>0.1</v>
      </c>
    </row>
    <row r="6" ht="14.25" spans="1:6">
      <c r="A6" s="290" t="s">
        <v>4162</v>
      </c>
      <c r="B6" s="295" t="s">
        <v>4164</v>
      </c>
      <c r="C6" s="377">
        <v>0.1</v>
      </c>
      <c r="D6" s="377">
        <v>0.091</v>
      </c>
      <c r="E6" s="377">
        <v>0.091</v>
      </c>
      <c r="F6" s="378">
        <v>0.1</v>
      </c>
    </row>
    <row r="7" ht="14.25" spans="1:6">
      <c r="A7" s="290" t="s">
        <v>4162</v>
      </c>
      <c r="B7" s="299" t="s">
        <v>4165</v>
      </c>
      <c r="C7" s="377">
        <v>0.086</v>
      </c>
      <c r="D7" s="377">
        <v>0.096</v>
      </c>
      <c r="E7" s="377">
        <v>0.076</v>
      </c>
      <c r="F7" s="378">
        <v>0.1</v>
      </c>
    </row>
    <row r="8" ht="14.25" spans="1:6">
      <c r="A8" s="290" t="s">
        <v>4162</v>
      </c>
      <c r="B8" s="295" t="s">
        <v>4166</v>
      </c>
      <c r="C8" s="377">
        <v>0.099</v>
      </c>
      <c r="D8" s="377">
        <v>0.098</v>
      </c>
      <c r="E8" s="377">
        <v>0.098</v>
      </c>
      <c r="F8" s="378">
        <v>0.1</v>
      </c>
    </row>
    <row r="9" ht="14.25" spans="1:6">
      <c r="A9" s="308" t="s">
        <v>4162</v>
      </c>
      <c r="B9" s="300" t="s">
        <v>4167</v>
      </c>
      <c r="C9" s="379">
        <v>0.05</v>
      </c>
      <c r="D9" s="380"/>
      <c r="E9" s="380"/>
      <c r="F9" s="381"/>
    </row>
    <row r="10" ht="14.25" spans="1:6">
      <c r="A10" s="290" t="s">
        <v>4168</v>
      </c>
      <c r="B10" s="291" t="s">
        <v>4169</v>
      </c>
      <c r="C10" s="375">
        <v>0.089</v>
      </c>
      <c r="D10" s="375">
        <v>0.073</v>
      </c>
      <c r="E10" s="375">
        <v>0.082</v>
      </c>
      <c r="F10" s="376">
        <v>0.1</v>
      </c>
    </row>
    <row r="11" ht="14.25" spans="1:6">
      <c r="A11" s="290" t="s">
        <v>4168</v>
      </c>
      <c r="B11" s="299" t="s">
        <v>4170</v>
      </c>
      <c r="C11" s="377">
        <v>0.089</v>
      </c>
      <c r="D11" s="377">
        <v>0.073</v>
      </c>
      <c r="E11" s="377">
        <v>0.082</v>
      </c>
      <c r="F11" s="378">
        <v>0.1</v>
      </c>
    </row>
    <row r="12" ht="14.25" spans="1:6">
      <c r="A12" s="290" t="s">
        <v>4168</v>
      </c>
      <c r="B12" s="299" t="s">
        <v>4171</v>
      </c>
      <c r="C12" s="377">
        <v>0.061</v>
      </c>
      <c r="D12" s="377">
        <v>0.071</v>
      </c>
      <c r="E12" s="377">
        <v>0.096</v>
      </c>
      <c r="F12" s="378">
        <v>0.1</v>
      </c>
    </row>
    <row r="13" ht="14.25" spans="1:6">
      <c r="A13" s="290" t="s">
        <v>4168</v>
      </c>
      <c r="B13" s="299" t="s">
        <v>4172</v>
      </c>
      <c r="C13" s="377">
        <v>0.069</v>
      </c>
      <c r="D13" s="377">
        <v>0.065</v>
      </c>
      <c r="E13" s="377">
        <v>0.066</v>
      </c>
      <c r="F13" s="378">
        <v>0.1</v>
      </c>
    </row>
    <row r="14" ht="14.25" spans="1:6">
      <c r="A14" s="290" t="s">
        <v>4168</v>
      </c>
      <c r="B14" s="299" t="s">
        <v>4173</v>
      </c>
      <c r="C14" s="377">
        <v>0.1</v>
      </c>
      <c r="D14" s="377">
        <v>0.065</v>
      </c>
      <c r="E14" s="377">
        <v>0.07</v>
      </c>
      <c r="F14" s="378">
        <v>0.1</v>
      </c>
    </row>
    <row r="15" ht="14.25" spans="1:6">
      <c r="A15" s="290" t="s">
        <v>4168</v>
      </c>
      <c r="B15" s="299" t="s">
        <v>4174</v>
      </c>
      <c r="C15" s="377">
        <v>0.098</v>
      </c>
      <c r="D15" s="377">
        <v>0.089</v>
      </c>
      <c r="E15" s="377">
        <v>0.089</v>
      </c>
      <c r="F15" s="378">
        <v>0.1</v>
      </c>
    </row>
    <row r="16" ht="14.25" spans="1:6">
      <c r="A16" s="290" t="s">
        <v>4168</v>
      </c>
      <c r="B16" s="299" t="s">
        <v>4175</v>
      </c>
      <c r="C16" s="377">
        <v>0.07</v>
      </c>
      <c r="D16" s="377">
        <v>0.093</v>
      </c>
      <c r="E16" s="377">
        <v>0.096</v>
      </c>
      <c r="F16" s="378">
        <v>0.1</v>
      </c>
    </row>
    <row r="17" ht="14.25" spans="1:6">
      <c r="A17" s="290" t="s">
        <v>4168</v>
      </c>
      <c r="B17" s="299" t="s">
        <v>4176</v>
      </c>
      <c r="C17" s="377">
        <v>0.095</v>
      </c>
      <c r="D17" s="377">
        <v>0.1</v>
      </c>
      <c r="E17" s="377">
        <v>0.1</v>
      </c>
      <c r="F17" s="382"/>
    </row>
    <row r="18" ht="14.25" spans="1:6">
      <c r="A18" s="290" t="s">
        <v>4168</v>
      </c>
      <c r="B18" s="299" t="s">
        <v>4177</v>
      </c>
      <c r="C18" s="377">
        <v>0.074</v>
      </c>
      <c r="D18" s="377">
        <v>0.099</v>
      </c>
      <c r="E18" s="377">
        <v>0.1</v>
      </c>
      <c r="F18" s="382"/>
    </row>
    <row r="19" ht="14.25" spans="1:6">
      <c r="A19" s="290" t="s">
        <v>4168</v>
      </c>
      <c r="B19" s="299" t="s">
        <v>4178</v>
      </c>
      <c r="C19" s="377">
        <v>0.099</v>
      </c>
      <c r="D19" s="377">
        <v>0.076</v>
      </c>
      <c r="E19" s="377">
        <v>0.087</v>
      </c>
      <c r="F19" s="382"/>
    </row>
    <row r="20" ht="14.25" spans="1:6">
      <c r="A20" s="290" t="s">
        <v>4168</v>
      </c>
      <c r="B20" s="299" t="s">
        <v>4179</v>
      </c>
      <c r="C20" s="377">
        <v>0.098</v>
      </c>
      <c r="D20" s="377">
        <v>0.085</v>
      </c>
      <c r="E20" s="377">
        <v>0.082</v>
      </c>
      <c r="F20" s="382"/>
    </row>
    <row r="21" ht="14.25" spans="1:6">
      <c r="A21" s="290" t="s">
        <v>4168</v>
      </c>
      <c r="B21" s="299" t="s">
        <v>4180</v>
      </c>
      <c r="C21" s="377">
        <v>0.066</v>
      </c>
      <c r="D21" s="377">
        <v>0.064</v>
      </c>
      <c r="E21" s="377">
        <v>0.065</v>
      </c>
      <c r="F21" s="382"/>
    </row>
    <row r="22" ht="14.25" spans="1:6">
      <c r="A22" s="290" t="s">
        <v>4168</v>
      </c>
      <c r="B22" s="299" t="s">
        <v>4181</v>
      </c>
      <c r="C22" s="377">
        <v>0.08</v>
      </c>
      <c r="D22" s="377">
        <v>0.098</v>
      </c>
      <c r="E22" s="377">
        <v>0.098</v>
      </c>
      <c r="F22" s="382"/>
    </row>
    <row r="23" ht="14.25" spans="1:6">
      <c r="A23" s="290" t="s">
        <v>4168</v>
      </c>
      <c r="B23" s="299" t="s">
        <v>4182</v>
      </c>
      <c r="C23" s="377">
        <v>0.099</v>
      </c>
      <c r="D23" s="377">
        <v>0.098</v>
      </c>
      <c r="E23" s="377">
        <v>0.091</v>
      </c>
      <c r="F23" s="382"/>
    </row>
    <row r="24" ht="14.25" spans="1:6">
      <c r="A24" s="290" t="s">
        <v>4168</v>
      </c>
      <c r="B24" s="299" t="s">
        <v>4183</v>
      </c>
      <c r="C24" s="377">
        <v>0.089</v>
      </c>
      <c r="D24" s="377">
        <v>0.097</v>
      </c>
      <c r="E24" s="377">
        <v>0.07</v>
      </c>
      <c r="F24" s="382"/>
    </row>
    <row r="25" ht="14.25" spans="1:6">
      <c r="A25" s="290" t="s">
        <v>4168</v>
      </c>
      <c r="B25" s="299" t="s">
        <v>4184</v>
      </c>
      <c r="C25" s="377">
        <v>0.089</v>
      </c>
      <c r="D25" s="377">
        <v>0.1</v>
      </c>
      <c r="E25" s="377">
        <v>0.081</v>
      </c>
      <c r="F25" s="382"/>
    </row>
    <row r="26" ht="14.25" spans="1:6">
      <c r="A26" s="290" t="s">
        <v>4168</v>
      </c>
      <c r="B26" s="299" t="s">
        <v>4185</v>
      </c>
      <c r="C26" s="383"/>
      <c r="D26" s="377">
        <v>0.096</v>
      </c>
      <c r="E26" s="377">
        <v>0.093</v>
      </c>
      <c r="F26" s="382"/>
    </row>
    <row r="27" ht="14.25" spans="1:6">
      <c r="A27" s="290" t="s">
        <v>4168</v>
      </c>
      <c r="B27" s="299" t="s">
        <v>4186</v>
      </c>
      <c r="C27" s="383"/>
      <c r="D27" s="377">
        <v>0.076</v>
      </c>
      <c r="E27" s="377">
        <v>0.092</v>
      </c>
      <c r="F27" s="382"/>
    </row>
    <row r="28" ht="14.25" spans="1:6">
      <c r="A28" s="308" t="s">
        <v>4168</v>
      </c>
      <c r="B28" s="300" t="s">
        <v>4187</v>
      </c>
      <c r="C28" s="380"/>
      <c r="D28" s="379">
        <v>0.076</v>
      </c>
      <c r="E28" s="379">
        <v>0.092</v>
      </c>
      <c r="F28" s="381"/>
    </row>
    <row r="29" ht="14.25" spans="1:6">
      <c r="A29" s="290" t="s">
        <v>4188</v>
      </c>
      <c r="B29" s="291" t="s">
        <v>4189</v>
      </c>
      <c r="C29" s="375">
        <v>0.064</v>
      </c>
      <c r="D29" s="375">
        <v>0.065</v>
      </c>
      <c r="E29" s="375">
        <v>0.069</v>
      </c>
      <c r="F29" s="376">
        <v>0.1</v>
      </c>
    </row>
    <row r="30" ht="14.25" spans="1:6">
      <c r="A30" s="290" t="s">
        <v>4188</v>
      </c>
      <c r="B30" s="299" t="s">
        <v>4190</v>
      </c>
      <c r="C30" s="377">
        <v>0.064</v>
      </c>
      <c r="D30" s="377">
        <v>0.099</v>
      </c>
      <c r="E30" s="377">
        <v>0.1</v>
      </c>
      <c r="F30" s="378">
        <v>0.1</v>
      </c>
    </row>
    <row r="31" ht="14.25" spans="1:6">
      <c r="A31" s="290" t="s">
        <v>4188</v>
      </c>
      <c r="B31" s="299" t="s">
        <v>4191</v>
      </c>
      <c r="C31" s="377">
        <v>0.1</v>
      </c>
      <c r="D31" s="377">
        <v>0.095</v>
      </c>
      <c r="E31" s="377">
        <v>0.089</v>
      </c>
      <c r="F31" s="378">
        <v>0.1</v>
      </c>
    </row>
    <row r="32" ht="14.25" spans="1:6">
      <c r="A32" s="290" t="s">
        <v>4188</v>
      </c>
      <c r="B32" s="299" t="s">
        <v>4192</v>
      </c>
      <c r="C32" s="377">
        <v>0.05</v>
      </c>
      <c r="D32" s="377">
        <v>0.05</v>
      </c>
      <c r="E32" s="377">
        <v>0.088</v>
      </c>
      <c r="F32" s="378">
        <v>0.1</v>
      </c>
    </row>
    <row r="33" ht="14.25" spans="1:6">
      <c r="A33" s="290" t="s">
        <v>4188</v>
      </c>
      <c r="B33" s="299" t="s">
        <v>4193</v>
      </c>
      <c r="C33" s="377">
        <v>0.075</v>
      </c>
      <c r="D33" s="377">
        <v>0.094</v>
      </c>
      <c r="E33" s="377">
        <v>0.097</v>
      </c>
      <c r="F33" s="378">
        <v>0.1</v>
      </c>
    </row>
    <row r="34" ht="14.25" spans="1:6">
      <c r="A34" s="290" t="s">
        <v>4188</v>
      </c>
      <c r="B34" s="299" t="s">
        <v>4194</v>
      </c>
      <c r="C34" s="377">
        <v>0.098</v>
      </c>
      <c r="D34" s="377">
        <v>0.086</v>
      </c>
      <c r="E34" s="377">
        <v>0.097</v>
      </c>
      <c r="F34" s="378">
        <v>0.1</v>
      </c>
    </row>
    <row r="35" ht="14.25" spans="1:6">
      <c r="A35" s="290" t="s">
        <v>4188</v>
      </c>
      <c r="B35" s="299" t="s">
        <v>4195</v>
      </c>
      <c r="C35" s="377">
        <v>0.059</v>
      </c>
      <c r="D35" s="377">
        <v>0.065</v>
      </c>
      <c r="E35" s="377">
        <v>0.07</v>
      </c>
      <c r="F35" s="378">
        <v>0.1</v>
      </c>
    </row>
    <row r="36" ht="14.25" spans="1:6">
      <c r="A36" s="290" t="s">
        <v>4188</v>
      </c>
      <c r="B36" s="299" t="s">
        <v>4196</v>
      </c>
      <c r="C36" s="377">
        <v>0.063</v>
      </c>
      <c r="D36" s="377">
        <v>0.1</v>
      </c>
      <c r="E36" s="377">
        <v>0.1</v>
      </c>
      <c r="F36" s="378">
        <v>0.1</v>
      </c>
    </row>
    <row r="37" ht="14.25" spans="1:6">
      <c r="A37" s="290" t="s">
        <v>4188</v>
      </c>
      <c r="B37" s="299" t="s">
        <v>4197</v>
      </c>
      <c r="C37" s="377">
        <v>0.074</v>
      </c>
      <c r="D37" s="377">
        <v>0.1</v>
      </c>
      <c r="E37" s="377">
        <v>0.1</v>
      </c>
      <c r="F37" s="378">
        <v>0.1</v>
      </c>
    </row>
    <row r="38" ht="14.25" spans="1:6">
      <c r="A38" s="290" t="s">
        <v>4188</v>
      </c>
      <c r="B38" s="299" t="s">
        <v>4198</v>
      </c>
      <c r="C38" s="377">
        <v>0.1</v>
      </c>
      <c r="D38" s="377">
        <v>0.096</v>
      </c>
      <c r="E38" s="377">
        <v>0.096</v>
      </c>
      <c r="F38" s="382"/>
    </row>
    <row r="39" ht="14.25" spans="1:6">
      <c r="A39" s="290" t="s">
        <v>4188</v>
      </c>
      <c r="B39" s="299" t="s">
        <v>4199</v>
      </c>
      <c r="C39" s="377">
        <v>0.1</v>
      </c>
      <c r="D39" s="377">
        <v>0.096</v>
      </c>
      <c r="E39" s="377">
        <v>0.096</v>
      </c>
      <c r="F39" s="382"/>
    </row>
    <row r="40" ht="14.25" spans="1:6">
      <c r="A40" s="290" t="s">
        <v>4188</v>
      </c>
      <c r="B40" s="299" t="s">
        <v>4200</v>
      </c>
      <c r="C40" s="377">
        <v>0.096</v>
      </c>
      <c r="D40" s="377">
        <v>0.1</v>
      </c>
      <c r="E40" s="377">
        <v>0.099</v>
      </c>
      <c r="F40" s="382"/>
    </row>
    <row r="41" ht="14.25" spans="1:6">
      <c r="A41" s="290" t="s">
        <v>4188</v>
      </c>
      <c r="B41" s="299" t="s">
        <v>4201</v>
      </c>
      <c r="C41" s="377">
        <v>0.096</v>
      </c>
      <c r="D41" s="377">
        <v>0.098</v>
      </c>
      <c r="E41" s="377">
        <v>0.098</v>
      </c>
      <c r="F41" s="382"/>
    </row>
    <row r="42" ht="14.25" spans="1:6">
      <c r="A42" s="290" t="s">
        <v>4188</v>
      </c>
      <c r="B42" s="299" t="s">
        <v>4202</v>
      </c>
      <c r="C42" s="377">
        <v>0.1</v>
      </c>
      <c r="D42" s="377">
        <v>0.088</v>
      </c>
      <c r="E42" s="377">
        <v>0.1</v>
      </c>
      <c r="F42" s="382"/>
    </row>
    <row r="43" ht="14.25" spans="1:6">
      <c r="A43" s="290" t="s">
        <v>4188</v>
      </c>
      <c r="B43" s="299" t="s">
        <v>4203</v>
      </c>
      <c r="C43" s="377">
        <v>0.098</v>
      </c>
      <c r="D43" s="377">
        <v>0.097</v>
      </c>
      <c r="E43" s="377">
        <v>0.096</v>
      </c>
      <c r="F43" s="382"/>
    </row>
    <row r="44" ht="14.25" spans="1:6">
      <c r="A44" s="290" t="s">
        <v>4188</v>
      </c>
      <c r="B44" s="299" t="s">
        <v>4204</v>
      </c>
      <c r="C44" s="377">
        <v>0.086</v>
      </c>
      <c r="D44" s="377">
        <v>0.079</v>
      </c>
      <c r="E44" s="377">
        <v>0.071</v>
      </c>
      <c r="F44" s="382"/>
    </row>
    <row r="45" ht="14.25" spans="1:6">
      <c r="A45" s="290" t="s">
        <v>4188</v>
      </c>
      <c r="B45" s="299" t="s">
        <v>4205</v>
      </c>
      <c r="C45" s="377">
        <v>0.098</v>
      </c>
      <c r="D45" s="377">
        <v>0.096</v>
      </c>
      <c r="E45" s="377">
        <v>0.096</v>
      </c>
      <c r="F45" s="382"/>
    </row>
    <row r="46" ht="14.25" spans="1:6">
      <c r="A46" s="290" t="s">
        <v>4188</v>
      </c>
      <c r="B46" s="299" t="s">
        <v>4206</v>
      </c>
      <c r="C46" s="377">
        <v>0.086</v>
      </c>
      <c r="D46" s="377">
        <v>0.098</v>
      </c>
      <c r="E46" s="377">
        <v>0.088</v>
      </c>
      <c r="F46" s="382"/>
    </row>
    <row r="47" ht="14.25" spans="1:6">
      <c r="A47" s="290" t="s">
        <v>4188</v>
      </c>
      <c r="B47" s="299" t="s">
        <v>4207</v>
      </c>
      <c r="C47" s="377">
        <v>0.096</v>
      </c>
      <c r="D47" s="383"/>
      <c r="E47" s="377">
        <v>0.069</v>
      </c>
      <c r="F47" s="382"/>
    </row>
    <row r="48" ht="14.25" spans="1:6">
      <c r="A48" s="308" t="s">
        <v>4188</v>
      </c>
      <c r="B48" s="300" t="s">
        <v>4208</v>
      </c>
      <c r="C48" s="379">
        <v>0.098</v>
      </c>
      <c r="D48" s="380"/>
      <c r="E48" s="379">
        <v>0.095</v>
      </c>
      <c r="F48" s="381"/>
    </row>
    <row r="49" ht="14.25" spans="1:6">
      <c r="A49" s="290" t="s">
        <v>4209</v>
      </c>
      <c r="B49" s="291" t="s">
        <v>4210</v>
      </c>
      <c r="C49" s="375">
        <v>0.097</v>
      </c>
      <c r="D49" s="375">
        <v>0.095</v>
      </c>
      <c r="E49" s="375">
        <v>0.097</v>
      </c>
      <c r="F49" s="376">
        <v>0.1</v>
      </c>
    </row>
    <row r="50" ht="14.25" spans="1:6">
      <c r="A50" s="290" t="s">
        <v>4209</v>
      </c>
      <c r="B50" s="295" t="s">
        <v>4211</v>
      </c>
      <c r="C50" s="377">
        <v>0.075</v>
      </c>
      <c r="D50" s="377">
        <v>0.095</v>
      </c>
      <c r="E50" s="377">
        <v>0.1</v>
      </c>
      <c r="F50" s="378">
        <v>0.1</v>
      </c>
    </row>
    <row r="51" ht="14.25" spans="1:6">
      <c r="A51" s="290" t="s">
        <v>4209</v>
      </c>
      <c r="B51" s="295" t="s">
        <v>4212</v>
      </c>
      <c r="C51" s="377">
        <v>0.098</v>
      </c>
      <c r="D51" s="377">
        <v>0.089</v>
      </c>
      <c r="E51" s="377">
        <v>0.1</v>
      </c>
      <c r="F51" s="378">
        <v>0.1</v>
      </c>
    </row>
    <row r="52" ht="14.25" spans="1:6">
      <c r="A52" s="290" t="s">
        <v>4209</v>
      </c>
      <c r="B52" s="295" t="s">
        <v>4213</v>
      </c>
      <c r="C52" s="377">
        <v>0.098</v>
      </c>
      <c r="D52" s="377">
        <v>0.097</v>
      </c>
      <c r="E52" s="377">
        <v>0.081</v>
      </c>
      <c r="F52" s="378">
        <v>0.1</v>
      </c>
    </row>
    <row r="53" ht="14.25" spans="1:6">
      <c r="A53" s="290" t="s">
        <v>4209</v>
      </c>
      <c r="B53" s="295" t="s">
        <v>4214</v>
      </c>
      <c r="C53" s="377">
        <v>0.097</v>
      </c>
      <c r="D53" s="377">
        <v>0.076</v>
      </c>
      <c r="E53" s="377">
        <v>0.071</v>
      </c>
      <c r="F53" s="378">
        <v>0.1</v>
      </c>
    </row>
    <row r="54" ht="14.25" spans="1:6">
      <c r="A54" s="290" t="s">
        <v>4209</v>
      </c>
      <c r="B54" s="295" t="s">
        <v>4215</v>
      </c>
      <c r="C54" s="377">
        <v>0.076</v>
      </c>
      <c r="D54" s="377">
        <v>0.1</v>
      </c>
      <c r="E54" s="377">
        <v>0.099</v>
      </c>
      <c r="F54" s="378">
        <v>0.1</v>
      </c>
    </row>
    <row r="55" ht="14.25" spans="1:6">
      <c r="A55" s="290" t="s">
        <v>4209</v>
      </c>
      <c r="B55" s="295" t="s">
        <v>4216</v>
      </c>
      <c r="C55" s="377">
        <v>0.1</v>
      </c>
      <c r="D55" s="377">
        <v>0.1</v>
      </c>
      <c r="E55" s="377">
        <v>0.096</v>
      </c>
      <c r="F55" s="378">
        <v>0.1</v>
      </c>
    </row>
    <row r="56" ht="14.25" spans="1:6">
      <c r="A56" s="290" t="s">
        <v>4209</v>
      </c>
      <c r="B56" s="295" t="s">
        <v>4217</v>
      </c>
      <c r="C56" s="377">
        <v>0.1</v>
      </c>
      <c r="D56" s="377">
        <v>0.096</v>
      </c>
      <c r="E56" s="377">
        <v>0.052</v>
      </c>
      <c r="F56" s="378">
        <v>0.1</v>
      </c>
    </row>
    <row r="57" ht="14.25" spans="1:6">
      <c r="A57" s="290" t="s">
        <v>4209</v>
      </c>
      <c r="B57" s="295" t="s">
        <v>4218</v>
      </c>
      <c r="C57" s="377">
        <v>0.097</v>
      </c>
      <c r="D57" s="377">
        <v>0.096</v>
      </c>
      <c r="E57" s="377">
        <v>0.096</v>
      </c>
      <c r="F57" s="378">
        <v>0.1</v>
      </c>
    </row>
    <row r="58" ht="14.25" spans="1:6">
      <c r="A58" s="290" t="s">
        <v>4209</v>
      </c>
      <c r="B58" s="295" t="s">
        <v>4219</v>
      </c>
      <c r="C58" s="377">
        <v>0.096</v>
      </c>
      <c r="D58" s="377">
        <v>0.099</v>
      </c>
      <c r="E58" s="377">
        <v>0.096</v>
      </c>
      <c r="F58" s="378">
        <v>0.1</v>
      </c>
    </row>
    <row r="59" ht="14.25" spans="1:6">
      <c r="A59" s="290" t="s">
        <v>4209</v>
      </c>
      <c r="B59" s="295" t="s">
        <v>4220</v>
      </c>
      <c r="C59" s="377">
        <v>0.072</v>
      </c>
      <c r="D59" s="377">
        <v>0.096</v>
      </c>
      <c r="E59" s="377">
        <v>0.071</v>
      </c>
      <c r="F59" s="378">
        <v>0.1</v>
      </c>
    </row>
    <row r="60" ht="14.25" spans="1:6">
      <c r="A60" s="290" t="s">
        <v>4209</v>
      </c>
      <c r="B60" s="295" t="s">
        <v>4221</v>
      </c>
      <c r="C60" s="377">
        <v>0.096</v>
      </c>
      <c r="D60" s="377">
        <v>0.089</v>
      </c>
      <c r="E60" s="377">
        <v>0.096</v>
      </c>
      <c r="F60" s="378">
        <v>0.1</v>
      </c>
    </row>
    <row r="61" ht="14.25" spans="1:6">
      <c r="A61" s="290" t="s">
        <v>4209</v>
      </c>
      <c r="B61" s="295" t="s">
        <v>4222</v>
      </c>
      <c r="C61" s="377">
        <v>0.089</v>
      </c>
      <c r="D61" s="377">
        <v>0.098</v>
      </c>
      <c r="E61" s="377">
        <v>0.088</v>
      </c>
      <c r="F61" s="382"/>
    </row>
    <row r="62" ht="14.25" spans="1:6">
      <c r="A62" s="290" t="s">
        <v>4209</v>
      </c>
      <c r="B62" s="295" t="s">
        <v>4223</v>
      </c>
      <c r="C62" s="377">
        <v>0.098</v>
      </c>
      <c r="D62" s="377">
        <v>0.093</v>
      </c>
      <c r="E62" s="377">
        <v>0.097</v>
      </c>
      <c r="F62" s="382"/>
    </row>
    <row r="63" ht="14.25" spans="1:6">
      <c r="A63" s="290" t="s">
        <v>4209</v>
      </c>
      <c r="B63" s="295" t="s">
        <v>4224</v>
      </c>
      <c r="C63" s="377">
        <v>0.096</v>
      </c>
      <c r="D63" s="377">
        <v>0.098</v>
      </c>
      <c r="E63" s="377">
        <v>0.09</v>
      </c>
      <c r="F63" s="382"/>
    </row>
    <row r="64" ht="14.25" spans="1:6">
      <c r="A64" s="290" t="s">
        <v>4209</v>
      </c>
      <c r="B64" s="295" t="s">
        <v>4225</v>
      </c>
      <c r="C64" s="377">
        <v>0.099</v>
      </c>
      <c r="D64" s="377">
        <v>0.097</v>
      </c>
      <c r="E64" s="377">
        <v>0.099</v>
      </c>
      <c r="F64" s="382"/>
    </row>
    <row r="65" ht="14.25" spans="1:6">
      <c r="A65" s="290" t="s">
        <v>4209</v>
      </c>
      <c r="B65" s="295" t="s">
        <v>4226</v>
      </c>
      <c r="C65" s="377">
        <v>0.098</v>
      </c>
      <c r="D65" s="377">
        <v>0.096</v>
      </c>
      <c r="E65" s="377">
        <v>0.096</v>
      </c>
      <c r="F65" s="382"/>
    </row>
    <row r="66" ht="14.25" spans="1:6">
      <c r="A66" s="290" t="s">
        <v>4209</v>
      </c>
      <c r="B66" s="295" t="s">
        <v>4227</v>
      </c>
      <c r="C66" s="377">
        <v>0.096</v>
      </c>
      <c r="D66" s="377">
        <v>0.092</v>
      </c>
      <c r="E66" s="377">
        <v>0.096</v>
      </c>
      <c r="F66" s="382"/>
    </row>
    <row r="67" ht="14.25" spans="1:6">
      <c r="A67" s="290" t="s">
        <v>4209</v>
      </c>
      <c r="B67" s="295" t="s">
        <v>4228</v>
      </c>
      <c r="C67" s="377">
        <v>0.094</v>
      </c>
      <c r="D67" s="377">
        <v>0.1</v>
      </c>
      <c r="E67" s="377">
        <v>0.088</v>
      </c>
      <c r="F67" s="382"/>
    </row>
    <row r="68" ht="14.25" spans="1:6">
      <c r="A68" s="290" t="s">
        <v>4209</v>
      </c>
      <c r="B68" s="295" t="s">
        <v>4229</v>
      </c>
      <c r="C68" s="377">
        <v>0.1</v>
      </c>
      <c r="D68" s="377">
        <v>0.088</v>
      </c>
      <c r="E68" s="377">
        <v>0.097</v>
      </c>
      <c r="F68" s="382"/>
    </row>
    <row r="69" ht="14.25" spans="1:6">
      <c r="A69" s="290" t="s">
        <v>4209</v>
      </c>
      <c r="B69" s="295" t="s">
        <v>4230</v>
      </c>
      <c r="C69" s="377">
        <v>0.064</v>
      </c>
      <c r="D69" s="377">
        <v>0.1</v>
      </c>
      <c r="E69" s="377">
        <v>0.1</v>
      </c>
      <c r="F69" s="382"/>
    </row>
    <row r="70" ht="14.25" spans="1:6">
      <c r="A70" s="290" t="s">
        <v>4209</v>
      </c>
      <c r="B70" s="295" t="s">
        <v>4231</v>
      </c>
      <c r="C70" s="377">
        <v>0.091</v>
      </c>
      <c r="D70" s="383"/>
      <c r="E70" s="383"/>
      <c r="F70" s="382"/>
    </row>
    <row r="71" ht="14.25" spans="1:6">
      <c r="A71" s="290" t="s">
        <v>4209</v>
      </c>
      <c r="B71" s="295" t="s">
        <v>4232</v>
      </c>
      <c r="C71" s="377">
        <v>0.1</v>
      </c>
      <c r="D71" s="383"/>
      <c r="E71" s="383"/>
      <c r="F71" s="382"/>
    </row>
    <row r="72" ht="14.25" spans="1:6">
      <c r="A72" s="290" t="s">
        <v>4209</v>
      </c>
      <c r="B72" s="295" t="s">
        <v>4233</v>
      </c>
      <c r="C72" s="383"/>
      <c r="D72" s="383"/>
      <c r="E72" s="383"/>
      <c r="F72" s="378">
        <v>0.05</v>
      </c>
    </row>
    <row r="73" ht="14.25" spans="1:6">
      <c r="A73" s="290" t="s">
        <v>4209</v>
      </c>
      <c r="B73" s="295" t="s">
        <v>4234</v>
      </c>
      <c r="C73" s="383"/>
      <c r="D73" s="383"/>
      <c r="E73" s="383"/>
      <c r="F73" s="378">
        <v>0.05</v>
      </c>
    </row>
    <row r="74" ht="14.25" spans="1:6">
      <c r="A74" s="290" t="s">
        <v>4209</v>
      </c>
      <c r="B74" s="295" t="s">
        <v>4235</v>
      </c>
      <c r="C74" s="383"/>
      <c r="D74" s="383"/>
      <c r="E74" s="383"/>
      <c r="F74" s="378">
        <v>0.05</v>
      </c>
    </row>
    <row r="75" ht="14.25" spans="1:6">
      <c r="A75" s="308" t="s">
        <v>4209</v>
      </c>
      <c r="B75" s="301" t="s">
        <v>4236</v>
      </c>
      <c r="C75" s="380"/>
      <c r="D75" s="380"/>
      <c r="E75" s="380"/>
      <c r="F75" s="384">
        <v>0.05</v>
      </c>
    </row>
    <row r="76" ht="14.25" spans="1:6">
      <c r="A76" s="290" t="s">
        <v>4237</v>
      </c>
      <c r="B76" s="291" t="s">
        <v>4238</v>
      </c>
      <c r="C76" s="375">
        <v>0.1</v>
      </c>
      <c r="D76" s="375">
        <v>0.1</v>
      </c>
      <c r="E76" s="375">
        <v>0.1</v>
      </c>
      <c r="F76" s="376">
        <v>0.1</v>
      </c>
    </row>
    <row r="77" ht="14.25" spans="1:6">
      <c r="A77" s="290" t="s">
        <v>4237</v>
      </c>
      <c r="B77" s="295" t="s">
        <v>4239</v>
      </c>
      <c r="C77" s="377">
        <v>0.088</v>
      </c>
      <c r="D77" s="377">
        <v>0.087</v>
      </c>
      <c r="E77" s="377">
        <v>0.079</v>
      </c>
      <c r="F77" s="378">
        <v>0.1</v>
      </c>
    </row>
    <row r="78" ht="14.25" spans="1:6">
      <c r="A78" s="290" t="s">
        <v>4237</v>
      </c>
      <c r="B78" s="295" t="s">
        <v>4240</v>
      </c>
      <c r="C78" s="377">
        <v>0.087</v>
      </c>
      <c r="D78" s="377">
        <v>0.084</v>
      </c>
      <c r="E78" s="377">
        <v>0.096</v>
      </c>
      <c r="F78" s="378">
        <v>0.1</v>
      </c>
    </row>
    <row r="79" ht="14.25" spans="1:6">
      <c r="A79" s="290" t="s">
        <v>4237</v>
      </c>
      <c r="B79" s="295" t="s">
        <v>4241</v>
      </c>
      <c r="C79" s="377">
        <v>0.098</v>
      </c>
      <c r="D79" s="377">
        <v>0.098</v>
      </c>
      <c r="E79" s="377">
        <v>0.091</v>
      </c>
      <c r="F79" s="378">
        <v>0.1</v>
      </c>
    </row>
    <row r="80" ht="14.25" spans="1:6">
      <c r="A80" s="290" t="s">
        <v>4237</v>
      </c>
      <c r="B80" s="295" t="s">
        <v>4242</v>
      </c>
      <c r="C80" s="377">
        <v>0.096</v>
      </c>
      <c r="D80" s="377">
        <v>0.096</v>
      </c>
      <c r="E80" s="377">
        <v>0.1</v>
      </c>
      <c r="F80" s="378">
        <v>0.1</v>
      </c>
    </row>
    <row r="81" ht="14.25" spans="1:6">
      <c r="A81" s="290" t="s">
        <v>4237</v>
      </c>
      <c r="B81" s="295" t="s">
        <v>4243</v>
      </c>
      <c r="C81" s="377">
        <v>0.099</v>
      </c>
      <c r="D81" s="377">
        <v>0.099</v>
      </c>
      <c r="E81" s="377">
        <v>0.098</v>
      </c>
      <c r="F81" s="378">
        <v>0.1</v>
      </c>
    </row>
    <row r="82" ht="14.25" spans="1:6">
      <c r="A82" s="290" t="s">
        <v>4237</v>
      </c>
      <c r="B82" s="295" t="s">
        <v>4244</v>
      </c>
      <c r="C82" s="377">
        <v>0.099</v>
      </c>
      <c r="D82" s="377">
        <v>0.099</v>
      </c>
      <c r="E82" s="377">
        <v>0.097</v>
      </c>
      <c r="F82" s="378">
        <v>0.1</v>
      </c>
    </row>
    <row r="83" ht="14.25" spans="1:6">
      <c r="A83" s="290" t="s">
        <v>4237</v>
      </c>
      <c r="B83" s="295" t="s">
        <v>4245</v>
      </c>
      <c r="C83" s="377">
        <v>0.098</v>
      </c>
      <c r="D83" s="377">
        <v>0.098</v>
      </c>
      <c r="E83" s="377">
        <v>0.098</v>
      </c>
      <c r="F83" s="378">
        <v>0.1</v>
      </c>
    </row>
    <row r="84" ht="14.25" spans="1:6">
      <c r="A84" s="290" t="s">
        <v>4237</v>
      </c>
      <c r="B84" s="295" t="s">
        <v>4246</v>
      </c>
      <c r="C84" s="377">
        <v>0.099</v>
      </c>
      <c r="D84" s="377">
        <v>0.099</v>
      </c>
      <c r="E84" s="377">
        <v>0.099</v>
      </c>
      <c r="F84" s="378">
        <v>0.1</v>
      </c>
    </row>
    <row r="85" ht="14.25" spans="1:6">
      <c r="A85" s="290" t="s">
        <v>4237</v>
      </c>
      <c r="B85" s="295" t="s">
        <v>4247</v>
      </c>
      <c r="C85" s="377">
        <v>0.099</v>
      </c>
      <c r="D85" s="377">
        <v>0.099</v>
      </c>
      <c r="E85" s="377">
        <v>0.099</v>
      </c>
      <c r="F85" s="378">
        <v>0.1</v>
      </c>
    </row>
    <row r="86" ht="14.25" spans="1:6">
      <c r="A86" s="290" t="s">
        <v>4237</v>
      </c>
      <c r="B86" s="295" t="s">
        <v>4248</v>
      </c>
      <c r="C86" s="377">
        <v>0.1</v>
      </c>
      <c r="D86" s="377">
        <v>0.1</v>
      </c>
      <c r="E86" s="377">
        <v>0.077</v>
      </c>
      <c r="F86" s="378">
        <v>0.1</v>
      </c>
    </row>
    <row r="87" ht="14.25" spans="1:6">
      <c r="A87" s="290" t="s">
        <v>4237</v>
      </c>
      <c r="B87" s="295" t="s">
        <v>4249</v>
      </c>
      <c r="C87" s="377">
        <v>0.1</v>
      </c>
      <c r="D87" s="377">
        <v>0.1</v>
      </c>
      <c r="E87" s="377">
        <v>0.098</v>
      </c>
      <c r="F87" s="382"/>
    </row>
    <row r="88" ht="14.25" spans="1:6">
      <c r="A88" s="290" t="s">
        <v>4237</v>
      </c>
      <c r="B88" s="295" t="s">
        <v>4250</v>
      </c>
      <c r="C88" s="377">
        <v>0.092</v>
      </c>
      <c r="D88" s="377">
        <v>0.085</v>
      </c>
      <c r="E88" s="377">
        <v>0.096</v>
      </c>
      <c r="F88" s="382"/>
    </row>
    <row r="89" ht="14.25" spans="1:6">
      <c r="A89" s="290" t="s">
        <v>4237</v>
      </c>
      <c r="B89" s="295" t="s">
        <v>4251</v>
      </c>
      <c r="C89" s="377">
        <v>0.1</v>
      </c>
      <c r="D89" s="377">
        <v>0.1</v>
      </c>
      <c r="E89" s="377">
        <v>0.097</v>
      </c>
      <c r="F89" s="382"/>
    </row>
    <row r="90" ht="14.25" spans="1:6">
      <c r="A90" s="290" t="s">
        <v>4237</v>
      </c>
      <c r="B90" s="295" t="s">
        <v>4252</v>
      </c>
      <c r="C90" s="377">
        <v>0.098</v>
      </c>
      <c r="D90" s="377">
        <v>0.098</v>
      </c>
      <c r="E90" s="377">
        <v>0.088</v>
      </c>
      <c r="F90" s="382"/>
    </row>
    <row r="91" ht="14.25" spans="1:6">
      <c r="A91" s="290" t="s">
        <v>4237</v>
      </c>
      <c r="B91" s="295" t="s">
        <v>4253</v>
      </c>
      <c r="C91" s="377">
        <v>0.099</v>
      </c>
      <c r="D91" s="377">
        <v>0.099</v>
      </c>
      <c r="E91" s="377">
        <v>0.091</v>
      </c>
      <c r="F91" s="382"/>
    </row>
    <row r="92" ht="14.25" spans="1:6">
      <c r="A92" s="290" t="s">
        <v>4237</v>
      </c>
      <c r="B92" s="295" t="s">
        <v>4254</v>
      </c>
      <c r="C92" s="377">
        <v>0.096</v>
      </c>
      <c r="D92" s="377">
        <v>0.096</v>
      </c>
      <c r="E92" s="377">
        <v>0.073</v>
      </c>
      <c r="F92" s="382"/>
    </row>
    <row r="93" ht="14.25" spans="1:6">
      <c r="A93" s="290" t="s">
        <v>4237</v>
      </c>
      <c r="B93" s="295" t="s">
        <v>4255</v>
      </c>
      <c r="C93" s="377">
        <v>0.096</v>
      </c>
      <c r="D93" s="377">
        <v>0.096</v>
      </c>
      <c r="E93" s="377">
        <v>0.099</v>
      </c>
      <c r="F93" s="382"/>
    </row>
    <row r="94" ht="14.25" spans="1:6">
      <c r="A94" s="290" t="s">
        <v>4237</v>
      </c>
      <c r="B94" s="295" t="s">
        <v>4256</v>
      </c>
      <c r="C94" s="377">
        <v>0.076</v>
      </c>
      <c r="D94" s="377">
        <v>0.074</v>
      </c>
      <c r="E94" s="377">
        <v>0.097</v>
      </c>
      <c r="F94" s="382"/>
    </row>
    <row r="95" ht="14.25" spans="1:6">
      <c r="A95" s="290" t="s">
        <v>4237</v>
      </c>
      <c r="B95" s="295" t="s">
        <v>4257</v>
      </c>
      <c r="C95" s="377">
        <v>0.099</v>
      </c>
      <c r="D95" s="377">
        <v>0.094</v>
      </c>
      <c r="E95" s="377">
        <v>0.096</v>
      </c>
      <c r="F95" s="382"/>
    </row>
    <row r="96" ht="14.25" spans="1:6">
      <c r="A96" s="290" t="s">
        <v>4237</v>
      </c>
      <c r="B96" s="295" t="s">
        <v>4258</v>
      </c>
      <c r="C96" s="377">
        <v>0.099</v>
      </c>
      <c r="D96" s="377">
        <v>0.099</v>
      </c>
      <c r="E96" s="377">
        <v>0.099</v>
      </c>
      <c r="F96" s="382"/>
    </row>
    <row r="97" ht="14.25" spans="1:6">
      <c r="A97" s="290" t="s">
        <v>4237</v>
      </c>
      <c r="B97" s="295" t="s">
        <v>4259</v>
      </c>
      <c r="C97" s="377">
        <v>0.098</v>
      </c>
      <c r="D97" s="377">
        <v>0.098</v>
      </c>
      <c r="E97" s="377">
        <v>0.097</v>
      </c>
      <c r="F97" s="382"/>
    </row>
    <row r="98" ht="14.25" spans="1:6">
      <c r="A98" s="290" t="s">
        <v>4237</v>
      </c>
      <c r="B98" s="295" t="s">
        <v>4260</v>
      </c>
      <c r="C98" s="377">
        <v>0.1</v>
      </c>
      <c r="D98" s="377">
        <v>0.1</v>
      </c>
      <c r="E98" s="377">
        <v>0.097</v>
      </c>
      <c r="F98" s="382"/>
    </row>
    <row r="99" ht="14.25" spans="1:6">
      <c r="A99" s="290" t="s">
        <v>4237</v>
      </c>
      <c r="B99" s="295" t="s">
        <v>4261</v>
      </c>
      <c r="C99" s="377">
        <v>0.1</v>
      </c>
      <c r="D99" s="377">
        <v>0.1</v>
      </c>
      <c r="E99" s="383"/>
      <c r="F99" s="382"/>
    </row>
    <row r="100" ht="14.25" spans="1:6">
      <c r="A100" s="290" t="s">
        <v>4237</v>
      </c>
      <c r="B100" s="295" t="s">
        <v>4262</v>
      </c>
      <c r="C100" s="377">
        <v>0.09</v>
      </c>
      <c r="D100" s="377">
        <v>0.089</v>
      </c>
      <c r="E100" s="383"/>
      <c r="F100" s="382"/>
    </row>
    <row r="101" ht="14.25" spans="1:6">
      <c r="A101" s="290" t="s">
        <v>4237</v>
      </c>
      <c r="B101" s="295" t="s">
        <v>4263</v>
      </c>
      <c r="C101" s="377">
        <v>0.098</v>
      </c>
      <c r="D101" s="377">
        <v>0.097</v>
      </c>
      <c r="E101" s="383"/>
      <c r="F101" s="382"/>
    </row>
    <row r="102" ht="14.25" spans="1:6">
      <c r="A102" s="290" t="s">
        <v>4237</v>
      </c>
      <c r="B102" s="295" t="s">
        <v>4264</v>
      </c>
      <c r="C102" s="383"/>
      <c r="D102" s="383"/>
      <c r="E102" s="383"/>
      <c r="F102" s="378">
        <v>0.05</v>
      </c>
    </row>
    <row r="103" ht="24.75" spans="1:6">
      <c r="A103" s="290" t="s">
        <v>4237</v>
      </c>
      <c r="B103" s="295" t="s">
        <v>4265</v>
      </c>
      <c r="C103" s="383"/>
      <c r="D103" s="383"/>
      <c r="E103" s="383"/>
      <c r="F103" s="378">
        <v>0.05</v>
      </c>
    </row>
    <row r="104" ht="14.25" spans="1:6">
      <c r="A104" s="290" t="s">
        <v>4237</v>
      </c>
      <c r="B104" s="295" t="s">
        <v>4266</v>
      </c>
      <c r="C104" s="383"/>
      <c r="D104" s="383"/>
      <c r="E104" s="383"/>
      <c r="F104" s="378">
        <v>0.05</v>
      </c>
    </row>
    <row r="105" ht="14.25" spans="1:6">
      <c r="A105" s="290" t="s">
        <v>4237</v>
      </c>
      <c r="B105" s="295" t="s">
        <v>4267</v>
      </c>
      <c r="C105" s="383"/>
      <c r="D105" s="383"/>
      <c r="E105" s="383"/>
      <c r="F105" s="378">
        <v>0.05</v>
      </c>
    </row>
    <row r="106" ht="14.25" spans="1:6">
      <c r="A106" s="290" t="s">
        <v>4237</v>
      </c>
      <c r="B106" s="295" t="s">
        <v>4268</v>
      </c>
      <c r="C106" s="383"/>
      <c r="D106" s="383"/>
      <c r="E106" s="383"/>
      <c r="F106" s="378">
        <v>0.05</v>
      </c>
    </row>
    <row r="107" ht="24.75" spans="1:6">
      <c r="A107" s="290" t="s">
        <v>4237</v>
      </c>
      <c r="B107" s="295" t="s">
        <v>4269</v>
      </c>
      <c r="C107" s="383"/>
      <c r="D107" s="383"/>
      <c r="E107" s="383"/>
      <c r="F107" s="378">
        <v>0.05</v>
      </c>
    </row>
    <row r="108" ht="24.75" spans="1:6">
      <c r="A108" s="290" t="s">
        <v>4237</v>
      </c>
      <c r="B108" s="295" t="s">
        <v>4270</v>
      </c>
      <c r="C108" s="383"/>
      <c r="D108" s="383"/>
      <c r="E108" s="383"/>
      <c r="F108" s="378">
        <v>0.05</v>
      </c>
    </row>
    <row r="109" ht="24.75" spans="1:6">
      <c r="A109" s="308" t="s">
        <v>4237</v>
      </c>
      <c r="B109" s="301" t="s">
        <v>4271</v>
      </c>
      <c r="C109" s="380"/>
      <c r="D109" s="380"/>
      <c r="E109" s="380"/>
      <c r="F109" s="384">
        <v>0.05</v>
      </c>
    </row>
    <row r="110" ht="14.25" spans="1:6">
      <c r="A110" s="290" t="s">
        <v>4272</v>
      </c>
      <c r="B110" s="291" t="s">
        <v>4273</v>
      </c>
      <c r="C110" s="375">
        <v>0.129</v>
      </c>
      <c r="D110" s="375">
        <v>0.129</v>
      </c>
      <c r="E110" s="375">
        <v>0.126</v>
      </c>
      <c r="F110" s="376">
        <v>0.13</v>
      </c>
    </row>
    <row r="111" ht="14.25" spans="1:6">
      <c r="A111" s="290" t="s">
        <v>4272</v>
      </c>
      <c r="B111" s="295" t="s">
        <v>4274</v>
      </c>
      <c r="C111" s="377">
        <v>0.11</v>
      </c>
      <c r="D111" s="377">
        <v>0.11</v>
      </c>
      <c r="E111" s="377">
        <v>0.099</v>
      </c>
      <c r="F111" s="378">
        <v>0.128</v>
      </c>
    </row>
    <row r="112" ht="14.25" spans="1:6">
      <c r="A112" s="290" t="s">
        <v>4272</v>
      </c>
      <c r="B112" s="295" t="s">
        <v>4275</v>
      </c>
      <c r="C112" s="377">
        <v>0.125</v>
      </c>
      <c r="D112" s="377">
        <v>0.125</v>
      </c>
      <c r="E112" s="377">
        <v>0.12</v>
      </c>
      <c r="F112" s="378">
        <v>0.125</v>
      </c>
    </row>
    <row r="113" ht="14.25" spans="1:6">
      <c r="A113" s="290" t="s">
        <v>4272</v>
      </c>
      <c r="B113" s="295" t="s">
        <v>4276</v>
      </c>
      <c r="C113" s="377">
        <v>0.13</v>
      </c>
      <c r="D113" s="377">
        <v>0.13</v>
      </c>
      <c r="E113" s="377">
        <v>0.13</v>
      </c>
      <c r="F113" s="378">
        <v>0.13</v>
      </c>
    </row>
    <row r="114" ht="14.25" spans="1:6">
      <c r="A114" s="290" t="s">
        <v>4272</v>
      </c>
      <c r="B114" s="295" t="s">
        <v>4277</v>
      </c>
      <c r="C114" s="377">
        <v>0.123</v>
      </c>
      <c r="D114" s="377">
        <v>0.123</v>
      </c>
      <c r="E114" s="377">
        <v>0.12</v>
      </c>
      <c r="F114" s="378">
        <v>0.13</v>
      </c>
    </row>
    <row r="115" ht="14.25" spans="1:6">
      <c r="A115" s="290" t="s">
        <v>4272</v>
      </c>
      <c r="B115" s="295" t="s">
        <v>4278</v>
      </c>
      <c r="C115" s="377">
        <v>0.125</v>
      </c>
      <c r="D115" s="377">
        <v>0.125</v>
      </c>
      <c r="E115" s="377">
        <v>0.117</v>
      </c>
      <c r="F115" s="378">
        <v>0.13</v>
      </c>
    </row>
    <row r="116" ht="14.25" spans="1:6">
      <c r="A116" s="290" t="s">
        <v>4272</v>
      </c>
      <c r="B116" s="295" t="s">
        <v>4279</v>
      </c>
      <c r="C116" s="377">
        <v>0.117</v>
      </c>
      <c r="D116" s="377">
        <v>0.117</v>
      </c>
      <c r="E116" s="377">
        <v>0.088</v>
      </c>
      <c r="F116" s="378">
        <v>0.13</v>
      </c>
    </row>
    <row r="117" ht="14.25" spans="1:6">
      <c r="A117" s="290" t="s">
        <v>4272</v>
      </c>
      <c r="B117" s="295" t="s">
        <v>4280</v>
      </c>
      <c r="C117" s="377">
        <v>0.13</v>
      </c>
      <c r="D117" s="377">
        <v>0.13</v>
      </c>
      <c r="E117" s="377">
        <v>0.129</v>
      </c>
      <c r="F117" s="378">
        <v>0.13</v>
      </c>
    </row>
    <row r="118" ht="14.25" spans="1:6">
      <c r="A118" s="290" t="s">
        <v>4272</v>
      </c>
      <c r="B118" s="295" t="s">
        <v>4281</v>
      </c>
      <c r="C118" s="377">
        <v>0.123</v>
      </c>
      <c r="D118" s="377">
        <v>0.123</v>
      </c>
      <c r="E118" s="377">
        <v>0.116</v>
      </c>
      <c r="F118" s="378">
        <v>0.13</v>
      </c>
    </row>
    <row r="119" ht="14.25" spans="1:6">
      <c r="A119" s="290" t="s">
        <v>4272</v>
      </c>
      <c r="B119" s="295" t="s">
        <v>4282</v>
      </c>
      <c r="C119" s="377">
        <v>0.127</v>
      </c>
      <c r="D119" s="377">
        <v>0.127</v>
      </c>
      <c r="E119" s="377">
        <v>0.124</v>
      </c>
      <c r="F119" s="378">
        <v>0.13</v>
      </c>
    </row>
    <row r="120" ht="14.25" spans="1:6">
      <c r="A120" s="290" t="s">
        <v>4272</v>
      </c>
      <c r="B120" s="295" t="s">
        <v>4283</v>
      </c>
      <c r="C120" s="377">
        <v>0.125</v>
      </c>
      <c r="D120" s="377">
        <v>0.125</v>
      </c>
      <c r="E120" s="377">
        <v>0.122</v>
      </c>
      <c r="F120" s="378">
        <v>0.13</v>
      </c>
    </row>
    <row r="121" ht="14.25" spans="1:6">
      <c r="A121" s="290" t="s">
        <v>4272</v>
      </c>
      <c r="B121" s="295" t="s">
        <v>4284</v>
      </c>
      <c r="C121" s="377">
        <v>0.13</v>
      </c>
      <c r="D121" s="377">
        <v>0.13</v>
      </c>
      <c r="E121" s="377">
        <v>0.13</v>
      </c>
      <c r="F121" s="378">
        <v>0.13</v>
      </c>
    </row>
    <row r="122" ht="14.25" spans="1:6">
      <c r="A122" s="290" t="s">
        <v>4272</v>
      </c>
      <c r="B122" s="295" t="s">
        <v>4285</v>
      </c>
      <c r="C122" s="377">
        <v>0.13</v>
      </c>
      <c r="D122" s="377">
        <v>0.13</v>
      </c>
      <c r="E122" s="377">
        <v>0.125</v>
      </c>
      <c r="F122" s="378">
        <v>0.13</v>
      </c>
    </row>
    <row r="123" ht="14.25" spans="1:6">
      <c r="A123" s="290" t="s">
        <v>4272</v>
      </c>
      <c r="B123" s="295" t="s">
        <v>4286</v>
      </c>
      <c r="C123" s="377">
        <v>0.129</v>
      </c>
      <c r="D123" s="377">
        <v>0.129</v>
      </c>
      <c r="E123" s="377">
        <v>0.123</v>
      </c>
      <c r="F123" s="378">
        <v>0.13</v>
      </c>
    </row>
    <row r="124" ht="14.25" spans="1:6">
      <c r="A124" s="290" t="s">
        <v>4272</v>
      </c>
      <c r="B124" s="295" t="s">
        <v>4287</v>
      </c>
      <c r="C124" s="377">
        <v>0.102</v>
      </c>
      <c r="D124" s="377">
        <v>0.101</v>
      </c>
      <c r="E124" s="377">
        <v>0.08</v>
      </c>
      <c r="F124" s="382"/>
    </row>
    <row r="125" ht="14.25" spans="1:6">
      <c r="A125" s="290" t="s">
        <v>4272</v>
      </c>
      <c r="B125" s="295" t="s">
        <v>4288</v>
      </c>
      <c r="C125" s="377">
        <v>0.13</v>
      </c>
      <c r="D125" s="377">
        <v>0.13</v>
      </c>
      <c r="E125" s="377">
        <v>0.129</v>
      </c>
      <c r="F125" s="382"/>
    </row>
    <row r="126" ht="14.25" spans="1:6">
      <c r="A126" s="290" t="s">
        <v>4272</v>
      </c>
      <c r="B126" s="295" t="s">
        <v>4289</v>
      </c>
      <c r="C126" s="377">
        <v>0.13</v>
      </c>
      <c r="D126" s="377">
        <v>0.13</v>
      </c>
      <c r="E126" s="377">
        <v>0.126</v>
      </c>
      <c r="F126" s="382"/>
    </row>
    <row r="127" ht="14.25" spans="1:6">
      <c r="A127" s="290" t="s">
        <v>4272</v>
      </c>
      <c r="B127" s="295" t="s">
        <v>4290</v>
      </c>
      <c r="C127" s="377">
        <v>0.125</v>
      </c>
      <c r="D127" s="377">
        <v>0.125</v>
      </c>
      <c r="E127" s="377">
        <v>0.121</v>
      </c>
      <c r="F127" s="382"/>
    </row>
    <row r="128" ht="14.25" spans="1:6">
      <c r="A128" s="290" t="s">
        <v>4272</v>
      </c>
      <c r="B128" s="295" t="s">
        <v>4291</v>
      </c>
      <c r="C128" s="377">
        <v>0.12</v>
      </c>
      <c r="D128" s="377">
        <v>0.12</v>
      </c>
      <c r="E128" s="377">
        <v>0.105</v>
      </c>
      <c r="F128" s="382"/>
    </row>
    <row r="129" ht="14.25" spans="1:6">
      <c r="A129" s="290" t="s">
        <v>4272</v>
      </c>
      <c r="B129" s="295" t="s">
        <v>4292</v>
      </c>
      <c r="C129" s="377">
        <v>0.13</v>
      </c>
      <c r="D129" s="377">
        <v>0.13</v>
      </c>
      <c r="E129" s="377">
        <v>0.126</v>
      </c>
      <c r="F129" s="382"/>
    </row>
    <row r="130" ht="14.25" spans="1:6">
      <c r="A130" s="290" t="s">
        <v>4272</v>
      </c>
      <c r="B130" s="295" t="s">
        <v>4293</v>
      </c>
      <c r="C130" s="377">
        <v>0.125</v>
      </c>
      <c r="D130" s="377">
        <v>0.125</v>
      </c>
      <c r="E130" s="377">
        <v>0.122</v>
      </c>
      <c r="F130" s="382"/>
    </row>
    <row r="131" ht="14.25" spans="1:6">
      <c r="A131" s="290" t="s">
        <v>4272</v>
      </c>
      <c r="B131" s="295" t="s">
        <v>4294</v>
      </c>
      <c r="C131" s="377">
        <v>0.127</v>
      </c>
      <c r="D131" s="377">
        <v>0.126</v>
      </c>
      <c r="E131" s="377">
        <v>0.123</v>
      </c>
      <c r="F131" s="382"/>
    </row>
    <row r="132" ht="14.25" spans="1:6">
      <c r="A132" s="290" t="s">
        <v>4272</v>
      </c>
      <c r="B132" s="295" t="s">
        <v>4295</v>
      </c>
      <c r="C132" s="377">
        <v>0.091</v>
      </c>
      <c r="D132" s="377">
        <v>0.121</v>
      </c>
      <c r="E132" s="377">
        <v>0.099</v>
      </c>
      <c r="F132" s="382"/>
    </row>
    <row r="133" ht="14.25" spans="1:6">
      <c r="A133" s="290" t="s">
        <v>4272</v>
      </c>
      <c r="B133" s="295" t="s">
        <v>4296</v>
      </c>
      <c r="C133" s="377">
        <v>0.13</v>
      </c>
      <c r="D133" s="377">
        <v>0.13</v>
      </c>
      <c r="E133" s="377">
        <v>0.129</v>
      </c>
      <c r="F133" s="382"/>
    </row>
    <row r="134" ht="14.25" spans="1:6">
      <c r="A134" s="290" t="s">
        <v>4272</v>
      </c>
      <c r="B134" s="295" t="s">
        <v>4297</v>
      </c>
      <c r="C134" s="377">
        <v>0.068</v>
      </c>
      <c r="D134" s="377">
        <v>0.065</v>
      </c>
      <c r="E134" s="377">
        <v>0.065</v>
      </c>
      <c r="F134" s="378">
        <v>0.13</v>
      </c>
    </row>
    <row r="135" ht="14.25" spans="1:6">
      <c r="A135" s="290" t="s">
        <v>4272</v>
      </c>
      <c r="B135" s="295" t="s">
        <v>4298</v>
      </c>
      <c r="C135" s="377">
        <v>0.123</v>
      </c>
      <c r="D135" s="377">
        <v>0.123</v>
      </c>
      <c r="E135" s="377">
        <v>0.11</v>
      </c>
      <c r="F135" s="382"/>
    </row>
    <row r="136" ht="14.25" spans="1:6">
      <c r="A136" s="290" t="s">
        <v>4272</v>
      </c>
      <c r="B136" s="295" t="s">
        <v>4299</v>
      </c>
      <c r="C136" s="377">
        <v>0.13</v>
      </c>
      <c r="D136" s="377">
        <v>0.13</v>
      </c>
      <c r="E136" s="377">
        <v>0.125</v>
      </c>
      <c r="F136" s="382"/>
    </row>
    <row r="137" ht="14.25" spans="1:6">
      <c r="A137" s="290" t="s">
        <v>4272</v>
      </c>
      <c r="B137" s="295" t="s">
        <v>4300</v>
      </c>
      <c r="C137" s="377">
        <v>0.121</v>
      </c>
      <c r="D137" s="377">
        <v>0.122</v>
      </c>
      <c r="E137" s="377">
        <v>0.115</v>
      </c>
      <c r="F137" s="382"/>
    </row>
    <row r="138" ht="14.25" spans="1:6">
      <c r="A138" s="290" t="s">
        <v>4272</v>
      </c>
      <c r="B138" s="295" t="s">
        <v>4301</v>
      </c>
      <c r="C138" s="377">
        <v>0.105</v>
      </c>
      <c r="D138" s="377">
        <v>0.125</v>
      </c>
      <c r="E138" s="377">
        <v>0.112</v>
      </c>
      <c r="F138" s="382"/>
    </row>
    <row r="139" ht="14.25" spans="1:6">
      <c r="A139" s="290" t="s">
        <v>4272</v>
      </c>
      <c r="B139" s="295" t="s">
        <v>4302</v>
      </c>
      <c r="C139" s="377">
        <v>0.127</v>
      </c>
      <c r="D139" s="377">
        <v>0.127</v>
      </c>
      <c r="E139" s="377">
        <v>0.122</v>
      </c>
      <c r="F139" s="378">
        <v>0.13</v>
      </c>
    </row>
    <row r="140" ht="14.25" spans="1:6">
      <c r="A140" s="290" t="s">
        <v>4272</v>
      </c>
      <c r="B140" s="295" t="s">
        <v>4303</v>
      </c>
      <c r="C140" s="377">
        <v>0.125</v>
      </c>
      <c r="D140" s="377">
        <v>0.125</v>
      </c>
      <c r="E140" s="377">
        <v>0.119</v>
      </c>
      <c r="F140" s="378">
        <v>0.13</v>
      </c>
    </row>
    <row r="141" ht="14.25" spans="1:6">
      <c r="A141" s="290" t="s">
        <v>4272</v>
      </c>
      <c r="B141" s="295" t="s">
        <v>4304</v>
      </c>
      <c r="C141" s="377">
        <v>0.125</v>
      </c>
      <c r="D141" s="377">
        <v>0.125</v>
      </c>
      <c r="E141" s="377">
        <v>0.117</v>
      </c>
      <c r="F141" s="382"/>
    </row>
    <row r="142" ht="14.25" spans="1:6">
      <c r="A142" s="290" t="s">
        <v>4272</v>
      </c>
      <c r="B142" s="295" t="s">
        <v>4305</v>
      </c>
      <c r="C142" s="377">
        <v>0.125</v>
      </c>
      <c r="D142" s="377">
        <v>0.125</v>
      </c>
      <c r="E142" s="377">
        <v>0.115</v>
      </c>
      <c r="F142" s="382"/>
    </row>
    <row r="143" ht="14.25" spans="1:6">
      <c r="A143" s="290" t="s">
        <v>4272</v>
      </c>
      <c r="B143" s="295" t="s">
        <v>4306</v>
      </c>
      <c r="C143" s="377">
        <v>0.121</v>
      </c>
      <c r="D143" s="377">
        <v>0.121</v>
      </c>
      <c r="E143" s="377">
        <v>0.108</v>
      </c>
      <c r="F143" s="382"/>
    </row>
    <row r="144" ht="14.25" spans="1:6">
      <c r="A144" s="290" t="s">
        <v>4272</v>
      </c>
      <c r="B144" s="385" t="s">
        <v>4307</v>
      </c>
      <c r="C144" s="386">
        <v>0.126</v>
      </c>
      <c r="D144" s="386">
        <v>0.126</v>
      </c>
      <c r="E144" s="386">
        <v>0.121</v>
      </c>
      <c r="F144" s="382"/>
    </row>
    <row r="145" ht="14.25" spans="1:6">
      <c r="A145" s="308" t="s">
        <v>4272</v>
      </c>
      <c r="B145" s="387" t="s">
        <v>4308</v>
      </c>
      <c r="C145" s="388"/>
      <c r="D145" s="388"/>
      <c r="E145" s="388"/>
      <c r="F145" s="389">
        <v>0.05</v>
      </c>
    </row>
    <row r="146" ht="24.75" spans="1:6">
      <c r="A146" s="390" t="s">
        <v>4272</v>
      </c>
      <c r="B146" s="299" t="s">
        <v>4309</v>
      </c>
      <c r="C146" s="383"/>
      <c r="D146" s="383"/>
      <c r="E146" s="383"/>
      <c r="F146" s="391">
        <v>0.05</v>
      </c>
    </row>
    <row r="147" ht="24.75" spans="1:6">
      <c r="A147" s="290" t="s">
        <v>4272</v>
      </c>
      <c r="B147" s="295" t="s">
        <v>4310</v>
      </c>
      <c r="C147" s="383"/>
      <c r="D147" s="383"/>
      <c r="E147" s="383"/>
      <c r="F147" s="378">
        <v>0.05</v>
      </c>
    </row>
    <row r="148" ht="24.75" spans="1:6">
      <c r="A148" s="290" t="s">
        <v>4272</v>
      </c>
      <c r="B148" s="295" t="s">
        <v>4311</v>
      </c>
      <c r="C148" s="383"/>
      <c r="D148" s="383"/>
      <c r="E148" s="383"/>
      <c r="F148" s="378">
        <v>0.05</v>
      </c>
    </row>
    <row r="149" ht="24.75" spans="1:6">
      <c r="A149" s="290" t="s">
        <v>4272</v>
      </c>
      <c r="B149" s="295" t="s">
        <v>4312</v>
      </c>
      <c r="C149" s="383"/>
      <c r="D149" s="383"/>
      <c r="E149" s="383"/>
      <c r="F149" s="378">
        <v>0.05</v>
      </c>
    </row>
    <row r="150" ht="24.75" spans="1:6">
      <c r="A150" s="290" t="s">
        <v>4272</v>
      </c>
      <c r="B150" s="295" t="s">
        <v>4313</v>
      </c>
      <c r="C150" s="383"/>
      <c r="D150" s="383"/>
      <c r="E150" s="383"/>
      <c r="F150" s="378">
        <v>0.05</v>
      </c>
    </row>
    <row r="151" ht="24.75" spans="1:6">
      <c r="A151" s="290" t="s">
        <v>4272</v>
      </c>
      <c r="B151" s="295" t="s">
        <v>4314</v>
      </c>
      <c r="C151" s="383"/>
      <c r="D151" s="383"/>
      <c r="E151" s="383"/>
      <c r="F151" s="378">
        <v>0.05</v>
      </c>
    </row>
    <row r="152" ht="24.75" spans="1:6">
      <c r="A152" s="290" t="s">
        <v>4272</v>
      </c>
      <c r="B152" s="295" t="s">
        <v>4315</v>
      </c>
      <c r="C152" s="383"/>
      <c r="D152" s="383"/>
      <c r="E152" s="383"/>
      <c r="F152" s="378">
        <v>0.05</v>
      </c>
    </row>
    <row r="153" ht="14.25" spans="1:6">
      <c r="A153" s="290" t="s">
        <v>4272</v>
      </c>
      <c r="B153" s="295" t="s">
        <v>4316</v>
      </c>
      <c r="C153" s="383"/>
      <c r="D153" s="383"/>
      <c r="E153" s="383"/>
      <c r="F153" s="378">
        <v>0.05</v>
      </c>
    </row>
    <row r="154" ht="14.25" spans="1:6">
      <c r="A154" s="290" t="s">
        <v>4272</v>
      </c>
      <c r="B154" s="295" t="s">
        <v>4317</v>
      </c>
      <c r="C154" s="383"/>
      <c r="D154" s="383"/>
      <c r="E154" s="383"/>
      <c r="F154" s="378">
        <v>0.05</v>
      </c>
    </row>
    <row r="155" ht="24.75" spans="1:6">
      <c r="A155" s="290" t="s">
        <v>4272</v>
      </c>
      <c r="B155" s="295" t="s">
        <v>4318</v>
      </c>
      <c r="C155" s="383"/>
      <c r="D155" s="383"/>
      <c r="E155" s="383"/>
      <c r="F155" s="378">
        <v>0.05</v>
      </c>
    </row>
    <row r="156" ht="24.75" spans="1:6">
      <c r="A156" s="290" t="s">
        <v>4272</v>
      </c>
      <c r="B156" s="295" t="s">
        <v>4319</v>
      </c>
      <c r="C156" s="383"/>
      <c r="D156" s="383"/>
      <c r="E156" s="383"/>
      <c r="F156" s="378">
        <v>0.05</v>
      </c>
    </row>
    <row r="157" ht="14.25" spans="1:6">
      <c r="A157" s="308" t="s">
        <v>4272</v>
      </c>
      <c r="B157" s="301" t="s">
        <v>4320</v>
      </c>
      <c r="C157" s="380"/>
      <c r="D157" s="380"/>
      <c r="E157" s="380"/>
      <c r="F157" s="384">
        <v>0.05</v>
      </c>
    </row>
    <row r="158" ht="14.25" spans="1:6">
      <c r="A158" s="290" t="s">
        <v>4321</v>
      </c>
      <c r="B158" s="291" t="s">
        <v>4322</v>
      </c>
      <c r="C158" s="375">
        <v>0.13</v>
      </c>
      <c r="D158" s="375">
        <v>0.13</v>
      </c>
      <c r="E158" s="375">
        <v>0.13</v>
      </c>
      <c r="F158" s="376">
        <v>0.13</v>
      </c>
    </row>
    <row r="159" ht="14.25" spans="1:6">
      <c r="A159" s="290" t="s">
        <v>4321</v>
      </c>
      <c r="B159" s="295" t="s">
        <v>4323</v>
      </c>
      <c r="C159" s="377">
        <v>0.13</v>
      </c>
      <c r="D159" s="377">
        <v>0.13</v>
      </c>
      <c r="E159" s="377">
        <v>0.13</v>
      </c>
      <c r="F159" s="378">
        <v>0.13</v>
      </c>
    </row>
    <row r="160" ht="14.25" spans="1:6">
      <c r="A160" s="290" t="s">
        <v>4321</v>
      </c>
      <c r="B160" s="295" t="s">
        <v>4324</v>
      </c>
      <c r="C160" s="377">
        <v>0.13</v>
      </c>
      <c r="D160" s="377">
        <v>0.13</v>
      </c>
      <c r="E160" s="377">
        <v>0.129</v>
      </c>
      <c r="F160" s="378">
        <v>0.13</v>
      </c>
    </row>
    <row r="161" ht="14.25" spans="1:6">
      <c r="A161" s="290" t="s">
        <v>4321</v>
      </c>
      <c r="B161" s="295" t="s">
        <v>4325</v>
      </c>
      <c r="C161" s="377">
        <v>0.128</v>
      </c>
      <c r="D161" s="377">
        <v>0.128</v>
      </c>
      <c r="E161" s="377">
        <v>0.125</v>
      </c>
      <c r="F161" s="378">
        <v>0.13</v>
      </c>
    </row>
    <row r="162" ht="14.25" spans="1:6">
      <c r="A162" s="290" t="s">
        <v>4321</v>
      </c>
      <c r="B162" s="295" t="s">
        <v>4326</v>
      </c>
      <c r="C162" s="377">
        <v>0.122</v>
      </c>
      <c r="D162" s="377">
        <v>0.122</v>
      </c>
      <c r="E162" s="377">
        <v>0.126</v>
      </c>
      <c r="F162" s="378">
        <v>0.122</v>
      </c>
    </row>
    <row r="163" ht="14.25" spans="1:6">
      <c r="A163" s="290" t="s">
        <v>4321</v>
      </c>
      <c r="B163" s="295" t="s">
        <v>4327</v>
      </c>
      <c r="C163" s="377">
        <v>0.13</v>
      </c>
      <c r="D163" s="377">
        <v>0.13</v>
      </c>
      <c r="E163" s="377">
        <v>0.125</v>
      </c>
      <c r="F163" s="378">
        <v>0.13</v>
      </c>
    </row>
    <row r="164" ht="14.25" spans="1:6">
      <c r="A164" s="290" t="s">
        <v>4321</v>
      </c>
      <c r="B164" s="295" t="s">
        <v>4328</v>
      </c>
      <c r="C164" s="377">
        <v>0.13</v>
      </c>
      <c r="D164" s="377">
        <v>0.13</v>
      </c>
      <c r="E164" s="377">
        <v>0.13</v>
      </c>
      <c r="F164" s="378">
        <v>0.13</v>
      </c>
    </row>
    <row r="165" ht="14.25" spans="1:6">
      <c r="A165" s="290" t="s">
        <v>4321</v>
      </c>
      <c r="B165" s="295" t="s">
        <v>4329</v>
      </c>
      <c r="C165" s="377">
        <v>0.13</v>
      </c>
      <c r="D165" s="377">
        <v>0.13</v>
      </c>
      <c r="E165" s="377">
        <v>0.124</v>
      </c>
      <c r="F165" s="378">
        <v>0.13</v>
      </c>
    </row>
    <row r="166" ht="14.25" spans="1:6">
      <c r="A166" s="290" t="s">
        <v>4321</v>
      </c>
      <c r="B166" s="295" t="s">
        <v>4330</v>
      </c>
      <c r="C166" s="377">
        <v>0.13</v>
      </c>
      <c r="D166" s="377">
        <v>0.13</v>
      </c>
      <c r="E166" s="377">
        <v>0.13</v>
      </c>
      <c r="F166" s="378">
        <v>0.13</v>
      </c>
    </row>
    <row r="167" ht="14.25" spans="1:6">
      <c r="A167" s="290" t="s">
        <v>4321</v>
      </c>
      <c r="B167" s="295" t="s">
        <v>4331</v>
      </c>
      <c r="C167" s="377">
        <v>0.125</v>
      </c>
      <c r="D167" s="377">
        <v>0.125</v>
      </c>
      <c r="E167" s="377">
        <v>0.121</v>
      </c>
      <c r="F167" s="382"/>
    </row>
    <row r="168" ht="14.25" spans="1:6">
      <c r="A168" s="290" t="s">
        <v>4321</v>
      </c>
      <c r="B168" s="295" t="s">
        <v>4332</v>
      </c>
      <c r="C168" s="377">
        <v>0.13</v>
      </c>
      <c r="D168" s="377">
        <v>0.13</v>
      </c>
      <c r="E168" s="377">
        <v>0.126</v>
      </c>
      <c r="F168" s="382"/>
    </row>
    <row r="169" ht="14.25" spans="1:6">
      <c r="A169" s="290" t="s">
        <v>4321</v>
      </c>
      <c r="B169" s="295" t="s">
        <v>4333</v>
      </c>
      <c r="C169" s="377">
        <v>0.128</v>
      </c>
      <c r="D169" s="377">
        <v>0.129</v>
      </c>
      <c r="E169" s="377">
        <v>0.13</v>
      </c>
      <c r="F169" s="382"/>
    </row>
    <row r="170" ht="14.25" spans="1:6">
      <c r="A170" s="290" t="s">
        <v>4321</v>
      </c>
      <c r="B170" s="295" t="s">
        <v>4334</v>
      </c>
      <c r="C170" s="377">
        <v>0.141</v>
      </c>
      <c r="D170" s="377">
        <v>0.13</v>
      </c>
      <c r="E170" s="377">
        <v>0.125</v>
      </c>
      <c r="F170" s="382"/>
    </row>
    <row r="171" ht="14.25" spans="1:6">
      <c r="A171" s="290" t="s">
        <v>4321</v>
      </c>
      <c r="B171" s="295" t="s">
        <v>4335</v>
      </c>
      <c r="C171" s="377">
        <v>0.127</v>
      </c>
      <c r="D171" s="377">
        <v>0.126</v>
      </c>
      <c r="E171" s="377">
        <v>0.126</v>
      </c>
      <c r="F171" s="378">
        <v>0.118</v>
      </c>
    </row>
    <row r="172" ht="14.25" spans="1:6">
      <c r="A172" s="290" t="s">
        <v>4321</v>
      </c>
      <c r="B172" s="295" t="s">
        <v>4336</v>
      </c>
      <c r="C172" s="377">
        <v>0.13</v>
      </c>
      <c r="D172" s="377">
        <v>0.13</v>
      </c>
      <c r="E172" s="377">
        <v>0.13</v>
      </c>
      <c r="F172" s="382"/>
    </row>
    <row r="173" ht="14.25" spans="1:6">
      <c r="A173" s="290" t="s">
        <v>4321</v>
      </c>
      <c r="B173" s="295" t="s">
        <v>4337</v>
      </c>
      <c r="C173" s="377">
        <v>0.13</v>
      </c>
      <c r="D173" s="377">
        <v>0.13</v>
      </c>
      <c r="E173" s="377">
        <v>0.13</v>
      </c>
      <c r="F173" s="382"/>
    </row>
    <row r="174" ht="14.25" spans="1:6">
      <c r="A174" s="290" t="s">
        <v>4321</v>
      </c>
      <c r="B174" s="295" t="s">
        <v>4338</v>
      </c>
      <c r="C174" s="377">
        <v>0.13</v>
      </c>
      <c r="D174" s="377">
        <v>0.13</v>
      </c>
      <c r="E174" s="377">
        <v>0.13</v>
      </c>
      <c r="F174" s="378">
        <v>0.13</v>
      </c>
    </row>
    <row r="175" ht="14.25" spans="1:6">
      <c r="A175" s="290" t="s">
        <v>4321</v>
      </c>
      <c r="B175" s="295" t="s">
        <v>4339</v>
      </c>
      <c r="C175" s="377">
        <v>0.13</v>
      </c>
      <c r="D175" s="377">
        <v>0.13</v>
      </c>
      <c r="E175" s="377">
        <v>0.13</v>
      </c>
      <c r="F175" s="378">
        <v>0.13</v>
      </c>
    </row>
    <row r="176" ht="14.25" spans="1:6">
      <c r="A176" s="290" t="s">
        <v>4321</v>
      </c>
      <c r="B176" s="295" t="s">
        <v>4340</v>
      </c>
      <c r="C176" s="377">
        <v>0.13</v>
      </c>
      <c r="D176" s="377">
        <v>0.13</v>
      </c>
      <c r="E176" s="377">
        <v>0.13</v>
      </c>
      <c r="F176" s="378">
        <v>0.13</v>
      </c>
    </row>
    <row r="177" ht="14.25" spans="1:6">
      <c r="A177" s="290" t="s">
        <v>4321</v>
      </c>
      <c r="B177" s="295" t="s">
        <v>4341</v>
      </c>
      <c r="C177" s="377">
        <v>0.13</v>
      </c>
      <c r="D177" s="377">
        <v>0.13</v>
      </c>
      <c r="E177" s="377">
        <v>0.13</v>
      </c>
      <c r="F177" s="378">
        <v>0.13</v>
      </c>
    </row>
    <row r="178" ht="14.25" spans="1:6">
      <c r="A178" s="290" t="s">
        <v>4321</v>
      </c>
      <c r="B178" s="295" t="s">
        <v>4342</v>
      </c>
      <c r="C178" s="377">
        <v>0.13</v>
      </c>
      <c r="D178" s="377">
        <v>0.13</v>
      </c>
      <c r="E178" s="377">
        <v>0.13</v>
      </c>
      <c r="F178" s="378">
        <v>0.127</v>
      </c>
    </row>
    <row r="179" ht="14.25" spans="1:6">
      <c r="A179" s="290" t="s">
        <v>4321</v>
      </c>
      <c r="B179" s="295" t="s">
        <v>4343</v>
      </c>
      <c r="C179" s="377">
        <v>0.13</v>
      </c>
      <c r="D179" s="377">
        <v>0.13</v>
      </c>
      <c r="E179" s="377">
        <v>0.13</v>
      </c>
      <c r="F179" s="382"/>
    </row>
    <row r="180" ht="14.25" spans="1:6">
      <c r="A180" s="290" t="s">
        <v>4321</v>
      </c>
      <c r="B180" s="295" t="s">
        <v>4344</v>
      </c>
      <c r="C180" s="377">
        <v>0.13</v>
      </c>
      <c r="D180" s="377">
        <v>0.13</v>
      </c>
      <c r="E180" s="377">
        <v>0.125</v>
      </c>
      <c r="F180" s="378">
        <v>0.13</v>
      </c>
    </row>
    <row r="181" ht="14.25" spans="1:6">
      <c r="A181" s="290" t="s">
        <v>4321</v>
      </c>
      <c r="B181" s="295" t="s">
        <v>4345</v>
      </c>
      <c r="C181" s="377">
        <v>0.122</v>
      </c>
      <c r="D181" s="377">
        <v>0.123</v>
      </c>
      <c r="E181" s="377">
        <v>0.126</v>
      </c>
      <c r="F181" s="378">
        <v>0.121</v>
      </c>
    </row>
    <row r="182" ht="14.25" spans="1:6">
      <c r="A182" s="290" t="s">
        <v>4321</v>
      </c>
      <c r="B182" s="295" t="s">
        <v>4346</v>
      </c>
      <c r="C182" s="377">
        <v>0.125</v>
      </c>
      <c r="D182" s="377">
        <v>0.125</v>
      </c>
      <c r="E182" s="377">
        <v>0.117</v>
      </c>
      <c r="F182" s="378">
        <v>0.13</v>
      </c>
    </row>
    <row r="183" ht="14.25" spans="1:6">
      <c r="A183" s="290" t="s">
        <v>4321</v>
      </c>
      <c r="B183" s="295" t="s">
        <v>4347</v>
      </c>
      <c r="C183" s="377">
        <v>0.127</v>
      </c>
      <c r="D183" s="377">
        <v>0.127</v>
      </c>
      <c r="E183" s="377">
        <v>0.128</v>
      </c>
      <c r="F183" s="382"/>
    </row>
    <row r="184" ht="14.25" spans="1:6">
      <c r="A184" s="290" t="s">
        <v>4321</v>
      </c>
      <c r="B184" s="295" t="s">
        <v>4348</v>
      </c>
      <c r="C184" s="377">
        <v>0.125</v>
      </c>
      <c r="D184" s="377">
        <v>0.125</v>
      </c>
      <c r="E184" s="377">
        <v>0.127</v>
      </c>
      <c r="F184" s="382"/>
    </row>
    <row r="185" ht="14.25" spans="1:6">
      <c r="A185" s="290" t="s">
        <v>4321</v>
      </c>
      <c r="B185" s="295" t="s">
        <v>4349</v>
      </c>
      <c r="C185" s="377">
        <v>0.127</v>
      </c>
      <c r="D185" s="377">
        <v>0.127</v>
      </c>
      <c r="E185" s="377">
        <v>0.128</v>
      </c>
      <c r="F185" s="378">
        <v>0.13</v>
      </c>
    </row>
    <row r="186" ht="24.75" spans="1:6">
      <c r="A186" s="290" t="s">
        <v>4321</v>
      </c>
      <c r="B186" s="295" t="s">
        <v>4350</v>
      </c>
      <c r="C186" s="383"/>
      <c r="D186" s="383"/>
      <c r="E186" s="383"/>
      <c r="F186" s="378">
        <v>0.05</v>
      </c>
    </row>
    <row r="187" ht="14.25" spans="1:6">
      <c r="A187" s="290" t="s">
        <v>4321</v>
      </c>
      <c r="B187" s="295" t="s">
        <v>4351</v>
      </c>
      <c r="C187" s="383"/>
      <c r="D187" s="383"/>
      <c r="E187" s="383"/>
      <c r="F187" s="378">
        <v>0.05</v>
      </c>
    </row>
    <row r="188" ht="14.25" spans="1:6">
      <c r="A188" s="290" t="s">
        <v>4321</v>
      </c>
      <c r="B188" s="295" t="s">
        <v>4352</v>
      </c>
      <c r="C188" s="383"/>
      <c r="D188" s="383"/>
      <c r="E188" s="383"/>
      <c r="F188" s="378">
        <v>0.05</v>
      </c>
    </row>
    <row r="189" ht="24.75" spans="1:6">
      <c r="A189" s="290" t="s">
        <v>4321</v>
      </c>
      <c r="B189" s="295" t="s">
        <v>4353</v>
      </c>
      <c r="C189" s="383"/>
      <c r="D189" s="383"/>
      <c r="E189" s="383"/>
      <c r="F189" s="378">
        <v>0.05</v>
      </c>
    </row>
    <row r="190" ht="24.75" spans="1:6">
      <c r="A190" s="290" t="s">
        <v>4321</v>
      </c>
      <c r="B190" s="295" t="s">
        <v>4354</v>
      </c>
      <c r="C190" s="383"/>
      <c r="D190" s="383"/>
      <c r="E190" s="383"/>
      <c r="F190" s="378">
        <v>0.05</v>
      </c>
    </row>
    <row r="191" ht="24.75" spans="1:6">
      <c r="A191" s="290" t="s">
        <v>4321</v>
      </c>
      <c r="B191" s="295" t="s">
        <v>4355</v>
      </c>
      <c r="C191" s="383"/>
      <c r="D191" s="383"/>
      <c r="E191" s="383"/>
      <c r="F191" s="378">
        <v>0.05</v>
      </c>
    </row>
    <row r="192" ht="24.75" spans="1:6">
      <c r="A192" s="290" t="s">
        <v>4321</v>
      </c>
      <c r="B192" s="295" t="s">
        <v>4356</v>
      </c>
      <c r="C192" s="383"/>
      <c r="D192" s="383"/>
      <c r="E192" s="383"/>
      <c r="F192" s="378">
        <v>0.05</v>
      </c>
    </row>
    <row r="193" ht="24.75" spans="1:6">
      <c r="A193" s="290" t="s">
        <v>4321</v>
      </c>
      <c r="B193" s="295" t="s">
        <v>4357</v>
      </c>
      <c r="C193" s="383"/>
      <c r="D193" s="383"/>
      <c r="E193" s="383"/>
      <c r="F193" s="378">
        <v>0.05</v>
      </c>
    </row>
    <row r="194" ht="24.75" spans="1:6">
      <c r="A194" s="290" t="s">
        <v>4321</v>
      </c>
      <c r="B194" s="295" t="s">
        <v>4358</v>
      </c>
      <c r="C194" s="383"/>
      <c r="D194" s="383"/>
      <c r="E194" s="383"/>
      <c r="F194" s="378">
        <v>0.05</v>
      </c>
    </row>
    <row r="195" ht="14.25" spans="1:6">
      <c r="A195" s="290" t="s">
        <v>4321</v>
      </c>
      <c r="B195" s="295" t="s">
        <v>4359</v>
      </c>
      <c r="C195" s="383"/>
      <c r="D195" s="383"/>
      <c r="E195" s="383"/>
      <c r="F195" s="378">
        <v>0.05</v>
      </c>
    </row>
    <row r="196" ht="24.75" spans="1:6">
      <c r="A196" s="290" t="s">
        <v>4321</v>
      </c>
      <c r="B196" s="295" t="s">
        <v>4360</v>
      </c>
      <c r="C196" s="383"/>
      <c r="D196" s="383"/>
      <c r="E196" s="383"/>
      <c r="F196" s="378">
        <v>0.05</v>
      </c>
    </row>
    <row r="197" ht="24.75" spans="1:6">
      <c r="A197" s="290" t="s">
        <v>4321</v>
      </c>
      <c r="B197" s="295" t="s">
        <v>4361</v>
      </c>
      <c r="C197" s="383"/>
      <c r="D197" s="383"/>
      <c r="E197" s="383"/>
      <c r="F197" s="378">
        <v>0.05</v>
      </c>
    </row>
    <row r="198" ht="24.75" spans="1:6">
      <c r="A198" s="290" t="s">
        <v>4321</v>
      </c>
      <c r="B198" s="295" t="s">
        <v>4362</v>
      </c>
      <c r="C198" s="383"/>
      <c r="D198" s="383"/>
      <c r="E198" s="383"/>
      <c r="F198" s="378">
        <v>0.05</v>
      </c>
    </row>
    <row r="199" ht="24.75" spans="1:6">
      <c r="A199" s="290" t="s">
        <v>4321</v>
      </c>
      <c r="B199" s="295" t="s">
        <v>4363</v>
      </c>
      <c r="C199" s="383"/>
      <c r="D199" s="383"/>
      <c r="E199" s="383"/>
      <c r="F199" s="378">
        <v>0.05</v>
      </c>
    </row>
    <row r="200" ht="24.75" spans="1:6">
      <c r="A200" s="290" t="s">
        <v>4321</v>
      </c>
      <c r="B200" s="295" t="s">
        <v>4364</v>
      </c>
      <c r="C200" s="383"/>
      <c r="D200" s="383"/>
      <c r="E200" s="383"/>
      <c r="F200" s="378">
        <v>0.05</v>
      </c>
    </row>
    <row r="201" ht="24.75" spans="1:6">
      <c r="A201" s="290" t="s">
        <v>4321</v>
      </c>
      <c r="B201" s="295" t="s">
        <v>4365</v>
      </c>
      <c r="C201" s="383"/>
      <c r="D201" s="383"/>
      <c r="E201" s="383"/>
      <c r="F201" s="378">
        <v>0.05</v>
      </c>
    </row>
    <row r="202" ht="24.75" spans="1:6">
      <c r="A202" s="290" t="s">
        <v>4321</v>
      </c>
      <c r="B202" s="295" t="s">
        <v>4366</v>
      </c>
      <c r="C202" s="383"/>
      <c r="D202" s="383"/>
      <c r="E202" s="383"/>
      <c r="F202" s="378">
        <v>0.05</v>
      </c>
    </row>
    <row r="203" ht="24.75" spans="1:6">
      <c r="A203" s="290" t="s">
        <v>4321</v>
      </c>
      <c r="B203" s="295" t="s">
        <v>4367</v>
      </c>
      <c r="C203" s="383"/>
      <c r="D203" s="383"/>
      <c r="E203" s="383"/>
      <c r="F203" s="378">
        <v>0.05</v>
      </c>
    </row>
    <row r="204" ht="14.25" spans="1:6">
      <c r="A204" s="290" t="s">
        <v>4321</v>
      </c>
      <c r="B204" s="295" t="s">
        <v>4368</v>
      </c>
      <c r="C204" s="383"/>
      <c r="D204" s="383"/>
      <c r="E204" s="383"/>
      <c r="F204" s="378">
        <v>0.05</v>
      </c>
    </row>
    <row r="205" ht="14.25" spans="1:6">
      <c r="A205" s="308" t="s">
        <v>4321</v>
      </c>
      <c r="B205" s="301" t="s">
        <v>4369</v>
      </c>
      <c r="C205" s="380"/>
      <c r="D205" s="380"/>
      <c r="E205" s="380"/>
      <c r="F205" s="384">
        <v>0.05</v>
      </c>
    </row>
    <row r="206" ht="14.25" spans="1:6">
      <c r="A206" s="290" t="s">
        <v>4370</v>
      </c>
      <c r="B206" s="291" t="s">
        <v>4371</v>
      </c>
      <c r="C206" s="375">
        <v>0.15</v>
      </c>
      <c r="D206" s="375">
        <v>0.15</v>
      </c>
      <c r="E206" s="375">
        <v>0.15</v>
      </c>
      <c r="F206" s="376">
        <v>0.15</v>
      </c>
    </row>
    <row r="207" ht="14.25" spans="1:6">
      <c r="A207" s="290" t="s">
        <v>4370</v>
      </c>
      <c r="B207" s="295" t="s">
        <v>4372</v>
      </c>
      <c r="C207" s="377">
        <v>0.15</v>
      </c>
      <c r="D207" s="377">
        <v>0.15</v>
      </c>
      <c r="E207" s="377">
        <v>0.15</v>
      </c>
      <c r="F207" s="378">
        <v>0.144</v>
      </c>
    </row>
    <row r="208" ht="14.25" spans="1:6">
      <c r="A208" s="290" t="s">
        <v>4370</v>
      </c>
      <c r="B208" s="295" t="s">
        <v>4373</v>
      </c>
      <c r="C208" s="377">
        <v>0.15</v>
      </c>
      <c r="D208" s="377">
        <v>0.15</v>
      </c>
      <c r="E208" s="377">
        <v>0.15</v>
      </c>
      <c r="F208" s="378">
        <v>0.15</v>
      </c>
    </row>
    <row r="209" ht="14.25" spans="1:6">
      <c r="A209" s="290" t="s">
        <v>4370</v>
      </c>
      <c r="B209" s="295" t="s">
        <v>4374</v>
      </c>
      <c r="C209" s="377">
        <v>0.137</v>
      </c>
      <c r="D209" s="377">
        <v>0.137</v>
      </c>
      <c r="E209" s="377">
        <v>0.14</v>
      </c>
      <c r="F209" s="378">
        <v>0.117</v>
      </c>
    </row>
    <row r="210" ht="14.25" spans="1:6">
      <c r="A210" s="290" t="s">
        <v>4370</v>
      </c>
      <c r="B210" s="295" t="s">
        <v>4375</v>
      </c>
      <c r="C210" s="377">
        <v>0.15</v>
      </c>
      <c r="D210" s="377">
        <v>0.15</v>
      </c>
      <c r="E210" s="377">
        <v>0.15</v>
      </c>
      <c r="F210" s="378">
        <v>0.138</v>
      </c>
    </row>
    <row r="211" ht="14.25" spans="1:6">
      <c r="A211" s="290" t="s">
        <v>4370</v>
      </c>
      <c r="B211" s="295" t="s">
        <v>4376</v>
      </c>
      <c r="C211" s="377">
        <v>0.137</v>
      </c>
      <c r="D211" s="377">
        <v>0.135</v>
      </c>
      <c r="E211" s="377">
        <v>0.136</v>
      </c>
      <c r="F211" s="378">
        <v>0.1</v>
      </c>
    </row>
    <row r="212" ht="14.25" spans="1:6">
      <c r="A212" s="290" t="s">
        <v>4370</v>
      </c>
      <c r="B212" s="295" t="s">
        <v>4377</v>
      </c>
      <c r="C212" s="377">
        <v>0.15</v>
      </c>
      <c r="D212" s="377">
        <v>0.15</v>
      </c>
      <c r="E212" s="377">
        <v>0.148</v>
      </c>
      <c r="F212" s="378">
        <v>0.136</v>
      </c>
    </row>
    <row r="213" ht="14.25" spans="1:6">
      <c r="A213" s="290" t="s">
        <v>4370</v>
      </c>
      <c r="B213" s="295" t="s">
        <v>4378</v>
      </c>
      <c r="C213" s="377">
        <v>0.15</v>
      </c>
      <c r="D213" s="377">
        <v>0.15</v>
      </c>
      <c r="E213" s="377">
        <v>0.15</v>
      </c>
      <c r="F213" s="378">
        <v>0.138</v>
      </c>
    </row>
    <row r="214" ht="14.25" spans="1:6">
      <c r="A214" s="290" t="s">
        <v>4370</v>
      </c>
      <c r="B214" s="295" t="s">
        <v>4379</v>
      </c>
      <c r="C214" s="377">
        <v>0.091</v>
      </c>
      <c r="D214" s="377">
        <v>0.09</v>
      </c>
      <c r="E214" s="377">
        <v>0.092</v>
      </c>
      <c r="F214" s="382"/>
    </row>
    <row r="215" ht="14.25" spans="1:6">
      <c r="A215" s="290" t="s">
        <v>4370</v>
      </c>
      <c r="B215" s="295" t="s">
        <v>4380</v>
      </c>
      <c r="C215" s="377">
        <v>0.15</v>
      </c>
      <c r="D215" s="377">
        <v>0.15</v>
      </c>
      <c r="E215" s="377">
        <v>0.15</v>
      </c>
      <c r="F215" s="378">
        <v>0.15</v>
      </c>
    </row>
    <row r="216" ht="14.25" spans="1:6">
      <c r="A216" s="290" t="s">
        <v>4370</v>
      </c>
      <c r="B216" s="295" t="s">
        <v>4381</v>
      </c>
      <c r="C216" s="377">
        <v>0.147</v>
      </c>
      <c r="D216" s="377">
        <v>0.147</v>
      </c>
      <c r="E216" s="377">
        <v>0.15</v>
      </c>
      <c r="F216" s="378">
        <v>0.14</v>
      </c>
    </row>
    <row r="217" ht="14.25" spans="1:6">
      <c r="A217" s="290" t="s">
        <v>4370</v>
      </c>
      <c r="B217" s="295" t="s">
        <v>4382</v>
      </c>
      <c r="C217" s="377">
        <v>0.15</v>
      </c>
      <c r="D217" s="377">
        <v>0.15</v>
      </c>
      <c r="E217" s="377">
        <v>0.15</v>
      </c>
      <c r="F217" s="378">
        <v>0.15</v>
      </c>
    </row>
    <row r="218" ht="14.25" spans="1:6">
      <c r="A218" s="290" t="s">
        <v>4370</v>
      </c>
      <c r="B218" s="295" t="s">
        <v>4383</v>
      </c>
      <c r="C218" s="377">
        <v>0.15</v>
      </c>
      <c r="D218" s="377">
        <v>0.15</v>
      </c>
      <c r="E218" s="377">
        <v>0.15</v>
      </c>
      <c r="F218" s="378">
        <v>0.15</v>
      </c>
    </row>
    <row r="219" ht="14.25" spans="1:6">
      <c r="A219" s="290" t="s">
        <v>4370</v>
      </c>
      <c r="B219" s="295" t="s">
        <v>4384</v>
      </c>
      <c r="C219" s="377">
        <v>0.15</v>
      </c>
      <c r="D219" s="377">
        <v>0.15</v>
      </c>
      <c r="E219" s="377">
        <v>0.15</v>
      </c>
      <c r="F219" s="378">
        <v>0.148</v>
      </c>
    </row>
    <row r="220" ht="14.25" spans="1:6">
      <c r="A220" s="290" t="s">
        <v>4370</v>
      </c>
      <c r="B220" s="295" t="s">
        <v>4385</v>
      </c>
      <c r="C220" s="377">
        <v>0.15</v>
      </c>
      <c r="D220" s="377">
        <v>0.15</v>
      </c>
      <c r="E220" s="377">
        <v>0.15</v>
      </c>
      <c r="F220" s="378">
        <v>0.15</v>
      </c>
    </row>
    <row r="221" ht="14.25" spans="1:6">
      <c r="A221" s="290" t="s">
        <v>4370</v>
      </c>
      <c r="B221" s="295" t="s">
        <v>4386</v>
      </c>
      <c r="C221" s="377"/>
      <c r="D221" s="383"/>
      <c r="E221" s="383"/>
      <c r="F221" s="378">
        <v>0.148</v>
      </c>
    </row>
    <row r="222" ht="14.25" spans="1:6">
      <c r="A222" s="290" t="s">
        <v>4370</v>
      </c>
      <c r="B222" s="295" t="s">
        <v>4387</v>
      </c>
      <c r="C222" s="377"/>
      <c r="D222" s="383"/>
      <c r="E222" s="383"/>
      <c r="F222" s="378">
        <v>0.1</v>
      </c>
    </row>
    <row r="223" ht="14.25" spans="1:6">
      <c r="A223" s="290" t="s">
        <v>4370</v>
      </c>
      <c r="B223" s="295" t="s">
        <v>4388</v>
      </c>
      <c r="C223" s="377"/>
      <c r="D223" s="383"/>
      <c r="E223" s="383"/>
      <c r="F223" s="378">
        <v>0.15</v>
      </c>
    </row>
    <row r="224" ht="14.25" spans="1:6">
      <c r="A224" s="290" t="s">
        <v>4370</v>
      </c>
      <c r="B224" s="295" t="s">
        <v>4389</v>
      </c>
      <c r="C224" s="377"/>
      <c r="D224" s="383"/>
      <c r="E224" s="383"/>
      <c r="F224" s="378">
        <v>0.15</v>
      </c>
    </row>
    <row r="225" ht="14.25" spans="1:6">
      <c r="A225" s="290" t="s">
        <v>4370</v>
      </c>
      <c r="B225" s="295" t="s">
        <v>4390</v>
      </c>
      <c r="C225" s="377">
        <v>0.15</v>
      </c>
      <c r="D225" s="377">
        <v>0.15</v>
      </c>
      <c r="E225" s="377">
        <v>0.15</v>
      </c>
      <c r="F225" s="378">
        <v>0.15</v>
      </c>
    </row>
    <row r="226" ht="14.25" spans="1:6">
      <c r="A226" s="290" t="s">
        <v>4370</v>
      </c>
      <c r="B226" s="295" t="s">
        <v>4391</v>
      </c>
      <c r="C226" s="377">
        <v>0.15</v>
      </c>
      <c r="D226" s="377">
        <v>0.15</v>
      </c>
      <c r="E226" s="377">
        <v>0.15</v>
      </c>
      <c r="F226" s="378">
        <v>0.148</v>
      </c>
    </row>
    <row r="227" ht="14.25" spans="1:6">
      <c r="A227" s="290" t="s">
        <v>4370</v>
      </c>
      <c r="B227" s="295" t="s">
        <v>4392</v>
      </c>
      <c r="C227" s="377">
        <v>0.15</v>
      </c>
      <c r="D227" s="377">
        <v>0.15</v>
      </c>
      <c r="E227" s="377">
        <v>0.15</v>
      </c>
      <c r="F227" s="378">
        <v>0.15</v>
      </c>
    </row>
    <row r="228" ht="14.25" spans="1:6">
      <c r="A228" s="290" t="s">
        <v>4370</v>
      </c>
      <c r="B228" s="295" t="s">
        <v>4393</v>
      </c>
      <c r="C228" s="377">
        <v>0.15</v>
      </c>
      <c r="D228" s="377">
        <v>0.15</v>
      </c>
      <c r="E228" s="377">
        <v>0.15</v>
      </c>
      <c r="F228" s="378">
        <v>0.15</v>
      </c>
    </row>
    <row r="229" ht="14.25" spans="1:6">
      <c r="A229" s="290" t="s">
        <v>4370</v>
      </c>
      <c r="B229" s="295" t="s">
        <v>4394</v>
      </c>
      <c r="C229" s="377">
        <v>0.15</v>
      </c>
      <c r="D229" s="377">
        <v>0.15</v>
      </c>
      <c r="E229" s="377">
        <v>0.15</v>
      </c>
      <c r="F229" s="382"/>
    </row>
    <row r="230" ht="14.25" spans="1:6">
      <c r="A230" s="290" t="s">
        <v>4370</v>
      </c>
      <c r="B230" s="295" t="s">
        <v>4395</v>
      </c>
      <c r="C230" s="377">
        <v>0.145</v>
      </c>
      <c r="D230" s="377">
        <v>0.145</v>
      </c>
      <c r="E230" s="377">
        <v>0.144</v>
      </c>
      <c r="F230" s="382"/>
    </row>
    <row r="231" ht="14.25" spans="1:6">
      <c r="A231" s="290" t="s">
        <v>4370</v>
      </c>
      <c r="B231" s="295" t="s">
        <v>4396</v>
      </c>
      <c r="C231" s="377">
        <v>0.128</v>
      </c>
      <c r="D231" s="377">
        <v>0.125</v>
      </c>
      <c r="E231" s="377">
        <v>0.132</v>
      </c>
      <c r="F231" s="382"/>
    </row>
    <row r="232" ht="14.25" spans="1:6">
      <c r="A232" s="290" t="s">
        <v>4370</v>
      </c>
      <c r="B232" s="295" t="s">
        <v>4397</v>
      </c>
      <c r="C232" s="377">
        <v>0.145</v>
      </c>
      <c r="D232" s="377">
        <v>0.144</v>
      </c>
      <c r="E232" s="377">
        <v>0.146</v>
      </c>
      <c r="F232" s="378">
        <v>0.138</v>
      </c>
    </row>
    <row r="233" ht="14.25" spans="1:6">
      <c r="A233" s="290" t="s">
        <v>4370</v>
      </c>
      <c r="B233" s="295" t="s">
        <v>4398</v>
      </c>
      <c r="C233" s="377">
        <v>0.145</v>
      </c>
      <c r="D233" s="377">
        <v>0.143</v>
      </c>
      <c r="E233" s="377">
        <v>0.142</v>
      </c>
      <c r="F233" s="382"/>
    </row>
    <row r="234" ht="14.25" spans="1:6">
      <c r="A234" s="290" t="s">
        <v>4370</v>
      </c>
      <c r="B234" s="295" t="s">
        <v>4399</v>
      </c>
      <c r="C234" s="377">
        <v>0.14</v>
      </c>
      <c r="D234" s="377">
        <v>0.14</v>
      </c>
      <c r="E234" s="377">
        <v>0.144</v>
      </c>
      <c r="F234" s="382"/>
    </row>
    <row r="235" ht="14.25" spans="1:6">
      <c r="A235" s="290" t="s">
        <v>4370</v>
      </c>
      <c r="B235" s="295" t="s">
        <v>4400</v>
      </c>
      <c r="C235" s="377">
        <v>0.141</v>
      </c>
      <c r="D235" s="377">
        <v>0.142</v>
      </c>
      <c r="E235" s="377">
        <v>0.145</v>
      </c>
      <c r="F235" s="378">
        <v>0.15</v>
      </c>
    </row>
    <row r="236" ht="14.25" spans="1:6">
      <c r="A236" s="290" t="s">
        <v>4370</v>
      </c>
      <c r="B236" s="295" t="s">
        <v>4401</v>
      </c>
      <c r="C236" s="383"/>
      <c r="D236" s="383"/>
      <c r="E236" s="383"/>
      <c r="F236" s="378">
        <v>0.143</v>
      </c>
    </row>
    <row r="237" ht="24.75" spans="1:6">
      <c r="A237" s="290" t="s">
        <v>4370</v>
      </c>
      <c r="B237" s="295" t="s">
        <v>4402</v>
      </c>
      <c r="C237" s="383"/>
      <c r="D237" s="383"/>
      <c r="E237" s="383"/>
      <c r="F237" s="378">
        <v>0.05</v>
      </c>
    </row>
    <row r="238" ht="24.75" spans="1:6">
      <c r="A238" s="290" t="s">
        <v>4370</v>
      </c>
      <c r="B238" s="295" t="s">
        <v>4403</v>
      </c>
      <c r="C238" s="383"/>
      <c r="D238" s="383"/>
      <c r="E238" s="383"/>
      <c r="F238" s="378">
        <v>0.05</v>
      </c>
    </row>
    <row r="239" ht="24.75" spans="1:6">
      <c r="A239" s="290" t="s">
        <v>4370</v>
      </c>
      <c r="B239" s="295" t="s">
        <v>4404</v>
      </c>
      <c r="C239" s="383"/>
      <c r="D239" s="383"/>
      <c r="E239" s="383"/>
      <c r="F239" s="378">
        <v>0.05</v>
      </c>
    </row>
    <row r="240" ht="24.75" spans="1:6">
      <c r="A240" s="290" t="s">
        <v>4370</v>
      </c>
      <c r="B240" s="295" t="s">
        <v>4405</v>
      </c>
      <c r="C240" s="383"/>
      <c r="D240" s="383"/>
      <c r="E240" s="383"/>
      <c r="F240" s="378">
        <v>0.05</v>
      </c>
    </row>
    <row r="241" ht="24.75" spans="1:6">
      <c r="A241" s="290" t="s">
        <v>4370</v>
      </c>
      <c r="B241" s="295" t="s">
        <v>4406</v>
      </c>
      <c r="C241" s="383"/>
      <c r="D241" s="383"/>
      <c r="E241" s="383"/>
      <c r="F241" s="378">
        <v>0.05</v>
      </c>
    </row>
    <row r="242" ht="24.75" spans="1:6">
      <c r="A242" s="290" t="s">
        <v>4370</v>
      </c>
      <c r="B242" s="295" t="s">
        <v>4407</v>
      </c>
      <c r="C242" s="383"/>
      <c r="D242" s="383"/>
      <c r="E242" s="383"/>
      <c r="F242" s="378">
        <v>0.05</v>
      </c>
    </row>
    <row r="243" ht="24.75" spans="1:6">
      <c r="A243" s="290" t="s">
        <v>4370</v>
      </c>
      <c r="B243" s="295" t="s">
        <v>4408</v>
      </c>
      <c r="C243" s="383"/>
      <c r="D243" s="383"/>
      <c r="E243" s="383"/>
      <c r="F243" s="378">
        <v>0.05</v>
      </c>
    </row>
    <row r="244" ht="24.75" spans="1:6">
      <c r="A244" s="308" t="s">
        <v>4370</v>
      </c>
      <c r="B244" s="301" t="s">
        <v>4409</v>
      </c>
      <c r="C244" s="380"/>
      <c r="D244" s="380"/>
      <c r="E244" s="380"/>
      <c r="F244" s="384">
        <v>0.05</v>
      </c>
    </row>
    <row r="245" ht="14.25" spans="1:6">
      <c r="A245" s="290" t="s">
        <v>4410</v>
      </c>
      <c r="B245" s="291" t="s">
        <v>4411</v>
      </c>
      <c r="C245" s="375">
        <v>0.15</v>
      </c>
      <c r="D245" s="375">
        <v>0.15</v>
      </c>
      <c r="E245" s="375">
        <v>0.15</v>
      </c>
      <c r="F245" s="376">
        <v>0.143</v>
      </c>
    </row>
    <row r="246" ht="14.25" spans="1:6">
      <c r="A246" s="290" t="s">
        <v>4410</v>
      </c>
      <c r="B246" s="295" t="s">
        <v>4412</v>
      </c>
      <c r="C246" s="377">
        <v>0.15</v>
      </c>
      <c r="D246" s="377">
        <v>0.15</v>
      </c>
      <c r="E246" s="377">
        <v>0.15</v>
      </c>
      <c r="F246" s="378">
        <v>0.114</v>
      </c>
    </row>
    <row r="247" ht="14.25" spans="1:6">
      <c r="A247" s="290" t="s">
        <v>4410</v>
      </c>
      <c r="B247" s="295" t="s">
        <v>4413</v>
      </c>
      <c r="C247" s="377">
        <v>0.15</v>
      </c>
      <c r="D247" s="377">
        <v>0.15</v>
      </c>
      <c r="E247" s="377">
        <v>0.15</v>
      </c>
      <c r="F247" s="378">
        <v>0.15</v>
      </c>
    </row>
    <row r="248" ht="14.25" spans="1:6">
      <c r="A248" s="290" t="s">
        <v>4410</v>
      </c>
      <c r="B248" s="295" t="s">
        <v>4414</v>
      </c>
      <c r="C248" s="377">
        <v>0.15</v>
      </c>
      <c r="D248" s="377">
        <v>0.15</v>
      </c>
      <c r="E248" s="377">
        <v>0.15</v>
      </c>
      <c r="F248" s="378">
        <v>0.14</v>
      </c>
    </row>
    <row r="249" ht="14.25" spans="1:6">
      <c r="A249" s="290" t="s">
        <v>4410</v>
      </c>
      <c r="B249" s="295" t="s">
        <v>4415</v>
      </c>
      <c r="C249" s="377">
        <v>0.15</v>
      </c>
      <c r="D249" s="377">
        <v>0.149</v>
      </c>
      <c r="E249" s="377">
        <v>0.15</v>
      </c>
      <c r="F249" s="378">
        <v>0.1</v>
      </c>
    </row>
    <row r="250" ht="14.25" spans="1:6">
      <c r="A250" s="290" t="s">
        <v>4410</v>
      </c>
      <c r="B250" s="295" t="s">
        <v>4416</v>
      </c>
      <c r="C250" s="377">
        <v>0.15</v>
      </c>
      <c r="D250" s="377">
        <v>0.15</v>
      </c>
      <c r="E250" s="377">
        <v>0.15</v>
      </c>
      <c r="F250" s="378">
        <v>0.144</v>
      </c>
    </row>
    <row r="251" ht="14.25" spans="1:6">
      <c r="A251" s="290" t="s">
        <v>4410</v>
      </c>
      <c r="B251" s="295" t="s">
        <v>4417</v>
      </c>
      <c r="C251" s="377">
        <v>0.15</v>
      </c>
      <c r="D251" s="377">
        <v>0.15</v>
      </c>
      <c r="E251" s="377">
        <v>0.15</v>
      </c>
      <c r="F251" s="378">
        <v>0.143</v>
      </c>
    </row>
    <row r="252" ht="14.25" spans="1:6">
      <c r="A252" s="290" t="s">
        <v>4410</v>
      </c>
      <c r="B252" s="295" t="s">
        <v>4418</v>
      </c>
      <c r="C252" s="377">
        <v>0.15</v>
      </c>
      <c r="D252" s="377">
        <v>0.15</v>
      </c>
      <c r="E252" s="377">
        <v>0.15</v>
      </c>
      <c r="F252" s="378">
        <v>0.1</v>
      </c>
    </row>
    <row r="253" ht="14.25" spans="1:6">
      <c r="A253" s="290" t="s">
        <v>4410</v>
      </c>
      <c r="B253" s="295" t="s">
        <v>4419</v>
      </c>
      <c r="C253" s="377">
        <v>0.15</v>
      </c>
      <c r="D253" s="377">
        <v>0.15</v>
      </c>
      <c r="E253" s="377">
        <v>0.15</v>
      </c>
      <c r="F253" s="378">
        <v>0.1</v>
      </c>
    </row>
    <row r="254" ht="14.25" spans="1:6">
      <c r="A254" s="290" t="s">
        <v>4410</v>
      </c>
      <c r="B254" s="295" t="s">
        <v>4420</v>
      </c>
      <c r="C254" s="383"/>
      <c r="D254" s="383"/>
      <c r="E254" s="383"/>
      <c r="F254" s="378">
        <v>0.15</v>
      </c>
    </row>
    <row r="255" ht="14.25" spans="1:6">
      <c r="A255" s="290" t="s">
        <v>4410</v>
      </c>
      <c r="B255" s="295" t="s">
        <v>4421</v>
      </c>
      <c r="C255" s="383"/>
      <c r="D255" s="383"/>
      <c r="E255" s="383"/>
      <c r="F255" s="378">
        <v>0.143</v>
      </c>
    </row>
    <row r="256" ht="14.25" spans="1:6">
      <c r="A256" s="290" t="s">
        <v>4410</v>
      </c>
      <c r="B256" s="295" t="s">
        <v>4422</v>
      </c>
      <c r="C256" s="377">
        <v>0.146</v>
      </c>
      <c r="D256" s="377">
        <v>0.147</v>
      </c>
      <c r="E256" s="377">
        <v>0.15</v>
      </c>
      <c r="F256" s="378">
        <v>0.132</v>
      </c>
    </row>
    <row r="257" ht="14.25" spans="1:6">
      <c r="A257" s="290" t="s">
        <v>4410</v>
      </c>
      <c r="B257" s="295" t="s">
        <v>4423</v>
      </c>
      <c r="C257" s="377">
        <v>0.15</v>
      </c>
      <c r="D257" s="377">
        <v>0.15</v>
      </c>
      <c r="E257" s="377">
        <v>0.15</v>
      </c>
      <c r="F257" s="378">
        <v>0.139</v>
      </c>
    </row>
    <row r="258" ht="14.25" spans="1:6">
      <c r="A258" s="290" t="s">
        <v>4410</v>
      </c>
      <c r="B258" s="295" t="s">
        <v>4424</v>
      </c>
      <c r="C258" s="377">
        <v>0.15</v>
      </c>
      <c r="D258" s="377">
        <v>0.15</v>
      </c>
      <c r="E258" s="377">
        <v>0.15</v>
      </c>
      <c r="F258" s="378">
        <v>0.13</v>
      </c>
    </row>
    <row r="259" ht="14.25" spans="1:6">
      <c r="A259" s="290" t="s">
        <v>4410</v>
      </c>
      <c r="B259" s="295" t="s">
        <v>4425</v>
      </c>
      <c r="C259" s="377">
        <v>0.148</v>
      </c>
      <c r="D259" s="377">
        <v>0.149</v>
      </c>
      <c r="E259" s="377">
        <v>0.15</v>
      </c>
      <c r="F259" s="378">
        <v>0.137</v>
      </c>
    </row>
    <row r="260" ht="14.25" spans="1:6">
      <c r="A260" s="290" t="s">
        <v>4410</v>
      </c>
      <c r="B260" s="295" t="s">
        <v>4426</v>
      </c>
      <c r="C260" s="377">
        <v>0.15</v>
      </c>
      <c r="D260" s="377">
        <v>0.15</v>
      </c>
      <c r="E260" s="377">
        <v>0.15</v>
      </c>
      <c r="F260" s="378">
        <v>0.142</v>
      </c>
    </row>
    <row r="261" ht="14.25" spans="1:6">
      <c r="A261" s="290" t="s">
        <v>4410</v>
      </c>
      <c r="B261" s="295" t="s">
        <v>4427</v>
      </c>
      <c r="C261" s="377">
        <v>0.15</v>
      </c>
      <c r="D261" s="377">
        <v>0.15</v>
      </c>
      <c r="E261" s="377">
        <v>0.149</v>
      </c>
      <c r="F261" s="378">
        <v>0.148</v>
      </c>
    </row>
    <row r="262" ht="14.25" spans="1:6">
      <c r="A262" s="290" t="s">
        <v>4410</v>
      </c>
      <c r="B262" s="295" t="s">
        <v>4428</v>
      </c>
      <c r="C262" s="377">
        <v>0.15</v>
      </c>
      <c r="D262" s="377">
        <v>0.15</v>
      </c>
      <c r="E262" s="377">
        <v>0.15</v>
      </c>
      <c r="F262" s="382"/>
    </row>
    <row r="263" ht="14.25" spans="1:6">
      <c r="A263" s="290" t="s">
        <v>4410</v>
      </c>
      <c r="B263" s="295" t="s">
        <v>4429</v>
      </c>
      <c r="C263" s="377">
        <v>0.149</v>
      </c>
      <c r="D263" s="377">
        <v>0.149</v>
      </c>
      <c r="E263" s="377">
        <v>0.15</v>
      </c>
      <c r="F263" s="378">
        <v>0.13</v>
      </c>
    </row>
    <row r="264" ht="14.25" spans="1:6">
      <c r="A264" s="290" t="s">
        <v>4410</v>
      </c>
      <c r="B264" s="295" t="s">
        <v>4430</v>
      </c>
      <c r="C264" s="377">
        <v>0.148</v>
      </c>
      <c r="D264" s="377">
        <v>0.147</v>
      </c>
      <c r="E264" s="377">
        <v>0.15</v>
      </c>
      <c r="F264" s="378">
        <v>0.078</v>
      </c>
    </row>
    <row r="265" ht="14.25" spans="1:6">
      <c r="A265" s="290" t="s">
        <v>4410</v>
      </c>
      <c r="B265" s="295" t="s">
        <v>4431</v>
      </c>
      <c r="C265" s="377">
        <v>0.15</v>
      </c>
      <c r="D265" s="377">
        <v>0.15</v>
      </c>
      <c r="E265" s="377">
        <v>0.15</v>
      </c>
      <c r="F265" s="378">
        <v>0.074</v>
      </c>
    </row>
    <row r="266" ht="14.25" spans="1:6">
      <c r="A266" s="290" t="s">
        <v>4410</v>
      </c>
      <c r="B266" s="295" t="s">
        <v>4432</v>
      </c>
      <c r="C266" s="377">
        <v>0.147</v>
      </c>
      <c r="D266" s="377">
        <v>0.147</v>
      </c>
      <c r="E266" s="377">
        <v>0.15</v>
      </c>
      <c r="F266" s="378">
        <v>0.143</v>
      </c>
    </row>
    <row r="267" ht="14.25" spans="1:6">
      <c r="A267" s="290" t="s">
        <v>4410</v>
      </c>
      <c r="B267" s="295" t="s">
        <v>4433</v>
      </c>
      <c r="C267" s="377">
        <v>0.142</v>
      </c>
      <c r="D267" s="377">
        <v>0.143</v>
      </c>
      <c r="E267" s="377">
        <v>0.15</v>
      </c>
      <c r="F267" s="382"/>
    </row>
    <row r="268" ht="14.25" spans="1:6">
      <c r="A268" s="290" t="s">
        <v>4410</v>
      </c>
      <c r="B268" s="295" t="s">
        <v>4434</v>
      </c>
      <c r="C268" s="377">
        <v>0.15</v>
      </c>
      <c r="D268" s="377">
        <v>0.15</v>
      </c>
      <c r="E268" s="377">
        <v>0.15</v>
      </c>
      <c r="F268" s="378">
        <v>0.13</v>
      </c>
    </row>
    <row r="269" ht="14.25" spans="1:6">
      <c r="A269" s="290" t="s">
        <v>4410</v>
      </c>
      <c r="B269" s="295" t="s">
        <v>4435</v>
      </c>
      <c r="C269" s="377">
        <v>0.15</v>
      </c>
      <c r="D269" s="377">
        <v>0.15</v>
      </c>
      <c r="E269" s="377">
        <v>0.15</v>
      </c>
      <c r="F269" s="378">
        <v>0.143</v>
      </c>
    </row>
    <row r="270" ht="14.25" spans="1:6">
      <c r="A270" s="290" t="s">
        <v>4410</v>
      </c>
      <c r="B270" s="295" t="s">
        <v>4436</v>
      </c>
      <c r="C270" s="377">
        <v>0.145</v>
      </c>
      <c r="D270" s="377">
        <v>0.145</v>
      </c>
      <c r="E270" s="377">
        <v>0.15</v>
      </c>
      <c r="F270" s="378">
        <v>0.147</v>
      </c>
    </row>
    <row r="271" ht="14.25" spans="1:6">
      <c r="A271" s="290" t="s">
        <v>4410</v>
      </c>
      <c r="B271" s="295" t="s">
        <v>4437</v>
      </c>
      <c r="C271" s="377">
        <v>0.15</v>
      </c>
      <c r="D271" s="377">
        <v>0.15</v>
      </c>
      <c r="E271" s="377">
        <v>0.15</v>
      </c>
      <c r="F271" s="378">
        <v>0.138</v>
      </c>
    </row>
    <row r="272" ht="14.25" spans="1:6">
      <c r="A272" s="290" t="s">
        <v>4410</v>
      </c>
      <c r="B272" s="295" t="s">
        <v>4438</v>
      </c>
      <c r="C272" s="383"/>
      <c r="D272" s="383"/>
      <c r="E272" s="383"/>
      <c r="F272" s="378">
        <v>0.14</v>
      </c>
    </row>
    <row r="273" ht="14.25" spans="1:6">
      <c r="A273" s="290" t="s">
        <v>4410</v>
      </c>
      <c r="B273" s="295" t="s">
        <v>4439</v>
      </c>
      <c r="C273" s="377">
        <v>0.142</v>
      </c>
      <c r="D273" s="377">
        <v>0.143</v>
      </c>
      <c r="E273" s="377">
        <v>0.15</v>
      </c>
      <c r="F273" s="378">
        <v>0.1</v>
      </c>
    </row>
    <row r="274" ht="14.25" spans="1:6">
      <c r="A274" s="290" t="s">
        <v>4410</v>
      </c>
      <c r="B274" s="295" t="s">
        <v>4440</v>
      </c>
      <c r="C274" s="377">
        <v>0.148</v>
      </c>
      <c r="D274" s="377">
        <v>0.148</v>
      </c>
      <c r="E274" s="377">
        <v>0.15</v>
      </c>
      <c r="F274" s="378">
        <v>0.067</v>
      </c>
    </row>
    <row r="275" ht="14.25" spans="1:6">
      <c r="A275" s="290" t="s">
        <v>4410</v>
      </c>
      <c r="B275" s="295" t="s">
        <v>4441</v>
      </c>
      <c r="C275" s="377">
        <v>0.15</v>
      </c>
      <c r="D275" s="377">
        <v>0.15</v>
      </c>
      <c r="E275" s="377">
        <v>0.15</v>
      </c>
      <c r="F275" s="378">
        <v>0.15</v>
      </c>
    </row>
    <row r="276" ht="14.25" spans="1:6">
      <c r="A276" s="290" t="s">
        <v>4410</v>
      </c>
      <c r="B276" s="295" t="s">
        <v>4442</v>
      </c>
      <c r="C276" s="377">
        <v>0.145</v>
      </c>
      <c r="D276" s="377">
        <v>0.143</v>
      </c>
      <c r="E276" s="377">
        <v>0.15</v>
      </c>
      <c r="F276" s="378">
        <v>0.059</v>
      </c>
    </row>
    <row r="277" ht="14.25" spans="1:6">
      <c r="A277" s="290" t="s">
        <v>4410</v>
      </c>
      <c r="B277" s="295" t="s">
        <v>4443</v>
      </c>
      <c r="C277" s="377">
        <v>0.15</v>
      </c>
      <c r="D277" s="377">
        <v>0.15</v>
      </c>
      <c r="E277" s="377">
        <v>0.15</v>
      </c>
      <c r="F277" s="378">
        <v>0.121</v>
      </c>
    </row>
    <row r="278" ht="14.25" spans="1:6">
      <c r="A278" s="290" t="s">
        <v>4410</v>
      </c>
      <c r="B278" s="295" t="s">
        <v>4444</v>
      </c>
      <c r="C278" s="377">
        <v>0.15</v>
      </c>
      <c r="D278" s="377">
        <v>0.15</v>
      </c>
      <c r="E278" s="377">
        <v>0.15</v>
      </c>
      <c r="F278" s="378">
        <v>0.138</v>
      </c>
    </row>
    <row r="279" ht="24.75" spans="1:6">
      <c r="A279" s="290" t="s">
        <v>4410</v>
      </c>
      <c r="B279" s="295" t="s">
        <v>4445</v>
      </c>
      <c r="C279" s="383"/>
      <c r="D279" s="383"/>
      <c r="E279" s="383"/>
      <c r="F279" s="378">
        <v>0.05</v>
      </c>
    </row>
    <row r="280" ht="24.75" spans="1:6">
      <c r="A280" s="290" t="s">
        <v>4410</v>
      </c>
      <c r="B280" s="295" t="s">
        <v>4446</v>
      </c>
      <c r="C280" s="383"/>
      <c r="D280" s="383"/>
      <c r="E280" s="383"/>
      <c r="F280" s="378">
        <v>0.05</v>
      </c>
    </row>
    <row r="281" ht="24.75" spans="1:6">
      <c r="A281" s="290" t="s">
        <v>4410</v>
      </c>
      <c r="B281" s="295" t="s">
        <v>4447</v>
      </c>
      <c r="C281" s="383"/>
      <c r="D281" s="383"/>
      <c r="E281" s="383"/>
      <c r="F281" s="378">
        <v>0.05</v>
      </c>
    </row>
    <row r="282" ht="24.75" spans="1:6">
      <c r="A282" s="290" t="s">
        <v>4410</v>
      </c>
      <c r="B282" s="295" t="s">
        <v>4448</v>
      </c>
      <c r="C282" s="383"/>
      <c r="D282" s="383"/>
      <c r="E282" s="383"/>
      <c r="F282" s="378">
        <v>0.05</v>
      </c>
    </row>
    <row r="283" ht="24.75" spans="1:6">
      <c r="A283" s="290" t="s">
        <v>4410</v>
      </c>
      <c r="B283" s="295" t="s">
        <v>4449</v>
      </c>
      <c r="C283" s="383"/>
      <c r="D283" s="383"/>
      <c r="E283" s="383"/>
      <c r="F283" s="378">
        <v>0.05</v>
      </c>
    </row>
    <row r="284" ht="24.75" spans="1:6">
      <c r="A284" s="290" t="s">
        <v>4410</v>
      </c>
      <c r="B284" s="295" t="s">
        <v>4450</v>
      </c>
      <c r="C284" s="383"/>
      <c r="D284" s="383"/>
      <c r="E284" s="383"/>
      <c r="F284" s="378">
        <v>0.05</v>
      </c>
    </row>
    <row r="285" ht="24.75" spans="1:6">
      <c r="A285" s="290" t="s">
        <v>4410</v>
      </c>
      <c r="B285" s="295" t="s">
        <v>4451</v>
      </c>
      <c r="C285" s="383"/>
      <c r="D285" s="383"/>
      <c r="E285" s="383"/>
      <c r="F285" s="378">
        <v>0.05</v>
      </c>
    </row>
    <row r="286" ht="24.75" spans="1:6">
      <c r="A286" s="290" t="s">
        <v>4410</v>
      </c>
      <c r="B286" s="295" t="s">
        <v>4452</v>
      </c>
      <c r="C286" s="383"/>
      <c r="D286" s="383"/>
      <c r="E286" s="383"/>
      <c r="F286" s="378">
        <v>0.05</v>
      </c>
    </row>
    <row r="287" ht="24.75" spans="1:6">
      <c r="A287" s="290" t="s">
        <v>4410</v>
      </c>
      <c r="B287" s="295" t="s">
        <v>4453</v>
      </c>
      <c r="C287" s="383"/>
      <c r="D287" s="383"/>
      <c r="E287" s="383"/>
      <c r="F287" s="378">
        <v>0.05</v>
      </c>
    </row>
    <row r="288" ht="24.75" spans="1:6">
      <c r="A288" s="290" t="s">
        <v>4410</v>
      </c>
      <c r="B288" s="295" t="s">
        <v>4454</v>
      </c>
      <c r="C288" s="383"/>
      <c r="D288" s="383"/>
      <c r="E288" s="383"/>
      <c r="F288" s="378">
        <v>0.05</v>
      </c>
    </row>
    <row r="289" ht="24.75" spans="1:6">
      <c r="A289" s="308" t="s">
        <v>4410</v>
      </c>
      <c r="B289" s="301" t="s">
        <v>4455</v>
      </c>
      <c r="C289" s="380"/>
      <c r="D289" s="380"/>
      <c r="E289" s="380"/>
      <c r="F289" s="384">
        <v>0.05</v>
      </c>
    </row>
    <row r="290" ht="14.25" spans="1:6">
      <c r="A290" s="290" t="s">
        <v>4456</v>
      </c>
      <c r="B290" s="291" t="s">
        <v>4457</v>
      </c>
      <c r="C290" s="375">
        <v>0.15</v>
      </c>
      <c r="D290" s="375">
        <v>0.15</v>
      </c>
      <c r="E290" s="375">
        <v>0.15</v>
      </c>
      <c r="F290" s="392"/>
    </row>
    <row r="291" ht="14.25" spans="1:6">
      <c r="A291" s="290" t="s">
        <v>4456</v>
      </c>
      <c r="B291" s="295" t="s">
        <v>4458</v>
      </c>
      <c r="C291" s="377">
        <v>0.15</v>
      </c>
      <c r="D291" s="377">
        <v>0.15</v>
      </c>
      <c r="E291" s="377">
        <v>0.15</v>
      </c>
      <c r="F291" s="382"/>
    </row>
    <row r="292" ht="14.25" spans="1:6">
      <c r="A292" s="290" t="s">
        <v>4456</v>
      </c>
      <c r="B292" s="295" t="s">
        <v>4459</v>
      </c>
      <c r="C292" s="377">
        <v>0.15</v>
      </c>
      <c r="D292" s="377">
        <v>0.15</v>
      </c>
      <c r="E292" s="377">
        <v>0.15</v>
      </c>
      <c r="F292" s="378">
        <v>0.147</v>
      </c>
    </row>
    <row r="293" ht="14.25" spans="1:6">
      <c r="A293" s="290" t="s">
        <v>4456</v>
      </c>
      <c r="B293" s="295" t="s">
        <v>4460</v>
      </c>
      <c r="C293" s="383"/>
      <c r="D293" s="383"/>
      <c r="E293" s="383"/>
      <c r="F293" s="378">
        <v>0.1</v>
      </c>
    </row>
    <row r="294" ht="14.25" spans="1:6">
      <c r="A294" s="290" t="s">
        <v>4456</v>
      </c>
      <c r="B294" s="295" t="s">
        <v>4461</v>
      </c>
      <c r="C294" s="377">
        <v>0.15</v>
      </c>
      <c r="D294" s="377">
        <v>0.15</v>
      </c>
      <c r="E294" s="377">
        <v>0.15</v>
      </c>
      <c r="F294" s="378">
        <v>0.15</v>
      </c>
    </row>
    <row r="295" ht="14.25" spans="1:6">
      <c r="A295" s="290" t="s">
        <v>4456</v>
      </c>
      <c r="B295" s="295" t="s">
        <v>4462</v>
      </c>
      <c r="C295" s="377">
        <v>0.15</v>
      </c>
      <c r="D295" s="377">
        <v>0.15</v>
      </c>
      <c r="E295" s="377">
        <v>0.15</v>
      </c>
      <c r="F295" s="378">
        <v>0.15</v>
      </c>
    </row>
    <row r="296" ht="14.25" spans="1:6">
      <c r="A296" s="290" t="s">
        <v>4456</v>
      </c>
      <c r="B296" s="295" t="s">
        <v>4463</v>
      </c>
      <c r="C296" s="377">
        <v>0.15</v>
      </c>
      <c r="D296" s="377">
        <v>0.15</v>
      </c>
      <c r="E296" s="377">
        <v>0.15</v>
      </c>
      <c r="F296" s="378">
        <v>0.15</v>
      </c>
    </row>
    <row r="297" ht="14.25" spans="1:6">
      <c r="A297" s="290" t="s">
        <v>4456</v>
      </c>
      <c r="B297" s="295" t="s">
        <v>4464</v>
      </c>
      <c r="C297" s="377">
        <v>0.148</v>
      </c>
      <c r="D297" s="377">
        <v>0.149</v>
      </c>
      <c r="E297" s="377">
        <v>0.15</v>
      </c>
      <c r="F297" s="378">
        <v>0.137</v>
      </c>
    </row>
    <row r="298" ht="14.25" spans="1:6">
      <c r="A298" s="290" t="s">
        <v>4456</v>
      </c>
      <c r="B298" s="295" t="s">
        <v>4465</v>
      </c>
      <c r="C298" s="377">
        <v>0.134</v>
      </c>
      <c r="D298" s="377">
        <v>0.134</v>
      </c>
      <c r="E298" s="377">
        <v>0.145</v>
      </c>
      <c r="F298" s="378">
        <v>0.148</v>
      </c>
    </row>
    <row r="299" ht="14.25" spans="1:6">
      <c r="A299" s="290" t="s">
        <v>4456</v>
      </c>
      <c r="B299" s="295" t="s">
        <v>4466</v>
      </c>
      <c r="C299" s="377">
        <v>0.15</v>
      </c>
      <c r="D299" s="377">
        <v>0.15</v>
      </c>
      <c r="E299" s="377">
        <v>0.15</v>
      </c>
      <c r="F299" s="382"/>
    </row>
    <row r="300" ht="14.25" spans="1:6">
      <c r="A300" s="290" t="s">
        <v>4456</v>
      </c>
      <c r="B300" s="295" t="s">
        <v>4467</v>
      </c>
      <c r="C300" s="377">
        <v>0.15</v>
      </c>
      <c r="D300" s="377">
        <v>0.15</v>
      </c>
      <c r="E300" s="377">
        <v>0.15</v>
      </c>
      <c r="F300" s="378">
        <v>0.15</v>
      </c>
    </row>
    <row r="301" ht="14.25" spans="1:6">
      <c r="A301" s="290" t="s">
        <v>4456</v>
      </c>
      <c r="B301" s="295" t="s">
        <v>4468</v>
      </c>
      <c r="C301" s="377">
        <v>0.15</v>
      </c>
      <c r="D301" s="377">
        <v>0.15</v>
      </c>
      <c r="E301" s="377">
        <v>0.15</v>
      </c>
      <c r="F301" s="382"/>
    </row>
    <row r="302" ht="14.25" spans="1:6">
      <c r="A302" s="290" t="s">
        <v>4456</v>
      </c>
      <c r="B302" s="295" t="s">
        <v>4469</v>
      </c>
      <c r="C302" s="377">
        <v>0.15</v>
      </c>
      <c r="D302" s="377">
        <v>0.15</v>
      </c>
      <c r="E302" s="377">
        <v>0.15</v>
      </c>
      <c r="F302" s="378">
        <v>0.15</v>
      </c>
    </row>
    <row r="303" ht="14.25" spans="1:6">
      <c r="A303" s="290" t="s">
        <v>4456</v>
      </c>
      <c r="B303" s="295" t="s">
        <v>4470</v>
      </c>
      <c r="C303" s="377">
        <v>0.15</v>
      </c>
      <c r="D303" s="377">
        <v>0.15</v>
      </c>
      <c r="E303" s="377">
        <v>0.15</v>
      </c>
      <c r="F303" s="378">
        <v>0.15</v>
      </c>
    </row>
    <row r="304" ht="14.25" spans="1:6">
      <c r="A304" s="290" t="s">
        <v>4456</v>
      </c>
      <c r="B304" s="295" t="s">
        <v>4471</v>
      </c>
      <c r="C304" s="377">
        <v>0.15</v>
      </c>
      <c r="D304" s="377">
        <v>0.15</v>
      </c>
      <c r="E304" s="377">
        <v>0.15</v>
      </c>
      <c r="F304" s="382"/>
    </row>
    <row r="305" ht="14.25" spans="1:6">
      <c r="A305" s="290" t="s">
        <v>4456</v>
      </c>
      <c r="B305" s="295" t="s">
        <v>4472</v>
      </c>
      <c r="C305" s="377">
        <v>0.15</v>
      </c>
      <c r="D305" s="377">
        <v>0.15</v>
      </c>
      <c r="E305" s="377">
        <v>0.15</v>
      </c>
      <c r="F305" s="378">
        <v>0.14</v>
      </c>
    </row>
    <row r="306" ht="14.25" spans="1:6">
      <c r="A306" s="290" t="s">
        <v>4456</v>
      </c>
      <c r="B306" s="295" t="s">
        <v>4473</v>
      </c>
      <c r="C306" s="377">
        <v>0.15</v>
      </c>
      <c r="D306" s="377">
        <v>0.15</v>
      </c>
      <c r="E306" s="377">
        <v>0.15</v>
      </c>
      <c r="F306" s="382"/>
    </row>
    <row r="307" ht="14.25" spans="1:6">
      <c r="A307" s="290" t="s">
        <v>4456</v>
      </c>
      <c r="B307" s="295" t="s">
        <v>4474</v>
      </c>
      <c r="C307" s="377">
        <v>0.15</v>
      </c>
      <c r="D307" s="377">
        <v>0.15</v>
      </c>
      <c r="E307" s="377">
        <v>0.15</v>
      </c>
      <c r="F307" s="378">
        <v>0.143</v>
      </c>
    </row>
    <row r="308" ht="14.25" spans="1:6">
      <c r="A308" s="290" t="s">
        <v>4456</v>
      </c>
      <c r="B308" s="295" t="s">
        <v>4475</v>
      </c>
      <c r="C308" s="377">
        <v>0.15</v>
      </c>
      <c r="D308" s="377">
        <v>0.15</v>
      </c>
      <c r="E308" s="377">
        <v>0.15</v>
      </c>
      <c r="F308" s="378">
        <v>0.15</v>
      </c>
    </row>
    <row r="309" ht="14.25" spans="1:6">
      <c r="A309" s="290" t="s">
        <v>4456</v>
      </c>
      <c r="B309" s="295" t="s">
        <v>4476</v>
      </c>
      <c r="C309" s="377">
        <v>0.15</v>
      </c>
      <c r="D309" s="377">
        <v>0.15</v>
      </c>
      <c r="E309" s="377">
        <v>0.15</v>
      </c>
      <c r="F309" s="382"/>
    </row>
    <row r="310" ht="14.25" spans="1:6">
      <c r="A310" s="290" t="s">
        <v>4456</v>
      </c>
      <c r="B310" s="295" t="s">
        <v>4477</v>
      </c>
      <c r="C310" s="377">
        <v>0.15</v>
      </c>
      <c r="D310" s="377">
        <v>0.15</v>
      </c>
      <c r="E310" s="377">
        <v>0.15</v>
      </c>
      <c r="F310" s="378">
        <v>0.137</v>
      </c>
    </row>
    <row r="311" ht="14.25" spans="1:6">
      <c r="A311" s="290" t="s">
        <v>4456</v>
      </c>
      <c r="B311" s="295" t="s">
        <v>4478</v>
      </c>
      <c r="C311" s="377">
        <v>0.15</v>
      </c>
      <c r="D311" s="377">
        <v>0.15</v>
      </c>
      <c r="E311" s="377">
        <v>0.15</v>
      </c>
      <c r="F311" s="378">
        <v>0.15</v>
      </c>
    </row>
    <row r="312" ht="14.25" spans="1:6">
      <c r="A312" s="290" t="s">
        <v>4456</v>
      </c>
      <c r="B312" s="295" t="s">
        <v>4479</v>
      </c>
      <c r="C312" s="377">
        <v>0.15</v>
      </c>
      <c r="D312" s="377">
        <v>0.15</v>
      </c>
      <c r="E312" s="377">
        <v>0.15</v>
      </c>
      <c r="F312" s="378">
        <v>0.1</v>
      </c>
    </row>
    <row r="313" ht="14.25" spans="1:6">
      <c r="A313" s="290" t="s">
        <v>4456</v>
      </c>
      <c r="B313" s="295" t="s">
        <v>4480</v>
      </c>
      <c r="C313" s="377">
        <v>0.15</v>
      </c>
      <c r="D313" s="377">
        <v>0.15</v>
      </c>
      <c r="E313" s="377">
        <v>0.15</v>
      </c>
      <c r="F313" s="378">
        <v>0.15</v>
      </c>
    </row>
    <row r="314" ht="24.75" spans="1:6">
      <c r="A314" s="290" t="s">
        <v>4456</v>
      </c>
      <c r="B314" s="295" t="s">
        <v>4481</v>
      </c>
      <c r="C314" s="383"/>
      <c r="D314" s="383"/>
      <c r="E314" s="383"/>
      <c r="F314" s="378">
        <v>0.05</v>
      </c>
    </row>
    <row r="315" ht="24.75" spans="1:6">
      <c r="A315" s="290" t="s">
        <v>4456</v>
      </c>
      <c r="B315" s="295" t="s">
        <v>4482</v>
      </c>
      <c r="C315" s="383"/>
      <c r="D315" s="383"/>
      <c r="E315" s="383"/>
      <c r="F315" s="378">
        <v>0.05</v>
      </c>
    </row>
    <row r="316" ht="24.75" spans="1:6">
      <c r="A316" s="308" t="s">
        <v>4456</v>
      </c>
      <c r="B316" s="301" t="s">
        <v>4483</v>
      </c>
      <c r="C316" s="380"/>
      <c r="D316" s="380"/>
      <c r="E316" s="380"/>
      <c r="F316" s="384">
        <v>0.05</v>
      </c>
    </row>
    <row r="317" ht="14.25" spans="1:6">
      <c r="A317" s="290" t="s">
        <v>4484</v>
      </c>
      <c r="B317" s="291" t="s">
        <v>4485</v>
      </c>
      <c r="C317" s="375">
        <v>0.15</v>
      </c>
      <c r="D317" s="375">
        <v>0.15</v>
      </c>
      <c r="E317" s="375">
        <v>0.15</v>
      </c>
      <c r="F317" s="376">
        <v>0.15</v>
      </c>
    </row>
    <row r="318" ht="14.25" spans="1:6">
      <c r="A318" s="290" t="s">
        <v>4484</v>
      </c>
      <c r="B318" s="295" t="s">
        <v>4486</v>
      </c>
      <c r="C318" s="377">
        <v>0.107</v>
      </c>
      <c r="D318" s="377">
        <v>0.11</v>
      </c>
      <c r="E318" s="377">
        <v>0.112</v>
      </c>
      <c r="F318" s="382"/>
    </row>
    <row r="319" ht="14.25" spans="1:6">
      <c r="A319" s="290" t="s">
        <v>4484</v>
      </c>
      <c r="B319" s="295" t="s">
        <v>4487</v>
      </c>
      <c r="C319" s="377">
        <v>0.15</v>
      </c>
      <c r="D319" s="377">
        <v>0.15</v>
      </c>
      <c r="E319" s="377">
        <v>0.15</v>
      </c>
      <c r="F319" s="378">
        <v>0.15</v>
      </c>
    </row>
    <row r="320" ht="14.25" spans="1:6">
      <c r="A320" s="290" t="s">
        <v>4484</v>
      </c>
      <c r="B320" s="295" t="s">
        <v>4488</v>
      </c>
      <c r="C320" s="377">
        <v>0.15</v>
      </c>
      <c r="D320" s="377">
        <v>0.15</v>
      </c>
      <c r="E320" s="377">
        <v>0.15</v>
      </c>
      <c r="F320" s="382"/>
    </row>
    <row r="321" ht="14.25" spans="1:6">
      <c r="A321" s="290" t="s">
        <v>4484</v>
      </c>
      <c r="B321" s="295" t="s">
        <v>4489</v>
      </c>
      <c r="C321" s="377">
        <v>0.15</v>
      </c>
      <c r="D321" s="377">
        <v>0.15</v>
      </c>
      <c r="E321" s="377">
        <v>0.15</v>
      </c>
      <c r="F321" s="382"/>
    </row>
    <row r="322" ht="14.25" spans="1:6">
      <c r="A322" s="290" t="s">
        <v>4484</v>
      </c>
      <c r="B322" s="295" t="s">
        <v>4490</v>
      </c>
      <c r="C322" s="377">
        <v>0.15</v>
      </c>
      <c r="D322" s="377">
        <v>0.15</v>
      </c>
      <c r="E322" s="377">
        <v>0.15</v>
      </c>
      <c r="F322" s="378">
        <v>0.15</v>
      </c>
    </row>
    <row r="323" ht="14.25" spans="1:6">
      <c r="A323" s="290" t="s">
        <v>4484</v>
      </c>
      <c r="B323" s="295" t="s">
        <v>4491</v>
      </c>
      <c r="C323" s="377">
        <v>0.15</v>
      </c>
      <c r="D323" s="377">
        <v>0.15</v>
      </c>
      <c r="E323" s="377">
        <v>0.15</v>
      </c>
      <c r="F323" s="382"/>
    </row>
    <row r="324" ht="14.25" spans="1:6">
      <c r="A324" s="290" t="s">
        <v>4484</v>
      </c>
      <c r="B324" s="295" t="s">
        <v>4492</v>
      </c>
      <c r="C324" s="377">
        <v>0.15</v>
      </c>
      <c r="D324" s="377">
        <v>0.15</v>
      </c>
      <c r="E324" s="377">
        <v>0.15</v>
      </c>
      <c r="F324" s="382"/>
    </row>
    <row r="325" ht="14.25" spans="1:6">
      <c r="A325" s="290" t="s">
        <v>4484</v>
      </c>
      <c r="B325" s="295" t="s">
        <v>4493</v>
      </c>
      <c r="C325" s="377">
        <v>0.15</v>
      </c>
      <c r="D325" s="377">
        <v>0.15</v>
      </c>
      <c r="E325" s="377">
        <v>0.15</v>
      </c>
      <c r="F325" s="378">
        <v>0.147</v>
      </c>
    </row>
    <row r="326" ht="14.25" spans="1:6">
      <c r="A326" s="290" t="s">
        <v>4484</v>
      </c>
      <c r="B326" s="295" t="s">
        <v>4494</v>
      </c>
      <c r="C326" s="377">
        <v>0.15</v>
      </c>
      <c r="D326" s="377">
        <v>0.15</v>
      </c>
      <c r="E326" s="377">
        <v>0.15</v>
      </c>
      <c r="F326" s="382"/>
    </row>
    <row r="327" ht="14.25" spans="1:6">
      <c r="A327" s="290" t="s">
        <v>4484</v>
      </c>
      <c r="B327" s="295" t="s">
        <v>4495</v>
      </c>
      <c r="C327" s="377">
        <v>0.15</v>
      </c>
      <c r="D327" s="377">
        <v>0.15</v>
      </c>
      <c r="E327" s="377">
        <v>0.15</v>
      </c>
      <c r="F327" s="378">
        <v>0.15</v>
      </c>
    </row>
    <row r="328" ht="14.25" spans="1:6">
      <c r="A328" s="290" t="s">
        <v>4484</v>
      </c>
      <c r="B328" s="295" t="s">
        <v>4496</v>
      </c>
      <c r="C328" s="377">
        <v>0.15</v>
      </c>
      <c r="D328" s="377">
        <v>0.15</v>
      </c>
      <c r="E328" s="377">
        <v>0.15</v>
      </c>
      <c r="F328" s="378">
        <v>0.141</v>
      </c>
    </row>
    <row r="329" ht="14.25" spans="1:6">
      <c r="A329" s="290" t="s">
        <v>4484</v>
      </c>
      <c r="B329" s="295" t="s">
        <v>4497</v>
      </c>
      <c r="C329" s="377">
        <v>0.15</v>
      </c>
      <c r="D329" s="377">
        <v>0.15</v>
      </c>
      <c r="E329" s="377">
        <v>0.15</v>
      </c>
      <c r="F329" s="378">
        <v>0.15</v>
      </c>
    </row>
    <row r="330" ht="14.25" spans="1:6">
      <c r="A330" s="290" t="s">
        <v>4484</v>
      </c>
      <c r="B330" s="295" t="s">
        <v>4498</v>
      </c>
      <c r="C330" s="377">
        <v>0.15</v>
      </c>
      <c r="D330" s="377">
        <v>0.15</v>
      </c>
      <c r="E330" s="377">
        <v>0.15</v>
      </c>
      <c r="F330" s="382"/>
    </row>
    <row r="331" ht="14.25" spans="1:6">
      <c r="A331" s="290" t="s">
        <v>4484</v>
      </c>
      <c r="B331" s="295" t="s">
        <v>4499</v>
      </c>
      <c r="C331" s="377">
        <v>0.15</v>
      </c>
      <c r="D331" s="377">
        <v>0.15</v>
      </c>
      <c r="E331" s="377">
        <v>0.15</v>
      </c>
      <c r="F331" s="378">
        <v>0.15</v>
      </c>
    </row>
    <row r="332" ht="14.25" spans="1:6">
      <c r="A332" s="290" t="s">
        <v>4484</v>
      </c>
      <c r="B332" s="295" t="s">
        <v>4500</v>
      </c>
      <c r="C332" s="377">
        <v>0.15</v>
      </c>
      <c r="D332" s="377">
        <v>0.15</v>
      </c>
      <c r="E332" s="377">
        <v>0.15</v>
      </c>
      <c r="F332" s="378">
        <v>0.15</v>
      </c>
    </row>
    <row r="333" ht="14.25" spans="1:6">
      <c r="A333" s="290" t="s">
        <v>4484</v>
      </c>
      <c r="B333" s="295" t="s">
        <v>4501</v>
      </c>
      <c r="C333" s="377">
        <v>0.15</v>
      </c>
      <c r="D333" s="377">
        <v>0.15</v>
      </c>
      <c r="E333" s="377">
        <v>0.15</v>
      </c>
      <c r="F333" s="378">
        <v>0.141</v>
      </c>
    </row>
    <row r="334" ht="14.25" spans="1:6">
      <c r="A334" s="290" t="s">
        <v>4484</v>
      </c>
      <c r="B334" s="295" t="s">
        <v>4502</v>
      </c>
      <c r="C334" s="377">
        <v>0.15</v>
      </c>
      <c r="D334" s="377">
        <v>0.15</v>
      </c>
      <c r="E334" s="377">
        <v>0.15</v>
      </c>
      <c r="F334" s="378">
        <v>0.15</v>
      </c>
    </row>
    <row r="335" ht="14.25" spans="1:6">
      <c r="A335" s="290" t="s">
        <v>4484</v>
      </c>
      <c r="B335" s="295" t="s">
        <v>4503</v>
      </c>
      <c r="C335" s="377">
        <v>0.15</v>
      </c>
      <c r="D335" s="377">
        <v>0.15</v>
      </c>
      <c r="E335" s="377">
        <v>0.15</v>
      </c>
      <c r="F335" s="382"/>
    </row>
    <row r="336" ht="14.25" spans="1:6">
      <c r="A336" s="290" t="s">
        <v>4484</v>
      </c>
      <c r="B336" s="295" t="s">
        <v>4504</v>
      </c>
      <c r="C336" s="377">
        <v>0.15</v>
      </c>
      <c r="D336" s="377">
        <v>0.15</v>
      </c>
      <c r="E336" s="377">
        <v>0.15</v>
      </c>
      <c r="F336" s="378">
        <v>0.118</v>
      </c>
    </row>
    <row r="337" ht="14.25" spans="1:6">
      <c r="A337" s="308" t="s">
        <v>4484</v>
      </c>
      <c r="B337" s="301" t="s">
        <v>4505</v>
      </c>
      <c r="C337" s="380"/>
      <c r="D337" s="380"/>
      <c r="E337" s="380"/>
      <c r="F337" s="384">
        <v>0.143</v>
      </c>
    </row>
    <row r="338" ht="14.25" spans="1:6">
      <c r="A338" s="290" t="s">
        <v>4506</v>
      </c>
      <c r="B338" s="291" t="s">
        <v>4507</v>
      </c>
      <c r="C338" s="375">
        <v>0.15</v>
      </c>
      <c r="D338" s="375">
        <v>0.15</v>
      </c>
      <c r="E338" s="375">
        <v>0.15</v>
      </c>
      <c r="F338" s="392"/>
    </row>
    <row r="339" ht="14.25" spans="1:6">
      <c r="A339" s="290" t="s">
        <v>4506</v>
      </c>
      <c r="B339" s="295" t="s">
        <v>4508</v>
      </c>
      <c r="C339" s="377">
        <v>0.15</v>
      </c>
      <c r="D339" s="377">
        <v>0.15</v>
      </c>
      <c r="E339" s="377">
        <v>0.15</v>
      </c>
      <c r="F339" s="382"/>
    </row>
    <row r="340" ht="14.25" spans="1:6">
      <c r="A340" s="290" t="s">
        <v>4506</v>
      </c>
      <c r="B340" s="295" t="s">
        <v>4509</v>
      </c>
      <c r="C340" s="377">
        <v>0.15</v>
      </c>
      <c r="D340" s="377">
        <v>0.15</v>
      </c>
      <c r="E340" s="377">
        <v>0.15</v>
      </c>
      <c r="F340" s="382"/>
    </row>
    <row r="341" ht="14.25" spans="1:6">
      <c r="A341" s="290" t="s">
        <v>4506</v>
      </c>
      <c r="B341" s="295" t="s">
        <v>4510</v>
      </c>
      <c r="C341" s="377">
        <v>0.15</v>
      </c>
      <c r="D341" s="377">
        <v>0.15</v>
      </c>
      <c r="E341" s="377">
        <v>0.15</v>
      </c>
      <c r="F341" s="378">
        <v>0.15</v>
      </c>
    </row>
    <row r="342" ht="14.25" spans="1:6">
      <c r="A342" s="290" t="s">
        <v>4506</v>
      </c>
      <c r="B342" s="295" t="s">
        <v>4511</v>
      </c>
      <c r="C342" s="377">
        <v>0.15</v>
      </c>
      <c r="D342" s="377">
        <v>0.15</v>
      </c>
      <c r="E342" s="377">
        <v>0.15</v>
      </c>
      <c r="F342" s="378">
        <v>0.15</v>
      </c>
    </row>
    <row r="343" ht="14.25" spans="1:6">
      <c r="A343" s="290" t="s">
        <v>4506</v>
      </c>
      <c r="B343" s="295" t="s">
        <v>4512</v>
      </c>
      <c r="C343" s="377">
        <v>0.15</v>
      </c>
      <c r="D343" s="377">
        <v>0.15</v>
      </c>
      <c r="E343" s="377">
        <v>0.15</v>
      </c>
      <c r="F343" s="378">
        <v>0.15</v>
      </c>
    </row>
    <row r="344" ht="14.25" spans="1:6">
      <c r="A344" s="308" t="s">
        <v>4506</v>
      </c>
      <c r="B344" s="301" t="s">
        <v>4513</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4514</v>
      </c>
      <c r="B1" s="325"/>
      <c r="C1" s="326"/>
      <c r="D1" s="327"/>
      <c r="E1" s="327"/>
      <c r="F1" s="328"/>
      <c r="G1" s="329"/>
      <c r="H1" s="328"/>
      <c r="I1" s="329"/>
      <c r="J1" s="329"/>
      <c r="K1" s="329"/>
      <c r="L1" s="329"/>
      <c r="M1" s="329"/>
      <c r="N1" s="318"/>
      <c r="O1" s="318"/>
      <c r="P1" s="318"/>
      <c r="Q1" s="318"/>
      <c r="R1" s="318"/>
      <c r="S1" s="318"/>
      <c r="T1" s="318"/>
    </row>
    <row r="2" customHeight="1" spans="1:13">
      <c r="A2" s="330" t="s">
        <v>4157</v>
      </c>
      <c r="B2" s="331">
        <f>1+F4</f>
        <v>1.0129</v>
      </c>
      <c r="C2" s="332"/>
      <c r="D2" s="333"/>
      <c r="E2" s="333"/>
      <c r="F2" s="334"/>
      <c r="G2" s="335"/>
      <c r="H2" s="328"/>
      <c r="I2" s="329"/>
      <c r="J2" s="329"/>
      <c r="K2" s="329"/>
      <c r="L2" s="329"/>
      <c r="M2" s="329"/>
    </row>
    <row r="3" ht="13.5" spans="1:13">
      <c r="A3" s="247" t="s">
        <v>4515</v>
      </c>
      <c r="B3" s="248" t="s">
        <v>4516</v>
      </c>
      <c r="C3" s="336" t="s">
        <v>4517</v>
      </c>
      <c r="D3" s="337" t="s">
        <v>4518</v>
      </c>
      <c r="E3" s="337" t="s">
        <v>4519</v>
      </c>
      <c r="F3" s="338" t="s">
        <v>4520</v>
      </c>
      <c r="G3" s="339" t="s">
        <v>4521</v>
      </c>
      <c r="H3" s="337" t="s">
        <v>3868</v>
      </c>
      <c r="I3" s="369" t="s">
        <v>4522</v>
      </c>
      <c r="J3" s="369" t="s">
        <v>4523</v>
      </c>
      <c r="K3" s="369" t="s">
        <v>4524</v>
      </c>
      <c r="L3" s="369" t="s">
        <v>4525</v>
      </c>
      <c r="M3" s="369" t="s">
        <v>4526</v>
      </c>
    </row>
    <row r="4" ht="24" spans="1:13">
      <c r="A4" s="247" t="s">
        <v>4527</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4528</v>
      </c>
      <c r="B5" s="347" t="str">
        <f>估价对象房地状况!C6</f>
        <v>估价对象周边道路状况、公共交通通达情况、停车便捷程度，综合评价交通便捷度较好</v>
      </c>
      <c r="C5" s="341" t="s">
        <v>899</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4529</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4530</v>
      </c>
      <c r="B7" s="350" t="s">
        <v>4531</v>
      </c>
      <c r="C7" s="341" t="s">
        <v>4532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4533</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4534</v>
      </c>
      <c r="B9" s="351" t="s">
        <v>4535</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4536</v>
      </c>
      <c r="B10" s="250" t="str">
        <f>估价对象房地状况!C7</f>
        <v>估价对象所在区域公共配套设施齐备情况</v>
      </c>
      <c r="C10" s="341" t="s">
        <v>4537</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4538</v>
      </c>
      <c r="B11" s="353"/>
      <c r="C11" s="341" t="s">
        <v>899</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4539</v>
      </c>
      <c r="B12" s="355" t="str">
        <f>估价对象房地状况!C9</f>
        <v>区域自然环境：；人文环境；综合评价环境状况一般</v>
      </c>
      <c r="C12" s="341" t="s">
        <v>4537</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4158</v>
      </c>
      <c r="B13" s="331">
        <f>1+F15</f>
        <v>1.0149</v>
      </c>
      <c r="C13" s="358"/>
      <c r="D13" s="333"/>
      <c r="E13" s="333"/>
      <c r="F13" s="334"/>
      <c r="G13" s="335"/>
      <c r="H13" s="328"/>
      <c r="I13" s="280"/>
      <c r="J13" s="280"/>
      <c r="K13" s="280"/>
      <c r="L13" s="280"/>
      <c r="M13" s="280"/>
    </row>
    <row r="14" customHeight="1" spans="1:13">
      <c r="A14" s="247" t="s">
        <v>4515</v>
      </c>
      <c r="B14" s="248"/>
      <c r="C14" s="336" t="s">
        <v>4517</v>
      </c>
      <c r="D14" s="337" t="s">
        <v>4518</v>
      </c>
      <c r="E14" s="337" t="s">
        <v>4519</v>
      </c>
      <c r="F14" s="338" t="s">
        <v>4520</v>
      </c>
      <c r="G14" s="339" t="s">
        <v>4521</v>
      </c>
      <c r="H14" s="337" t="s">
        <v>3868</v>
      </c>
      <c r="I14" s="369" t="s">
        <v>4522</v>
      </c>
      <c r="J14" s="369" t="s">
        <v>4523</v>
      </c>
      <c r="K14" s="369" t="s">
        <v>4524</v>
      </c>
      <c r="L14" s="369" t="s">
        <v>4525</v>
      </c>
      <c r="M14" s="369" t="s">
        <v>4526</v>
      </c>
    </row>
    <row r="15" ht="24" spans="1:13">
      <c r="A15" s="247" t="s">
        <v>4540</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4528</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4529</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4530</v>
      </c>
      <c r="B18" s="350" t="s">
        <v>4531</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4533</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4534</v>
      </c>
      <c r="B20" s="351" t="s">
        <v>4535</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4536</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4538</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4539</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4515</v>
      </c>
      <c r="B25" s="248"/>
      <c r="C25" s="336" t="s">
        <v>4517</v>
      </c>
      <c r="D25" s="337" t="s">
        <v>4518</v>
      </c>
      <c r="E25" s="337" t="s">
        <v>4519</v>
      </c>
      <c r="F25" s="338" t="s">
        <v>4520</v>
      </c>
      <c r="G25" s="339" t="s">
        <v>4521</v>
      </c>
      <c r="H25" s="337" t="s">
        <v>3868</v>
      </c>
      <c r="I25" s="369" t="s">
        <v>4522</v>
      </c>
      <c r="J25" s="369" t="s">
        <v>4523</v>
      </c>
      <c r="K25" s="369" t="s">
        <v>4524</v>
      </c>
      <c r="L25" s="369" t="s">
        <v>4525</v>
      </c>
      <c r="M25" s="369" t="s">
        <v>4526</v>
      </c>
    </row>
    <row r="26" ht="24" spans="1:13">
      <c r="A26" s="247" t="s">
        <v>4541</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4528</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4529</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4542</v>
      </c>
      <c r="B29" s="248">
        <f>估价对象房地状况!C10</f>
        <v>0</v>
      </c>
      <c r="C29" s="341" t="s">
        <v>4537</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4536</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4538</v>
      </c>
      <c r="B31" s="353"/>
      <c r="C31" s="341" t="s">
        <v>4537</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4534</v>
      </c>
      <c r="B32" s="351" t="s">
        <v>4535</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4539</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4543</v>
      </c>
      <c r="B34" s="362" t="s">
        <v>4544</v>
      </c>
      <c r="C34" s="341" t="s">
        <v>899</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4159</v>
      </c>
      <c r="B35" s="331">
        <f>1+F37</f>
        <v>1.0128</v>
      </c>
      <c r="C35" s="358"/>
      <c r="D35" s="333"/>
      <c r="E35" s="333"/>
      <c r="F35" s="334"/>
      <c r="G35" s="335"/>
      <c r="H35" s="328"/>
      <c r="I35" s="280"/>
      <c r="J35" s="280"/>
      <c r="K35" s="280"/>
      <c r="L35" s="280"/>
      <c r="M35" s="280"/>
    </row>
    <row r="36" ht="13.5" spans="1:13">
      <c r="A36" s="247" t="s">
        <v>4515</v>
      </c>
      <c r="B36" s="248"/>
      <c r="C36" s="336" t="s">
        <v>4517</v>
      </c>
      <c r="D36" s="337" t="s">
        <v>4518</v>
      </c>
      <c r="E36" s="337" t="s">
        <v>4519</v>
      </c>
      <c r="F36" s="338" t="s">
        <v>4520</v>
      </c>
      <c r="G36" s="339" t="s">
        <v>4521</v>
      </c>
      <c r="H36" s="337" t="s">
        <v>3868</v>
      </c>
      <c r="I36" s="369" t="s">
        <v>4522</v>
      </c>
      <c r="J36" s="369" t="s">
        <v>4523</v>
      </c>
      <c r="K36" s="369" t="s">
        <v>4524</v>
      </c>
      <c r="L36" s="369" t="s">
        <v>4525</v>
      </c>
      <c r="M36" s="369" t="s">
        <v>4526</v>
      </c>
    </row>
    <row r="37" ht="24" spans="1:13">
      <c r="A37" s="247" t="s">
        <v>4545</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4528</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4529</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4542</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4536</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4538</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4534</v>
      </c>
      <c r="B43" s="351" t="s">
        <v>4535</v>
      </c>
      <c r="C43" s="341" t="s">
        <v>4546</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4547</v>
      </c>
      <c r="B44" s="364" t="str">
        <f>估价对象房地状况!G18</f>
        <v>该园区内是否有污染型企业，绿化情况，卫生条件，整体环境状况判断</v>
      </c>
      <c r="C44" s="341" t="s">
        <v>4537</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4548</v>
      </c>
      <c r="B1" s="281"/>
      <c r="C1" s="281"/>
      <c r="D1" s="281"/>
      <c r="E1" s="281"/>
      <c r="F1" s="281"/>
      <c r="H1" s="277"/>
      <c r="I1" s="313" t="s">
        <v>4162</v>
      </c>
      <c r="J1" s="235" t="s">
        <v>4168</v>
      </c>
      <c r="K1" s="235" t="s">
        <v>4188</v>
      </c>
      <c r="L1" s="235" t="s">
        <v>4209</v>
      </c>
      <c r="M1" s="235" t="s">
        <v>4237</v>
      </c>
      <c r="N1" s="235" t="s">
        <v>4272</v>
      </c>
      <c r="O1" s="235" t="s">
        <v>4321</v>
      </c>
      <c r="P1" s="235" t="s">
        <v>4370</v>
      </c>
      <c r="Q1" s="235" t="s">
        <v>4410</v>
      </c>
      <c r="R1" s="235" t="s">
        <v>4456</v>
      </c>
      <c r="S1" s="235" t="s">
        <v>4484</v>
      </c>
      <c r="T1" s="270" t="s">
        <v>4506</v>
      </c>
    </row>
    <row r="2" ht="14.25" spans="1:20">
      <c r="A2" s="282" t="s">
        <v>4549</v>
      </c>
      <c r="B2" s="282"/>
      <c r="C2" s="282"/>
      <c r="D2" s="282"/>
      <c r="E2" s="282"/>
      <c r="F2" s="282"/>
      <c r="I2" s="314" t="s">
        <v>4163</v>
      </c>
      <c r="J2" s="295" t="s">
        <v>4169</v>
      </c>
      <c r="K2" s="295" t="s">
        <v>4189</v>
      </c>
      <c r="L2" s="295" t="s">
        <v>4210</v>
      </c>
      <c r="M2" s="295" t="s">
        <v>4238</v>
      </c>
      <c r="N2" s="295" t="s">
        <v>4273</v>
      </c>
      <c r="O2" s="295" t="s">
        <v>4322</v>
      </c>
      <c r="P2" s="295" t="s">
        <v>4371</v>
      </c>
      <c r="Q2" s="295" t="s">
        <v>4411</v>
      </c>
      <c r="R2" s="295" t="s">
        <v>4457</v>
      </c>
      <c r="S2" s="295" t="s">
        <v>4485</v>
      </c>
      <c r="T2" s="295" t="s">
        <v>4507</v>
      </c>
    </row>
    <row r="3" s="277" customFormat="1" ht="19.5" customHeight="1" spans="1:20">
      <c r="A3" s="283" t="s">
        <v>4160</v>
      </c>
      <c r="B3" s="284"/>
      <c r="C3" s="285" t="s">
        <v>4157</v>
      </c>
      <c r="D3" s="285" t="s">
        <v>4158</v>
      </c>
      <c r="E3" s="285" t="s">
        <v>461</v>
      </c>
      <c r="F3" s="285" t="s">
        <v>4159</v>
      </c>
      <c r="G3" s="286"/>
      <c r="I3" s="314" t="s">
        <v>4164</v>
      </c>
      <c r="J3" s="295" t="s">
        <v>4170</v>
      </c>
      <c r="K3" s="295" t="s">
        <v>4190</v>
      </c>
      <c r="L3" s="295" t="s">
        <v>4211</v>
      </c>
      <c r="M3" s="295" t="s">
        <v>4239</v>
      </c>
      <c r="N3" s="295" t="s">
        <v>4274</v>
      </c>
      <c r="O3" s="295" t="s">
        <v>4323</v>
      </c>
      <c r="P3" s="295" t="s">
        <v>4372</v>
      </c>
      <c r="Q3" s="295" t="s">
        <v>4412</v>
      </c>
      <c r="R3" s="295" t="s">
        <v>4458</v>
      </c>
      <c r="S3" s="295" t="s">
        <v>4486</v>
      </c>
      <c r="T3" s="295" t="s">
        <v>4508</v>
      </c>
    </row>
    <row r="4" s="277" customFormat="1" ht="19.5" customHeight="1" spans="1:20">
      <c r="A4" s="287"/>
      <c r="B4" s="288" t="s">
        <v>4161</v>
      </c>
      <c r="C4" s="288" t="s">
        <v>4550</v>
      </c>
      <c r="D4" s="288" t="s">
        <v>4550</v>
      </c>
      <c r="E4" s="288" t="s">
        <v>4550</v>
      </c>
      <c r="F4" s="289" t="s">
        <v>4550</v>
      </c>
      <c r="G4" s="286"/>
      <c r="I4" s="314" t="s">
        <v>4165</v>
      </c>
      <c r="J4" s="295" t="s">
        <v>4171</v>
      </c>
      <c r="K4" s="295" t="s">
        <v>4191</v>
      </c>
      <c r="L4" s="295" t="s">
        <v>4212</v>
      </c>
      <c r="M4" s="295" t="s">
        <v>4240</v>
      </c>
      <c r="N4" s="295" t="s">
        <v>4275</v>
      </c>
      <c r="O4" s="295" t="s">
        <v>4324</v>
      </c>
      <c r="P4" s="295" t="s">
        <v>4373</v>
      </c>
      <c r="Q4" s="295" t="s">
        <v>4413</v>
      </c>
      <c r="R4" s="295" t="s">
        <v>4459</v>
      </c>
      <c r="S4" s="295" t="s">
        <v>4487</v>
      </c>
      <c r="T4" s="295" t="s">
        <v>4509</v>
      </c>
    </row>
    <row r="5" ht="14.25" customHeight="1" spans="1:20">
      <c r="A5" s="290" t="s">
        <v>4162</v>
      </c>
      <c r="B5" s="291" t="s">
        <v>4163</v>
      </c>
      <c r="C5" s="291">
        <v>29530</v>
      </c>
      <c r="D5" s="291">
        <v>28130</v>
      </c>
      <c r="E5" s="291">
        <v>27930</v>
      </c>
      <c r="F5" s="292">
        <v>11300</v>
      </c>
      <c r="G5" s="293" t="s">
        <v>4162</v>
      </c>
      <c r="H5" s="294">
        <f>SUMPRODUCT((B5:B9=基准地价修正!I2)*(C3:F3=基准地价修正!E2)*(C5:F9))</f>
        <v>0</v>
      </c>
      <c r="I5" s="314" t="s">
        <v>4166</v>
      </c>
      <c r="J5" s="295" t="s">
        <v>4172</v>
      </c>
      <c r="K5" s="295" t="s">
        <v>4192</v>
      </c>
      <c r="L5" s="295" t="s">
        <v>4213</v>
      </c>
      <c r="M5" s="295" t="s">
        <v>4241</v>
      </c>
      <c r="N5" s="295" t="s">
        <v>4276</v>
      </c>
      <c r="O5" s="295" t="s">
        <v>4325</v>
      </c>
      <c r="P5" s="295" t="s">
        <v>4374</v>
      </c>
      <c r="Q5" s="295" t="s">
        <v>4414</v>
      </c>
      <c r="R5" s="295" t="s">
        <v>4461</v>
      </c>
      <c r="S5" s="295" t="s">
        <v>4488</v>
      </c>
      <c r="T5" s="295" t="s">
        <v>4510</v>
      </c>
    </row>
    <row r="6" ht="14.25" customHeight="1" spans="1:20">
      <c r="A6" s="290" t="s">
        <v>4162</v>
      </c>
      <c r="B6" s="295" t="s">
        <v>4164</v>
      </c>
      <c r="C6" s="295">
        <v>30290</v>
      </c>
      <c r="D6" s="295">
        <v>29210</v>
      </c>
      <c r="E6" s="295">
        <v>28860</v>
      </c>
      <c r="F6" s="296">
        <v>12600</v>
      </c>
      <c r="G6" s="297" t="s">
        <v>4168</v>
      </c>
      <c r="H6" s="298">
        <f>SUMPRODUCT((B10:B28=基准地价修正!I2)*(C3:F3=基准地价修正!E2)*(C10:F28))</f>
        <v>0</v>
      </c>
      <c r="I6" s="314" t="s">
        <v>4167</v>
      </c>
      <c r="J6" s="295" t="s">
        <v>4173</v>
      </c>
      <c r="K6" s="295" t="s">
        <v>4193</v>
      </c>
      <c r="L6" s="295" t="s">
        <v>4214</v>
      </c>
      <c r="M6" s="295" t="s">
        <v>4242</v>
      </c>
      <c r="N6" s="295" t="s">
        <v>4277</v>
      </c>
      <c r="O6" s="295" t="s">
        <v>4326</v>
      </c>
      <c r="P6" s="295" t="s">
        <v>4375</v>
      </c>
      <c r="Q6" s="295" t="s">
        <v>4415</v>
      </c>
      <c r="R6" s="295" t="s">
        <v>4462</v>
      </c>
      <c r="S6" s="295" t="s">
        <v>4489</v>
      </c>
      <c r="T6" s="295" t="s">
        <v>4511</v>
      </c>
    </row>
    <row r="7" ht="14.25" customHeight="1" spans="1:20">
      <c r="A7" s="290" t="s">
        <v>4162</v>
      </c>
      <c r="B7" s="299" t="s">
        <v>4165</v>
      </c>
      <c r="C7" s="295">
        <v>29350</v>
      </c>
      <c r="D7" s="295">
        <v>28410</v>
      </c>
      <c r="E7" s="295">
        <v>27990</v>
      </c>
      <c r="F7" s="296">
        <v>12300</v>
      </c>
      <c r="G7" s="297" t="s">
        <v>4188</v>
      </c>
      <c r="H7" s="298">
        <f>SUMPRODUCT((B29:B48=基准地价修正!I2)*(C3:F3=基准地价修正!E2)*(C29:F48))</f>
        <v>0</v>
      </c>
      <c r="J7" s="295" t="s">
        <v>4174</v>
      </c>
      <c r="K7" s="295" t="s">
        <v>4194</v>
      </c>
      <c r="L7" s="295" t="s">
        <v>4215</v>
      </c>
      <c r="M7" s="295" t="s">
        <v>4243</v>
      </c>
      <c r="N7" s="295" t="s">
        <v>4278</v>
      </c>
      <c r="O7" s="295" t="s">
        <v>4327</v>
      </c>
      <c r="P7" s="295" t="s">
        <v>4376</v>
      </c>
      <c r="Q7" s="295" t="s">
        <v>4416</v>
      </c>
      <c r="R7" s="295" t="s">
        <v>4463</v>
      </c>
      <c r="S7" s="295" t="s">
        <v>4490</v>
      </c>
      <c r="T7" s="299" t="s">
        <v>4512</v>
      </c>
    </row>
    <row r="8" ht="14.25" customHeight="1" spans="1:20">
      <c r="A8" s="290" t="s">
        <v>4162</v>
      </c>
      <c r="B8" s="295" t="s">
        <v>4166</v>
      </c>
      <c r="C8" s="295">
        <v>30890</v>
      </c>
      <c r="D8" s="295">
        <v>29780</v>
      </c>
      <c r="E8" s="295">
        <v>29270</v>
      </c>
      <c r="F8" s="296">
        <v>11600</v>
      </c>
      <c r="G8" s="297" t="s">
        <v>4209</v>
      </c>
      <c r="H8" s="298">
        <f>SUMPRODUCT((B49:B75=基准地价修正!I2)*(C3:F3=基准地价修正!E2)*(C49:F75))</f>
        <v>0</v>
      </c>
      <c r="J8" s="295" t="s">
        <v>4175</v>
      </c>
      <c r="K8" s="295" t="s">
        <v>4195</v>
      </c>
      <c r="L8" s="295" t="s">
        <v>4216</v>
      </c>
      <c r="M8" s="295" t="s">
        <v>4244</v>
      </c>
      <c r="N8" s="295" t="s">
        <v>4279</v>
      </c>
      <c r="O8" s="295" t="s">
        <v>4328</v>
      </c>
      <c r="P8" s="295" t="s">
        <v>4377</v>
      </c>
      <c r="Q8" s="295" t="s">
        <v>4417</v>
      </c>
      <c r="R8" s="295" t="s">
        <v>4464</v>
      </c>
      <c r="S8" s="295" t="s">
        <v>4491</v>
      </c>
      <c r="T8" s="295" t="s">
        <v>4513</v>
      </c>
    </row>
    <row r="9" ht="14.25" customHeight="1" spans="1:19">
      <c r="A9" s="290" t="s">
        <v>4162</v>
      </c>
      <c r="B9" s="300" t="s">
        <v>4167</v>
      </c>
      <c r="C9" s="301">
        <v>28140</v>
      </c>
      <c r="D9" s="301"/>
      <c r="E9" s="301"/>
      <c r="F9" s="302"/>
      <c r="G9" s="297" t="s">
        <v>4237</v>
      </c>
      <c r="H9" s="298">
        <f>SUMPRODUCT((B76:B109=基准地价修正!I2)*(C3:F3=基准地价修正!E2)*(C76:F109))</f>
        <v>0</v>
      </c>
      <c r="J9" s="295" t="s">
        <v>4176</v>
      </c>
      <c r="K9" s="295" t="s">
        <v>4196</v>
      </c>
      <c r="L9" s="295" t="s">
        <v>4217</v>
      </c>
      <c r="M9" s="295" t="s">
        <v>4245</v>
      </c>
      <c r="N9" s="295" t="s">
        <v>4280</v>
      </c>
      <c r="O9" s="295" t="s">
        <v>4329</v>
      </c>
      <c r="P9" s="295" t="s">
        <v>4378</v>
      </c>
      <c r="Q9" s="295" t="s">
        <v>4418</v>
      </c>
      <c r="R9" s="295" t="s">
        <v>4465</v>
      </c>
      <c r="S9" s="295" t="s">
        <v>4492</v>
      </c>
    </row>
    <row r="10" ht="14.25" customHeight="1" spans="1:19">
      <c r="A10" s="290" t="s">
        <v>4168</v>
      </c>
      <c r="B10" s="291" t="s">
        <v>4169</v>
      </c>
      <c r="C10" s="291">
        <v>27450</v>
      </c>
      <c r="D10" s="291">
        <v>26180</v>
      </c>
      <c r="E10" s="291">
        <v>25980</v>
      </c>
      <c r="F10" s="292">
        <v>8910</v>
      </c>
      <c r="G10" s="297" t="s">
        <v>4272</v>
      </c>
      <c r="H10" s="298">
        <f>SUMPRODUCT((B110:B157=基准地价修正!I2)*(C3:F3=基准地价修正!E2)*(C110:F157))</f>
        <v>0</v>
      </c>
      <c r="J10" s="295" t="s">
        <v>4177</v>
      </c>
      <c r="K10" s="295" t="s">
        <v>4197</v>
      </c>
      <c r="L10" s="295" t="s">
        <v>4218</v>
      </c>
      <c r="M10" s="295" t="s">
        <v>4246</v>
      </c>
      <c r="N10" s="295" t="s">
        <v>4281</v>
      </c>
      <c r="O10" s="295" t="s">
        <v>4330</v>
      </c>
      <c r="P10" s="295" t="s">
        <v>4379</v>
      </c>
      <c r="Q10" s="295" t="s">
        <v>4419</v>
      </c>
      <c r="R10" s="295" t="s">
        <v>4466</v>
      </c>
      <c r="S10" s="295" t="s">
        <v>4493</v>
      </c>
    </row>
    <row r="11" ht="14.25" customHeight="1" spans="1:19">
      <c r="A11" s="290" t="s">
        <v>4168</v>
      </c>
      <c r="B11" s="299" t="s">
        <v>4170</v>
      </c>
      <c r="C11" s="295">
        <v>22950</v>
      </c>
      <c r="D11" s="295">
        <v>22630</v>
      </c>
      <c r="E11" s="295">
        <v>22030</v>
      </c>
      <c r="F11" s="303">
        <v>8330</v>
      </c>
      <c r="G11" s="297" t="s">
        <v>4321</v>
      </c>
      <c r="H11" s="298">
        <f>SUMPRODUCT((B158:B205=基准地价修正!I2)*(C3:F3=基准地价修正!E2)*(C158:F205))</f>
        <v>0</v>
      </c>
      <c r="J11" s="295" t="s">
        <v>4178</v>
      </c>
      <c r="K11" s="295" t="s">
        <v>4198</v>
      </c>
      <c r="L11" s="295" t="s">
        <v>4219</v>
      </c>
      <c r="M11" s="295" t="s">
        <v>4247</v>
      </c>
      <c r="N11" s="295" t="s">
        <v>4282</v>
      </c>
      <c r="O11" s="295" t="s">
        <v>4331</v>
      </c>
      <c r="P11" s="295" t="s">
        <v>4380</v>
      </c>
      <c r="Q11" s="295" t="s">
        <v>4420</v>
      </c>
      <c r="R11" s="295" t="s">
        <v>4467</v>
      </c>
      <c r="S11" s="295" t="s">
        <v>4494</v>
      </c>
    </row>
    <row r="12" ht="14.25" customHeight="1" spans="1:19">
      <c r="A12" s="290" t="s">
        <v>4168</v>
      </c>
      <c r="B12" s="299" t="s">
        <v>4171</v>
      </c>
      <c r="C12" s="295">
        <v>24940</v>
      </c>
      <c r="D12" s="295">
        <v>23180</v>
      </c>
      <c r="E12" s="295">
        <v>22910</v>
      </c>
      <c r="F12" s="303">
        <v>7180</v>
      </c>
      <c r="G12" s="297" t="s">
        <v>4370</v>
      </c>
      <c r="H12" s="298">
        <f>SUMPRODUCT((B206:B244=基准地价修正!I2)*(C3:F3=基准地价修正!E2)*(C206:F244))</f>
        <v>0</v>
      </c>
      <c r="J12" s="295" t="s">
        <v>4179</v>
      </c>
      <c r="K12" s="295" t="s">
        <v>4199</v>
      </c>
      <c r="L12" s="295" t="s">
        <v>4220</v>
      </c>
      <c r="M12" s="295" t="s">
        <v>4248</v>
      </c>
      <c r="N12" s="295" t="s">
        <v>4283</v>
      </c>
      <c r="O12" s="295" t="s">
        <v>4332</v>
      </c>
      <c r="P12" s="295" t="s">
        <v>4381</v>
      </c>
      <c r="Q12" s="295" t="s">
        <v>4421</v>
      </c>
      <c r="R12" s="295" t="s">
        <v>4468</v>
      </c>
      <c r="S12" s="295" t="s">
        <v>4495</v>
      </c>
    </row>
    <row r="13" ht="14.25" customHeight="1" spans="1:19">
      <c r="A13" s="290" t="s">
        <v>4168</v>
      </c>
      <c r="B13" s="299" t="s">
        <v>4172</v>
      </c>
      <c r="C13" s="295">
        <v>24140</v>
      </c>
      <c r="D13" s="295">
        <v>22270</v>
      </c>
      <c r="E13" s="295">
        <v>21950</v>
      </c>
      <c r="F13" s="303">
        <v>7600</v>
      </c>
      <c r="G13" s="297" t="s">
        <v>4410</v>
      </c>
      <c r="H13" s="298">
        <f>SUMPRODUCT((B245:B289=基准地价修正!I2)*(C3:F3=基准地价修正!E2)*(C245:F289))</f>
        <v>0</v>
      </c>
      <c r="J13" s="295" t="s">
        <v>4180</v>
      </c>
      <c r="K13" s="295" t="s">
        <v>4200</v>
      </c>
      <c r="L13" s="295" t="s">
        <v>4221</v>
      </c>
      <c r="M13" s="295" t="s">
        <v>4249</v>
      </c>
      <c r="N13" s="295" t="s">
        <v>4284</v>
      </c>
      <c r="O13" s="295" t="s">
        <v>4333</v>
      </c>
      <c r="P13" s="295" t="s">
        <v>4382</v>
      </c>
      <c r="Q13" s="295" t="s">
        <v>4422</v>
      </c>
      <c r="R13" s="295" t="s">
        <v>4469</v>
      </c>
      <c r="S13" s="295" t="s">
        <v>4496</v>
      </c>
    </row>
    <row r="14" ht="14.25" customHeight="1" spans="1:19">
      <c r="A14" s="290" t="s">
        <v>4168</v>
      </c>
      <c r="B14" s="299" t="s">
        <v>4173</v>
      </c>
      <c r="C14" s="295">
        <v>25600</v>
      </c>
      <c r="D14" s="295">
        <v>22260</v>
      </c>
      <c r="E14" s="295">
        <v>22110</v>
      </c>
      <c r="F14" s="303">
        <v>7630</v>
      </c>
      <c r="G14" s="297" t="s">
        <v>4456</v>
      </c>
      <c r="H14" s="298">
        <f>SUMPRODUCT((B290:B316=基准地价修正!I2)*(C3:F3=基准地价修正!E2)*(C290:F316))</f>
        <v>0</v>
      </c>
      <c r="J14" s="295" t="s">
        <v>4181</v>
      </c>
      <c r="K14" s="295" t="s">
        <v>4201</v>
      </c>
      <c r="L14" s="295" t="s">
        <v>4222</v>
      </c>
      <c r="M14" s="295" t="s">
        <v>4250</v>
      </c>
      <c r="N14" s="295" t="s">
        <v>4285</v>
      </c>
      <c r="O14" s="295" t="s">
        <v>4334</v>
      </c>
      <c r="P14" s="295" t="s">
        <v>4383</v>
      </c>
      <c r="Q14" s="295" t="s">
        <v>4423</v>
      </c>
      <c r="R14" s="295" t="s">
        <v>4470</v>
      </c>
      <c r="S14" s="295" t="s">
        <v>4497</v>
      </c>
    </row>
    <row r="15" ht="14.25" customHeight="1" spans="1:19">
      <c r="A15" s="290" t="s">
        <v>4168</v>
      </c>
      <c r="B15" s="299" t="s">
        <v>4174</v>
      </c>
      <c r="C15" s="295">
        <v>24760</v>
      </c>
      <c r="D15" s="295">
        <v>24440</v>
      </c>
      <c r="E15" s="295">
        <v>24130</v>
      </c>
      <c r="F15" s="303">
        <v>9480</v>
      </c>
      <c r="G15" s="297" t="s">
        <v>4484</v>
      </c>
      <c r="H15" s="298">
        <f>SUMPRODUCT((B317:B337=基准地价修正!I2)*(C3:F3=基准地价修正!E2)*(C317:F337))</f>
        <v>0</v>
      </c>
      <c r="J15" s="295" t="s">
        <v>4182</v>
      </c>
      <c r="K15" s="295" t="s">
        <v>4202</v>
      </c>
      <c r="L15" s="295" t="s">
        <v>4223</v>
      </c>
      <c r="M15" s="295" t="s">
        <v>4251</v>
      </c>
      <c r="N15" s="295" t="s">
        <v>4286</v>
      </c>
      <c r="O15" s="295" t="s">
        <v>4335</v>
      </c>
      <c r="P15" s="295" t="s">
        <v>4384</v>
      </c>
      <c r="Q15" s="295" t="s">
        <v>4424</v>
      </c>
      <c r="R15" s="295" t="s">
        <v>4471</v>
      </c>
      <c r="S15" s="295" t="s">
        <v>4498</v>
      </c>
    </row>
    <row r="16" ht="14.25" customHeight="1" spans="1:19">
      <c r="A16" s="290" t="s">
        <v>4168</v>
      </c>
      <c r="B16" s="299" t="s">
        <v>4175</v>
      </c>
      <c r="C16" s="295">
        <v>22220</v>
      </c>
      <c r="D16" s="295">
        <v>22310</v>
      </c>
      <c r="E16" s="295">
        <v>22000</v>
      </c>
      <c r="F16" s="303">
        <v>8900</v>
      </c>
      <c r="G16" s="304" t="s">
        <v>4506</v>
      </c>
      <c r="H16" s="305">
        <f>SUMPRODUCT((B338:B344=基准地价修正!I2)*(C3:F3=基准地价修正!E2)*(C338:F344))</f>
        <v>0</v>
      </c>
      <c r="J16" s="295" t="s">
        <v>4183</v>
      </c>
      <c r="K16" s="295" t="s">
        <v>4203</v>
      </c>
      <c r="L16" s="295" t="s">
        <v>4224</v>
      </c>
      <c r="M16" s="295" t="s">
        <v>4252</v>
      </c>
      <c r="N16" s="295" t="s">
        <v>4287</v>
      </c>
      <c r="O16" s="295" t="s">
        <v>4336</v>
      </c>
      <c r="P16" s="295" t="s">
        <v>4385</v>
      </c>
      <c r="Q16" s="295" t="s">
        <v>4425</v>
      </c>
      <c r="R16" s="295" t="s">
        <v>4472</v>
      </c>
      <c r="S16" s="295" t="s">
        <v>4499</v>
      </c>
    </row>
    <row r="17" ht="14.25" customHeight="1" spans="1:19">
      <c r="A17" s="290" t="s">
        <v>4168</v>
      </c>
      <c r="B17" s="299" t="s">
        <v>4176</v>
      </c>
      <c r="C17" s="295">
        <v>24700</v>
      </c>
      <c r="D17" s="295">
        <v>25150</v>
      </c>
      <c r="E17" s="295">
        <v>24700</v>
      </c>
      <c r="F17" s="306"/>
      <c r="H17" s="307"/>
      <c r="J17" s="295" t="s">
        <v>4184</v>
      </c>
      <c r="K17" s="295" t="s">
        <v>4204</v>
      </c>
      <c r="L17" s="295" t="s">
        <v>4225</v>
      </c>
      <c r="M17" s="295" t="s">
        <v>4253</v>
      </c>
      <c r="N17" s="295" t="s">
        <v>4288</v>
      </c>
      <c r="O17" s="295" t="s">
        <v>4337</v>
      </c>
      <c r="P17" s="295" t="s">
        <v>4386</v>
      </c>
      <c r="Q17" s="295" t="s">
        <v>4426</v>
      </c>
      <c r="R17" s="295" t="s">
        <v>4473</v>
      </c>
      <c r="S17" s="295" t="s">
        <v>4500</v>
      </c>
    </row>
    <row r="18" ht="14.25" customHeight="1" spans="1:19">
      <c r="A18" s="290" t="s">
        <v>4168</v>
      </c>
      <c r="B18" s="299" t="s">
        <v>4177</v>
      </c>
      <c r="C18" s="295">
        <v>22350</v>
      </c>
      <c r="D18" s="295">
        <v>24340</v>
      </c>
      <c r="E18" s="295">
        <v>24100</v>
      </c>
      <c r="F18" s="306"/>
      <c r="H18" s="307"/>
      <c r="J18" s="295" t="s">
        <v>4185</v>
      </c>
      <c r="K18" s="295" t="s">
        <v>4205</v>
      </c>
      <c r="L18" s="295" t="s">
        <v>4226</v>
      </c>
      <c r="M18" s="295" t="s">
        <v>4254</v>
      </c>
      <c r="N18" s="295" t="s">
        <v>4289</v>
      </c>
      <c r="O18" s="295" t="s">
        <v>4338</v>
      </c>
      <c r="P18" s="295" t="s">
        <v>4387</v>
      </c>
      <c r="Q18" s="295" t="s">
        <v>4427</v>
      </c>
      <c r="R18" s="295" t="s">
        <v>4474</v>
      </c>
      <c r="S18" s="295" t="s">
        <v>4501</v>
      </c>
    </row>
    <row r="19" ht="14.25" customHeight="1" spans="1:19">
      <c r="A19" s="290" t="s">
        <v>4168</v>
      </c>
      <c r="B19" s="299" t="s">
        <v>4178</v>
      </c>
      <c r="C19" s="295">
        <v>23430</v>
      </c>
      <c r="D19" s="295">
        <v>21580</v>
      </c>
      <c r="E19" s="295">
        <v>21350</v>
      </c>
      <c r="F19" s="306"/>
      <c r="H19" s="307"/>
      <c r="J19" s="295" t="s">
        <v>4186</v>
      </c>
      <c r="K19" s="295" t="s">
        <v>4206</v>
      </c>
      <c r="L19" s="295" t="s">
        <v>4227</v>
      </c>
      <c r="M19" s="295" t="s">
        <v>4255</v>
      </c>
      <c r="N19" s="295" t="s">
        <v>4290</v>
      </c>
      <c r="O19" s="295" t="s">
        <v>4339</v>
      </c>
      <c r="P19" s="295" t="s">
        <v>4388</v>
      </c>
      <c r="Q19" s="295" t="s">
        <v>4428</v>
      </c>
      <c r="R19" s="295" t="s">
        <v>4475</v>
      </c>
      <c r="S19" s="295" t="s">
        <v>4502</v>
      </c>
    </row>
    <row r="20" ht="14.25" customHeight="1" spans="1:19">
      <c r="A20" s="290" t="s">
        <v>4168</v>
      </c>
      <c r="B20" s="299" t="s">
        <v>4179</v>
      </c>
      <c r="C20" s="295">
        <v>27660</v>
      </c>
      <c r="D20" s="295">
        <v>24240</v>
      </c>
      <c r="E20" s="295">
        <v>24020</v>
      </c>
      <c r="F20" s="306"/>
      <c r="J20" s="295" t="s">
        <v>4187</v>
      </c>
      <c r="K20" s="295" t="s">
        <v>4207</v>
      </c>
      <c r="L20" s="295" t="s">
        <v>4228</v>
      </c>
      <c r="M20" s="295" t="s">
        <v>4256</v>
      </c>
      <c r="N20" s="295" t="s">
        <v>4291</v>
      </c>
      <c r="O20" s="295" t="s">
        <v>4340</v>
      </c>
      <c r="P20" s="295" t="s">
        <v>4389</v>
      </c>
      <c r="Q20" s="295" t="s">
        <v>4429</v>
      </c>
      <c r="R20" s="295" t="s">
        <v>4476</v>
      </c>
      <c r="S20" s="295" t="s">
        <v>4503</v>
      </c>
    </row>
    <row r="21" ht="14.25" customHeight="1" spans="1:19">
      <c r="A21" s="290" t="s">
        <v>4168</v>
      </c>
      <c r="B21" s="299" t="s">
        <v>4180</v>
      </c>
      <c r="C21" s="295">
        <v>24720</v>
      </c>
      <c r="D21" s="295">
        <v>21670</v>
      </c>
      <c r="E21" s="295">
        <v>21510</v>
      </c>
      <c r="F21" s="306"/>
      <c r="K21" s="295" t="s">
        <v>4208</v>
      </c>
      <c r="L21" s="295" t="s">
        <v>4229</v>
      </c>
      <c r="M21" s="295" t="s">
        <v>4257</v>
      </c>
      <c r="N21" s="295" t="s">
        <v>4292</v>
      </c>
      <c r="O21" s="295" t="s">
        <v>4341</v>
      </c>
      <c r="P21" s="295" t="s">
        <v>4390</v>
      </c>
      <c r="Q21" s="295" t="s">
        <v>4430</v>
      </c>
      <c r="R21" s="295" t="s">
        <v>4477</v>
      </c>
      <c r="S21" s="295" t="s">
        <v>4504</v>
      </c>
    </row>
    <row r="22" ht="14.25" customHeight="1" spans="1:19">
      <c r="A22" s="290" t="s">
        <v>4168</v>
      </c>
      <c r="B22" s="299" t="s">
        <v>4181</v>
      </c>
      <c r="C22" s="295">
        <v>26530</v>
      </c>
      <c r="D22" s="295">
        <v>22980</v>
      </c>
      <c r="E22" s="295">
        <v>22650</v>
      </c>
      <c r="F22" s="306"/>
      <c r="L22" s="295" t="s">
        <v>4230</v>
      </c>
      <c r="M22" s="295" t="s">
        <v>4258</v>
      </c>
      <c r="N22" s="295" t="s">
        <v>4293</v>
      </c>
      <c r="O22" s="295" t="s">
        <v>4342</v>
      </c>
      <c r="P22" s="295" t="s">
        <v>4391</v>
      </c>
      <c r="Q22" s="295" t="s">
        <v>4431</v>
      </c>
      <c r="R22" s="295" t="s">
        <v>4478</v>
      </c>
      <c r="S22" s="299" t="s">
        <v>4505</v>
      </c>
    </row>
    <row r="23" ht="14.25" customHeight="1" spans="1:18">
      <c r="A23" s="290" t="s">
        <v>4168</v>
      </c>
      <c r="B23" s="299" t="s">
        <v>4182</v>
      </c>
      <c r="C23" s="295">
        <v>24700</v>
      </c>
      <c r="D23" s="295">
        <v>27290</v>
      </c>
      <c r="E23" s="295">
        <v>26710</v>
      </c>
      <c r="F23" s="306"/>
      <c r="L23" s="295" t="s">
        <v>4231</v>
      </c>
      <c r="M23" s="295" t="s">
        <v>4259</v>
      </c>
      <c r="N23" s="295" t="s">
        <v>4294</v>
      </c>
      <c r="O23" s="295" t="s">
        <v>4343</v>
      </c>
      <c r="P23" s="295" t="s">
        <v>4392</v>
      </c>
      <c r="Q23" s="295" t="s">
        <v>4432</v>
      </c>
      <c r="R23" s="295" t="s">
        <v>4479</v>
      </c>
    </row>
    <row r="24" ht="14.25" customHeight="1" spans="1:18">
      <c r="A24" s="290" t="s">
        <v>4168</v>
      </c>
      <c r="B24" s="299" t="s">
        <v>4183</v>
      </c>
      <c r="C24" s="295">
        <v>23070</v>
      </c>
      <c r="D24" s="295">
        <v>24130</v>
      </c>
      <c r="E24" s="295">
        <v>23860</v>
      </c>
      <c r="F24" s="306"/>
      <c r="L24" s="295" t="s">
        <v>4232</v>
      </c>
      <c r="M24" s="295" t="s">
        <v>4260</v>
      </c>
      <c r="N24" s="295" t="s">
        <v>4295</v>
      </c>
      <c r="O24" s="295" t="s">
        <v>4344</v>
      </c>
      <c r="P24" s="295" t="s">
        <v>4393</v>
      </c>
      <c r="Q24" s="295" t="s">
        <v>4433</v>
      </c>
      <c r="R24" s="295" t="s">
        <v>4480</v>
      </c>
    </row>
    <row r="25" ht="14.25" customHeight="1" spans="1:18">
      <c r="A25" s="290" t="s">
        <v>4168</v>
      </c>
      <c r="B25" s="299" t="s">
        <v>4184</v>
      </c>
      <c r="C25" s="295">
        <v>27550</v>
      </c>
      <c r="D25" s="295">
        <v>25850</v>
      </c>
      <c r="E25" s="295">
        <v>25340</v>
      </c>
      <c r="F25" s="306"/>
      <c r="L25" s="295" t="s">
        <v>4233</v>
      </c>
      <c r="M25" s="295" t="s">
        <v>4261</v>
      </c>
      <c r="N25" s="295" t="s">
        <v>4296</v>
      </c>
      <c r="O25" s="295" t="s">
        <v>4345</v>
      </c>
      <c r="P25" s="295" t="s">
        <v>4394</v>
      </c>
      <c r="Q25" s="295" t="s">
        <v>4434</v>
      </c>
      <c r="R25" s="295" t="s">
        <v>4481</v>
      </c>
    </row>
    <row r="26" ht="14.25" customHeight="1" spans="1:18">
      <c r="A26" s="290" t="s">
        <v>4168</v>
      </c>
      <c r="B26" s="299" t="s">
        <v>4185</v>
      </c>
      <c r="C26" s="295"/>
      <c r="D26" s="295">
        <v>23900</v>
      </c>
      <c r="E26" s="295">
        <v>23590</v>
      </c>
      <c r="F26" s="306"/>
      <c r="L26" s="295" t="s">
        <v>4234</v>
      </c>
      <c r="M26" s="295" t="s">
        <v>4262</v>
      </c>
      <c r="N26" s="295" t="s">
        <v>4297</v>
      </c>
      <c r="O26" s="295" t="s">
        <v>4346</v>
      </c>
      <c r="P26" s="295" t="s">
        <v>4395</v>
      </c>
      <c r="Q26" s="295" t="s">
        <v>4435</v>
      </c>
      <c r="R26" s="295" t="s">
        <v>4482</v>
      </c>
    </row>
    <row r="27" ht="14.25" customHeight="1" spans="1:18">
      <c r="A27" s="290" t="s">
        <v>4168</v>
      </c>
      <c r="B27" s="299" t="s">
        <v>4186</v>
      </c>
      <c r="C27" s="295"/>
      <c r="D27" s="295">
        <v>22850</v>
      </c>
      <c r="E27" s="295">
        <v>21920</v>
      </c>
      <c r="F27" s="306"/>
      <c r="L27" s="295" t="s">
        <v>4235</v>
      </c>
      <c r="M27" s="295" t="s">
        <v>4263</v>
      </c>
      <c r="N27" s="295" t="s">
        <v>4298</v>
      </c>
      <c r="O27" s="295" t="s">
        <v>4347</v>
      </c>
      <c r="P27" s="295" t="s">
        <v>4396</v>
      </c>
      <c r="Q27" s="295" t="s">
        <v>4436</v>
      </c>
      <c r="R27" s="295" t="s">
        <v>4483</v>
      </c>
    </row>
    <row r="28" ht="14.25" customHeight="1" spans="1:17">
      <c r="A28" s="308" t="s">
        <v>4168</v>
      </c>
      <c r="B28" s="300" t="s">
        <v>4187</v>
      </c>
      <c r="C28" s="301"/>
      <c r="D28" s="301">
        <v>26610</v>
      </c>
      <c r="E28" s="301">
        <v>26370</v>
      </c>
      <c r="F28" s="302"/>
      <c r="L28" s="295" t="s">
        <v>4236</v>
      </c>
      <c r="M28" s="295" t="s">
        <v>4264</v>
      </c>
      <c r="N28" s="295" t="s">
        <v>4299</v>
      </c>
      <c r="O28" s="295" t="s">
        <v>4348</v>
      </c>
      <c r="P28" s="295" t="s">
        <v>4397</v>
      </c>
      <c r="Q28" s="295" t="s">
        <v>4437</v>
      </c>
    </row>
    <row r="29" ht="14.25" customHeight="1" spans="1:17">
      <c r="A29" s="290" t="s">
        <v>4188</v>
      </c>
      <c r="B29" s="291" t="s">
        <v>4189</v>
      </c>
      <c r="C29" s="291">
        <v>22090</v>
      </c>
      <c r="D29" s="291">
        <v>21860</v>
      </c>
      <c r="E29" s="291">
        <v>19380</v>
      </c>
      <c r="F29" s="292">
        <v>6610</v>
      </c>
      <c r="M29" s="295" t="s">
        <v>4265</v>
      </c>
      <c r="N29" s="295" t="s">
        <v>4300</v>
      </c>
      <c r="O29" s="295" t="s">
        <v>4349</v>
      </c>
      <c r="P29" s="295" t="s">
        <v>4398</v>
      </c>
      <c r="Q29" s="295" t="s">
        <v>4438</v>
      </c>
    </row>
    <row r="30" ht="14.25" customHeight="1" spans="1:17">
      <c r="A30" s="290" t="s">
        <v>4188</v>
      </c>
      <c r="B30" s="299" t="s">
        <v>4190</v>
      </c>
      <c r="C30" s="295">
        <v>21380</v>
      </c>
      <c r="D30" s="295">
        <v>19930</v>
      </c>
      <c r="E30" s="295">
        <v>19860</v>
      </c>
      <c r="F30" s="303">
        <v>6010</v>
      </c>
      <c r="H30" s="307"/>
      <c r="M30" s="295" t="s">
        <v>4266</v>
      </c>
      <c r="N30" s="295" t="s">
        <v>4301</v>
      </c>
      <c r="O30" s="295" t="s">
        <v>4350</v>
      </c>
      <c r="P30" s="295" t="s">
        <v>4551</v>
      </c>
      <c r="Q30" s="295" t="s">
        <v>4439</v>
      </c>
    </row>
    <row r="31" ht="14.25" customHeight="1" spans="1:17">
      <c r="A31" s="290" t="s">
        <v>4188</v>
      </c>
      <c r="B31" s="299" t="s">
        <v>4191</v>
      </c>
      <c r="C31" s="295">
        <v>21670</v>
      </c>
      <c r="D31" s="295">
        <v>20660</v>
      </c>
      <c r="E31" s="295">
        <v>20290</v>
      </c>
      <c r="F31" s="303">
        <v>5840</v>
      </c>
      <c r="H31" s="307"/>
      <c r="M31" s="295" t="s">
        <v>4267</v>
      </c>
      <c r="N31" s="295" t="s">
        <v>4302</v>
      </c>
      <c r="O31" s="295" t="s">
        <v>4351</v>
      </c>
      <c r="P31" s="295" t="s">
        <v>4400</v>
      </c>
      <c r="Q31" s="295" t="s">
        <v>4440</v>
      </c>
    </row>
    <row r="32" ht="14.25" customHeight="1" spans="1:17">
      <c r="A32" s="290" t="s">
        <v>4188</v>
      </c>
      <c r="B32" s="299" t="s">
        <v>4192</v>
      </c>
      <c r="C32" s="295">
        <v>22280</v>
      </c>
      <c r="D32" s="295">
        <v>21800</v>
      </c>
      <c r="E32" s="295">
        <v>17650</v>
      </c>
      <c r="F32" s="303">
        <v>4690</v>
      </c>
      <c r="H32" s="307"/>
      <c r="M32" s="295" t="s">
        <v>4268</v>
      </c>
      <c r="N32" s="295" t="s">
        <v>4303</v>
      </c>
      <c r="O32" s="295" t="s">
        <v>4352</v>
      </c>
      <c r="P32" s="295" t="s">
        <v>4401</v>
      </c>
      <c r="Q32" s="295" t="s">
        <v>4441</v>
      </c>
    </row>
    <row r="33" ht="14.25" customHeight="1" spans="1:17">
      <c r="A33" s="290" t="s">
        <v>4188</v>
      </c>
      <c r="B33" s="299" t="s">
        <v>4193</v>
      </c>
      <c r="C33" s="295">
        <v>22130</v>
      </c>
      <c r="D33" s="295">
        <v>20460</v>
      </c>
      <c r="E33" s="295">
        <v>18500</v>
      </c>
      <c r="F33" s="303">
        <v>5340</v>
      </c>
      <c r="H33" s="307"/>
      <c r="M33" s="295" t="s">
        <v>4269</v>
      </c>
      <c r="N33" s="295" t="s">
        <v>4304</v>
      </c>
      <c r="O33" s="295" t="s">
        <v>4353</v>
      </c>
      <c r="P33" s="295" t="s">
        <v>4402</v>
      </c>
      <c r="Q33" s="295" t="s">
        <v>4442</v>
      </c>
    </row>
    <row r="34" ht="14.25" customHeight="1" spans="1:17">
      <c r="A34" s="290" t="s">
        <v>4188</v>
      </c>
      <c r="B34" s="299" t="s">
        <v>4194</v>
      </c>
      <c r="C34" s="295">
        <v>22070</v>
      </c>
      <c r="D34" s="295">
        <v>20110</v>
      </c>
      <c r="E34" s="295">
        <v>18830</v>
      </c>
      <c r="F34" s="303">
        <v>5190</v>
      </c>
      <c r="H34" s="307"/>
      <c r="M34" s="295" t="s">
        <v>4270</v>
      </c>
      <c r="N34" s="295" t="s">
        <v>4305</v>
      </c>
      <c r="O34" s="295" t="s">
        <v>4354</v>
      </c>
      <c r="P34" s="295" t="s">
        <v>4403</v>
      </c>
      <c r="Q34" s="295" t="s">
        <v>4443</v>
      </c>
    </row>
    <row r="35" ht="14.25" customHeight="1" spans="1:17">
      <c r="A35" s="290" t="s">
        <v>4188</v>
      </c>
      <c r="B35" s="299" t="s">
        <v>4195</v>
      </c>
      <c r="C35" s="295">
        <v>22240</v>
      </c>
      <c r="D35" s="295">
        <v>19550</v>
      </c>
      <c r="E35" s="295">
        <v>19220</v>
      </c>
      <c r="F35" s="303">
        <v>5800</v>
      </c>
      <c r="H35" s="307"/>
      <c r="M35" s="295" t="s">
        <v>4271</v>
      </c>
      <c r="N35" s="295" t="s">
        <v>4306</v>
      </c>
      <c r="O35" s="295" t="s">
        <v>4355</v>
      </c>
      <c r="P35" s="295" t="s">
        <v>4404</v>
      </c>
      <c r="Q35" s="295" t="s">
        <v>4444</v>
      </c>
    </row>
    <row r="36" ht="14.25" customHeight="1" spans="1:17">
      <c r="A36" s="290" t="s">
        <v>4188</v>
      </c>
      <c r="B36" s="299" t="s">
        <v>4196</v>
      </c>
      <c r="C36" s="295">
        <v>19750</v>
      </c>
      <c r="D36" s="295">
        <v>19790</v>
      </c>
      <c r="E36" s="295">
        <v>18510</v>
      </c>
      <c r="F36" s="303">
        <v>6520</v>
      </c>
      <c r="H36" s="307"/>
      <c r="N36" s="295" t="s">
        <v>4307</v>
      </c>
      <c r="O36" s="295" t="s">
        <v>4356</v>
      </c>
      <c r="P36" s="295" t="s">
        <v>4405</v>
      </c>
      <c r="Q36" s="295" t="s">
        <v>4445</v>
      </c>
    </row>
    <row r="37" ht="14.25" customHeight="1" spans="1:17">
      <c r="A37" s="290" t="s">
        <v>4188</v>
      </c>
      <c r="B37" s="299" t="s">
        <v>4197</v>
      </c>
      <c r="C37" s="295">
        <v>22380</v>
      </c>
      <c r="D37" s="295">
        <v>18530</v>
      </c>
      <c r="E37" s="295">
        <v>17930</v>
      </c>
      <c r="F37" s="303">
        <v>6270</v>
      </c>
      <c r="H37" s="309"/>
      <c r="N37" s="295" t="s">
        <v>4308</v>
      </c>
      <c r="O37" s="295" t="s">
        <v>4357</v>
      </c>
      <c r="P37" s="295" t="s">
        <v>4406</v>
      </c>
      <c r="Q37" s="295" t="s">
        <v>4446</v>
      </c>
    </row>
    <row r="38" ht="14.25" customHeight="1" spans="1:17">
      <c r="A38" s="290" t="s">
        <v>4188</v>
      </c>
      <c r="B38" s="299" t="s">
        <v>4198</v>
      </c>
      <c r="C38" s="295">
        <v>20200</v>
      </c>
      <c r="D38" s="295">
        <v>20070</v>
      </c>
      <c r="E38" s="295">
        <v>19950</v>
      </c>
      <c r="F38" s="303"/>
      <c r="H38" s="310"/>
      <c r="N38" s="295" t="s">
        <v>4309</v>
      </c>
      <c r="O38" s="295" t="s">
        <v>4358</v>
      </c>
      <c r="P38" s="295" t="s">
        <v>4407</v>
      </c>
      <c r="Q38" s="295" t="s">
        <v>4447</v>
      </c>
    </row>
    <row r="39" ht="14.25" customHeight="1" spans="1:17">
      <c r="A39" s="290" t="s">
        <v>4188</v>
      </c>
      <c r="B39" s="299" t="s">
        <v>4199</v>
      </c>
      <c r="C39" s="295">
        <v>19300</v>
      </c>
      <c r="D39" s="295">
        <v>20360</v>
      </c>
      <c r="E39" s="295">
        <v>20230</v>
      </c>
      <c r="F39" s="303"/>
      <c r="H39" s="310"/>
      <c r="N39" s="295" t="s">
        <v>4310</v>
      </c>
      <c r="O39" s="295" t="s">
        <v>4359</v>
      </c>
      <c r="P39" s="295" t="s">
        <v>4408</v>
      </c>
      <c r="Q39" s="295" t="s">
        <v>4448</v>
      </c>
    </row>
    <row r="40" ht="14.25" customHeight="1" spans="1:17">
      <c r="A40" s="290" t="s">
        <v>4188</v>
      </c>
      <c r="B40" s="299" t="s">
        <v>4200</v>
      </c>
      <c r="C40" s="295">
        <v>20210</v>
      </c>
      <c r="D40" s="295">
        <v>19060</v>
      </c>
      <c r="E40" s="295">
        <v>18890</v>
      </c>
      <c r="F40" s="303"/>
      <c r="H40" s="310"/>
      <c r="N40" s="295" t="s">
        <v>4311</v>
      </c>
      <c r="O40" s="295" t="s">
        <v>4360</v>
      </c>
      <c r="P40" s="295" t="s">
        <v>4409</v>
      </c>
      <c r="Q40" s="295" t="s">
        <v>4449</v>
      </c>
    </row>
    <row r="41" ht="14.25" customHeight="1" spans="1:17">
      <c r="A41" s="290" t="s">
        <v>4188</v>
      </c>
      <c r="B41" s="299" t="s">
        <v>4201</v>
      </c>
      <c r="C41" s="295">
        <v>20560</v>
      </c>
      <c r="D41" s="295">
        <v>21040</v>
      </c>
      <c r="E41" s="295">
        <v>20740</v>
      </c>
      <c r="F41" s="303"/>
      <c r="H41" s="310"/>
      <c r="N41" s="299" t="s">
        <v>4312</v>
      </c>
      <c r="O41" s="299" t="s">
        <v>4361</v>
      </c>
      <c r="Q41" s="299" t="s">
        <v>4450</v>
      </c>
    </row>
    <row r="42" ht="14.25" customHeight="1" spans="1:17">
      <c r="A42" s="290" t="s">
        <v>4188</v>
      </c>
      <c r="B42" s="299" t="s">
        <v>4202</v>
      </c>
      <c r="C42" s="295">
        <v>19280</v>
      </c>
      <c r="D42" s="295">
        <v>22940</v>
      </c>
      <c r="E42" s="295">
        <v>22500</v>
      </c>
      <c r="F42" s="303"/>
      <c r="H42" s="310"/>
      <c r="N42" s="295" t="s">
        <v>4313</v>
      </c>
      <c r="O42" s="295" t="s">
        <v>4362</v>
      </c>
      <c r="Q42" s="295" t="s">
        <v>4451</v>
      </c>
    </row>
    <row r="43" ht="14.25" customHeight="1" spans="1:17">
      <c r="A43" s="290" t="s">
        <v>4188</v>
      </c>
      <c r="B43" s="299" t="s">
        <v>4203</v>
      </c>
      <c r="C43" s="295">
        <v>21520</v>
      </c>
      <c r="D43" s="295">
        <v>19230</v>
      </c>
      <c r="E43" s="295">
        <v>18540</v>
      </c>
      <c r="F43" s="303"/>
      <c r="H43" s="310"/>
      <c r="N43" s="295" t="s">
        <v>4314</v>
      </c>
      <c r="O43" s="295" t="s">
        <v>4363</v>
      </c>
      <c r="Q43" s="295" t="s">
        <v>4452</v>
      </c>
    </row>
    <row r="44" ht="14.25" customHeight="1" spans="1:17">
      <c r="A44" s="290" t="s">
        <v>4188</v>
      </c>
      <c r="B44" s="299" t="s">
        <v>4204</v>
      </c>
      <c r="C44" s="295">
        <v>23260</v>
      </c>
      <c r="D44" s="295">
        <v>21180</v>
      </c>
      <c r="E44" s="295">
        <v>20730</v>
      </c>
      <c r="F44" s="303"/>
      <c r="H44" s="310"/>
      <c r="N44" s="295" t="s">
        <v>4315</v>
      </c>
      <c r="O44" s="295" t="s">
        <v>4364</v>
      </c>
      <c r="Q44" s="295" t="s">
        <v>4453</v>
      </c>
    </row>
    <row r="45" ht="14.25" customHeight="1" spans="1:17">
      <c r="A45" s="290" t="s">
        <v>4188</v>
      </c>
      <c r="B45" s="299" t="s">
        <v>4205</v>
      </c>
      <c r="C45" s="295">
        <v>19610</v>
      </c>
      <c r="D45" s="295">
        <v>18090</v>
      </c>
      <c r="E45" s="295">
        <v>17970</v>
      </c>
      <c r="F45" s="303"/>
      <c r="H45" s="307"/>
      <c r="N45" s="295" t="s">
        <v>4316</v>
      </c>
      <c r="O45" s="295" t="s">
        <v>4365</v>
      </c>
      <c r="Q45" s="295" t="s">
        <v>4454</v>
      </c>
    </row>
    <row r="46" ht="14.25" customHeight="1" spans="1:17">
      <c r="A46" s="290" t="s">
        <v>4188</v>
      </c>
      <c r="B46" s="299" t="s">
        <v>4206</v>
      </c>
      <c r="C46" s="295">
        <v>21660</v>
      </c>
      <c r="D46" s="295">
        <v>19190</v>
      </c>
      <c r="E46" s="295">
        <v>19790</v>
      </c>
      <c r="F46" s="303"/>
      <c r="H46" s="310"/>
      <c r="N46" s="295" t="s">
        <v>4317</v>
      </c>
      <c r="O46" s="295" t="s">
        <v>4366</v>
      </c>
      <c r="Q46" s="295" t="s">
        <v>4455</v>
      </c>
    </row>
    <row r="47" ht="14.25" customHeight="1" spans="1:15">
      <c r="A47" s="290" t="s">
        <v>4188</v>
      </c>
      <c r="B47" s="299" t="s">
        <v>4207</v>
      </c>
      <c r="C47" s="295">
        <v>18220</v>
      </c>
      <c r="D47" s="295"/>
      <c r="E47" s="295">
        <v>17220</v>
      </c>
      <c r="F47" s="303"/>
      <c r="H47" s="310"/>
      <c r="N47" s="295" t="s">
        <v>4318</v>
      </c>
      <c r="O47" s="295" t="s">
        <v>4367</v>
      </c>
    </row>
    <row r="48" ht="14.25" customHeight="1" spans="1:15">
      <c r="A48" s="290" t="s">
        <v>4188</v>
      </c>
      <c r="B48" s="300" t="s">
        <v>4208</v>
      </c>
      <c r="C48" s="301">
        <v>19430</v>
      </c>
      <c r="D48" s="301"/>
      <c r="E48" s="301">
        <v>17830</v>
      </c>
      <c r="F48" s="311"/>
      <c r="H48" s="307"/>
      <c r="N48" s="295" t="s">
        <v>4319</v>
      </c>
      <c r="O48" s="295" t="s">
        <v>4368</v>
      </c>
    </row>
    <row r="49" ht="14.25" customHeight="1" spans="1:15">
      <c r="A49" s="290" t="s">
        <v>4209</v>
      </c>
      <c r="B49" s="291" t="s">
        <v>4210</v>
      </c>
      <c r="C49" s="291">
        <v>17090</v>
      </c>
      <c r="D49" s="291">
        <v>16950</v>
      </c>
      <c r="E49" s="291">
        <v>16310</v>
      </c>
      <c r="F49" s="292">
        <v>4540</v>
      </c>
      <c r="H49" s="310"/>
      <c r="N49" s="295" t="s">
        <v>4320</v>
      </c>
      <c r="O49" s="295" t="s">
        <v>4369</v>
      </c>
    </row>
    <row r="50" ht="14.25" customHeight="1" spans="1:8">
      <c r="A50" s="290" t="s">
        <v>4209</v>
      </c>
      <c r="B50" s="295" t="s">
        <v>4211</v>
      </c>
      <c r="C50" s="295">
        <v>19040</v>
      </c>
      <c r="D50" s="295">
        <v>16960</v>
      </c>
      <c r="E50" s="295">
        <v>14800</v>
      </c>
      <c r="F50" s="303">
        <v>3940</v>
      </c>
      <c r="H50" s="310"/>
    </row>
    <row r="51" ht="14.25" customHeight="1" spans="1:8">
      <c r="A51" s="290" t="s">
        <v>4209</v>
      </c>
      <c r="B51" s="295" t="s">
        <v>4212</v>
      </c>
      <c r="C51" s="295">
        <v>17040</v>
      </c>
      <c r="D51" s="295">
        <v>16930</v>
      </c>
      <c r="E51" s="295">
        <v>15030</v>
      </c>
      <c r="F51" s="303">
        <v>4120</v>
      </c>
      <c r="H51" s="310"/>
    </row>
    <row r="52" ht="14.25" customHeight="1" spans="1:8">
      <c r="A52" s="290" t="s">
        <v>4209</v>
      </c>
      <c r="B52" s="295" t="s">
        <v>4213</v>
      </c>
      <c r="C52" s="295">
        <v>17110</v>
      </c>
      <c r="D52" s="295">
        <v>17750</v>
      </c>
      <c r="E52" s="295">
        <v>17310</v>
      </c>
      <c r="F52" s="303">
        <v>3220</v>
      </c>
      <c r="H52" s="310"/>
    </row>
    <row r="53" ht="14.25" customHeight="1" spans="1:8">
      <c r="A53" s="290" t="s">
        <v>4209</v>
      </c>
      <c r="B53" s="295" t="s">
        <v>4214</v>
      </c>
      <c r="C53" s="295">
        <v>17810</v>
      </c>
      <c r="D53" s="295">
        <v>17260</v>
      </c>
      <c r="E53" s="295">
        <v>17090</v>
      </c>
      <c r="F53" s="303">
        <v>3520</v>
      </c>
      <c r="H53" s="310"/>
    </row>
    <row r="54" ht="14.25" customHeight="1" spans="1:8">
      <c r="A54" s="290" t="s">
        <v>4209</v>
      </c>
      <c r="B54" s="295" t="s">
        <v>4215</v>
      </c>
      <c r="C54" s="295">
        <v>17410</v>
      </c>
      <c r="D54" s="295">
        <v>16780</v>
      </c>
      <c r="E54" s="295">
        <v>16370</v>
      </c>
      <c r="F54" s="303">
        <v>3410</v>
      </c>
      <c r="H54" s="310"/>
    </row>
    <row r="55" ht="14.25" customHeight="1" spans="1:8">
      <c r="A55" s="290" t="s">
        <v>4209</v>
      </c>
      <c r="B55" s="295" t="s">
        <v>4216</v>
      </c>
      <c r="C55" s="295">
        <v>16930</v>
      </c>
      <c r="D55" s="295">
        <v>14720</v>
      </c>
      <c r="E55" s="295">
        <v>15000</v>
      </c>
      <c r="F55" s="303">
        <v>3710</v>
      </c>
      <c r="H55" s="310"/>
    </row>
    <row r="56" ht="14.25" customHeight="1" spans="1:8">
      <c r="A56" s="290" t="s">
        <v>4209</v>
      </c>
      <c r="B56" s="295" t="s">
        <v>4217</v>
      </c>
      <c r="C56" s="295">
        <v>14930</v>
      </c>
      <c r="D56" s="295">
        <v>15850</v>
      </c>
      <c r="E56" s="295">
        <v>14320</v>
      </c>
      <c r="F56" s="303">
        <v>3960</v>
      </c>
      <c r="H56" s="310"/>
    </row>
    <row r="57" ht="14.25" customHeight="1" spans="1:8">
      <c r="A57" s="290" t="s">
        <v>4209</v>
      </c>
      <c r="B57" s="295" t="s">
        <v>4218</v>
      </c>
      <c r="C57" s="295">
        <v>16160</v>
      </c>
      <c r="D57" s="295">
        <v>16190</v>
      </c>
      <c r="E57" s="295">
        <v>15650</v>
      </c>
      <c r="F57" s="303">
        <v>4200</v>
      </c>
      <c r="H57" s="310"/>
    </row>
    <row r="58" ht="14.25" customHeight="1" spans="1:8">
      <c r="A58" s="290" t="s">
        <v>4209</v>
      </c>
      <c r="B58" s="295" t="s">
        <v>4219</v>
      </c>
      <c r="C58" s="295">
        <v>16360</v>
      </c>
      <c r="D58" s="295">
        <v>14050</v>
      </c>
      <c r="E58" s="295">
        <v>16070</v>
      </c>
      <c r="F58" s="303">
        <v>3990</v>
      </c>
      <c r="H58" s="310"/>
    </row>
    <row r="59" ht="14.25" customHeight="1" spans="1:8">
      <c r="A59" s="290" t="s">
        <v>4209</v>
      </c>
      <c r="B59" s="295" t="s">
        <v>4220</v>
      </c>
      <c r="C59" s="295">
        <v>14160</v>
      </c>
      <c r="D59" s="295">
        <v>16620</v>
      </c>
      <c r="E59" s="295">
        <v>13940</v>
      </c>
      <c r="F59" s="303">
        <v>4260</v>
      </c>
      <c r="H59" s="310"/>
    </row>
    <row r="60" ht="14.25" customHeight="1" spans="1:8">
      <c r="A60" s="290" t="s">
        <v>4209</v>
      </c>
      <c r="B60" s="295" t="s">
        <v>4221</v>
      </c>
      <c r="C60" s="295">
        <v>16750</v>
      </c>
      <c r="D60" s="295">
        <v>13910</v>
      </c>
      <c r="E60" s="295">
        <v>16550</v>
      </c>
      <c r="F60" s="303">
        <v>4550</v>
      </c>
      <c r="H60" s="310"/>
    </row>
    <row r="61" ht="14.25" customHeight="1" spans="1:8">
      <c r="A61" s="290" t="s">
        <v>4209</v>
      </c>
      <c r="B61" s="295" t="s">
        <v>4222</v>
      </c>
      <c r="C61" s="295">
        <v>14000</v>
      </c>
      <c r="D61" s="295">
        <v>14550</v>
      </c>
      <c r="E61" s="295">
        <v>13860</v>
      </c>
      <c r="F61" s="312"/>
      <c r="H61" s="310"/>
    </row>
    <row r="62" ht="14.25" customHeight="1" spans="1:8">
      <c r="A62" s="290" t="s">
        <v>4209</v>
      </c>
      <c r="B62" s="295" t="s">
        <v>4223</v>
      </c>
      <c r="C62" s="295">
        <v>14660</v>
      </c>
      <c r="D62" s="295">
        <v>17450</v>
      </c>
      <c r="E62" s="295">
        <v>14470</v>
      </c>
      <c r="F62" s="312"/>
      <c r="H62" s="310"/>
    </row>
    <row r="63" ht="14.25" customHeight="1" spans="1:8">
      <c r="A63" s="290" t="s">
        <v>4209</v>
      </c>
      <c r="B63" s="295" t="s">
        <v>4224</v>
      </c>
      <c r="C63" s="295">
        <v>17610</v>
      </c>
      <c r="D63" s="295">
        <v>16500</v>
      </c>
      <c r="E63" s="295">
        <v>17330</v>
      </c>
      <c r="F63" s="312"/>
      <c r="H63" s="310"/>
    </row>
    <row r="64" ht="14.25" customHeight="1" spans="1:8">
      <c r="A64" s="290" t="s">
        <v>4209</v>
      </c>
      <c r="B64" s="295" t="s">
        <v>4225</v>
      </c>
      <c r="C64" s="295">
        <v>16590</v>
      </c>
      <c r="D64" s="295">
        <v>15130</v>
      </c>
      <c r="E64" s="295">
        <v>16420</v>
      </c>
      <c r="F64" s="312"/>
      <c r="H64" s="310"/>
    </row>
    <row r="65" s="278" customFormat="1" ht="14.25" customHeight="1" spans="1:8">
      <c r="A65" s="290" t="s">
        <v>4209</v>
      </c>
      <c r="B65" s="295" t="s">
        <v>4226</v>
      </c>
      <c r="C65" s="295">
        <v>15220</v>
      </c>
      <c r="D65" s="295">
        <v>14660</v>
      </c>
      <c r="E65" s="295">
        <v>15060</v>
      </c>
      <c r="F65" s="303"/>
      <c r="H65" s="310"/>
    </row>
    <row r="66" s="278" customFormat="1" ht="14.25" customHeight="1" spans="1:8">
      <c r="A66" s="290" t="s">
        <v>4209</v>
      </c>
      <c r="B66" s="295" t="s">
        <v>4227</v>
      </c>
      <c r="C66" s="295">
        <v>14720</v>
      </c>
      <c r="D66" s="295">
        <v>15970</v>
      </c>
      <c r="E66" s="295">
        <v>14610</v>
      </c>
      <c r="F66" s="303"/>
      <c r="H66" s="310"/>
    </row>
    <row r="67" s="278" customFormat="1" ht="14.25" customHeight="1" spans="1:8">
      <c r="A67" s="290" t="s">
        <v>4209</v>
      </c>
      <c r="B67" s="295" t="s">
        <v>4228</v>
      </c>
      <c r="C67" s="295">
        <v>16080</v>
      </c>
      <c r="D67" s="295">
        <v>14840</v>
      </c>
      <c r="E67" s="295">
        <v>15630</v>
      </c>
      <c r="F67" s="303"/>
      <c r="H67" s="310"/>
    </row>
    <row r="68" s="278" customFormat="1" ht="14.25" customHeight="1" spans="1:8">
      <c r="A68" s="290" t="s">
        <v>4209</v>
      </c>
      <c r="B68" s="295" t="s">
        <v>4229</v>
      </c>
      <c r="C68" s="295">
        <v>14940</v>
      </c>
      <c r="D68" s="295">
        <v>18000</v>
      </c>
      <c r="E68" s="295">
        <v>14040</v>
      </c>
      <c r="F68" s="303"/>
      <c r="H68" s="310"/>
    </row>
    <row r="69" s="278" customFormat="1" ht="14.25" customHeight="1" spans="1:8">
      <c r="A69" s="290" t="s">
        <v>4209</v>
      </c>
      <c r="B69" s="295" t="s">
        <v>4230</v>
      </c>
      <c r="C69" s="295">
        <v>18810</v>
      </c>
      <c r="D69" s="295">
        <v>15100</v>
      </c>
      <c r="E69" s="295">
        <v>14710</v>
      </c>
      <c r="F69" s="303"/>
      <c r="H69" s="310"/>
    </row>
    <row r="70" s="278" customFormat="1" ht="14.25" customHeight="1" spans="1:8">
      <c r="A70" s="290" t="s">
        <v>4209</v>
      </c>
      <c r="B70" s="295" t="s">
        <v>4231</v>
      </c>
      <c r="C70" s="295">
        <v>18270</v>
      </c>
      <c r="D70" s="295"/>
      <c r="E70" s="295"/>
      <c r="F70" s="303"/>
      <c r="H70" s="310"/>
    </row>
    <row r="71" s="278" customFormat="1" ht="14.25" customHeight="1" spans="1:8">
      <c r="A71" s="290" t="s">
        <v>4209</v>
      </c>
      <c r="B71" s="295" t="s">
        <v>4232</v>
      </c>
      <c r="C71" s="295">
        <v>15230</v>
      </c>
      <c r="D71" s="295"/>
      <c r="E71" s="295"/>
      <c r="F71" s="303"/>
      <c r="H71" s="310"/>
    </row>
    <row r="72" s="278" customFormat="1" ht="14.25" customHeight="1" spans="1:8">
      <c r="A72" s="290" t="s">
        <v>4209</v>
      </c>
      <c r="B72" s="295" t="s">
        <v>4233</v>
      </c>
      <c r="C72" s="295"/>
      <c r="D72" s="295"/>
      <c r="E72" s="295"/>
      <c r="F72" s="303">
        <v>4120</v>
      </c>
      <c r="H72" s="310"/>
    </row>
    <row r="73" s="278" customFormat="1" ht="14.25" customHeight="1" spans="1:8">
      <c r="A73" s="290" t="s">
        <v>4209</v>
      </c>
      <c r="B73" s="295" t="s">
        <v>4234</v>
      </c>
      <c r="C73" s="295"/>
      <c r="D73" s="295"/>
      <c r="E73" s="295"/>
      <c r="F73" s="303">
        <v>3930</v>
      </c>
      <c r="H73" s="310"/>
    </row>
    <row r="74" s="278" customFormat="1" ht="14.25" customHeight="1" spans="1:8">
      <c r="A74" s="290" t="s">
        <v>4209</v>
      </c>
      <c r="B74" s="295" t="s">
        <v>4235</v>
      </c>
      <c r="C74" s="295"/>
      <c r="D74" s="295"/>
      <c r="E74" s="295"/>
      <c r="F74" s="303">
        <v>4060</v>
      </c>
      <c r="H74" s="310"/>
    </row>
    <row r="75" s="278" customFormat="1" ht="14.25" customHeight="1" spans="1:8">
      <c r="A75" s="290" t="s">
        <v>4209</v>
      </c>
      <c r="B75" s="301" t="s">
        <v>4236</v>
      </c>
      <c r="C75" s="301"/>
      <c r="D75" s="301"/>
      <c r="E75" s="301"/>
      <c r="F75" s="311">
        <v>3750</v>
      </c>
      <c r="H75" s="310"/>
    </row>
    <row r="76" s="278" customFormat="1" ht="14.25" customHeight="1" spans="1:8">
      <c r="A76" s="290" t="s">
        <v>4237</v>
      </c>
      <c r="B76" s="291" t="s">
        <v>4238</v>
      </c>
      <c r="C76" s="291">
        <v>14690</v>
      </c>
      <c r="D76" s="291">
        <v>14640</v>
      </c>
      <c r="E76" s="291">
        <v>14590</v>
      </c>
      <c r="F76" s="292">
        <v>3060</v>
      </c>
      <c r="H76" s="310"/>
    </row>
    <row r="77" s="278" customFormat="1" ht="14.25" customHeight="1" spans="1:8">
      <c r="A77" s="290" t="s">
        <v>4237</v>
      </c>
      <c r="B77" s="295" t="s">
        <v>4239</v>
      </c>
      <c r="C77" s="295">
        <v>12550</v>
      </c>
      <c r="D77" s="295">
        <v>12480</v>
      </c>
      <c r="E77" s="295">
        <v>12450</v>
      </c>
      <c r="F77" s="303">
        <v>2590</v>
      </c>
      <c r="H77" s="310"/>
    </row>
    <row r="78" s="278" customFormat="1" ht="14.25" customHeight="1" spans="1:8">
      <c r="A78" s="290" t="s">
        <v>4237</v>
      </c>
      <c r="B78" s="295" t="s">
        <v>4240</v>
      </c>
      <c r="C78" s="295">
        <v>14360</v>
      </c>
      <c r="D78" s="295">
        <v>14320</v>
      </c>
      <c r="E78" s="295">
        <v>12510</v>
      </c>
      <c r="F78" s="303">
        <v>2700</v>
      </c>
      <c r="H78" s="310"/>
    </row>
    <row r="79" s="278" customFormat="1" ht="14.25" customHeight="1" spans="1:8">
      <c r="A79" s="290" t="s">
        <v>4237</v>
      </c>
      <c r="B79" s="295" t="s">
        <v>4241</v>
      </c>
      <c r="C79" s="295">
        <v>12590</v>
      </c>
      <c r="D79" s="295">
        <v>12540</v>
      </c>
      <c r="E79" s="295">
        <v>12350</v>
      </c>
      <c r="F79" s="303">
        <v>2740</v>
      </c>
      <c r="H79" s="310"/>
    </row>
    <row r="80" s="278" customFormat="1" ht="14.25" customHeight="1" spans="1:8">
      <c r="A80" s="290" t="s">
        <v>4237</v>
      </c>
      <c r="B80" s="295" t="s">
        <v>4242</v>
      </c>
      <c r="C80" s="295">
        <v>12450</v>
      </c>
      <c r="D80" s="295">
        <v>12370</v>
      </c>
      <c r="E80" s="295">
        <v>10790</v>
      </c>
      <c r="F80" s="303">
        <v>2290</v>
      </c>
      <c r="H80" s="310"/>
    </row>
    <row r="81" s="278" customFormat="1" ht="14.25" customHeight="1" spans="1:8">
      <c r="A81" s="290" t="s">
        <v>4237</v>
      </c>
      <c r="B81" s="295" t="s">
        <v>4243</v>
      </c>
      <c r="C81" s="295">
        <v>14210</v>
      </c>
      <c r="D81" s="295">
        <v>14150</v>
      </c>
      <c r="E81" s="295">
        <v>12730</v>
      </c>
      <c r="F81" s="303">
        <v>2240</v>
      </c>
      <c r="H81" s="310"/>
    </row>
    <row r="82" s="278" customFormat="1" ht="14.25" customHeight="1" spans="1:8">
      <c r="A82" s="290" t="s">
        <v>4237</v>
      </c>
      <c r="B82" s="295" t="s">
        <v>4244</v>
      </c>
      <c r="C82" s="295">
        <v>10860</v>
      </c>
      <c r="D82" s="295">
        <v>10820</v>
      </c>
      <c r="E82" s="295">
        <v>14720</v>
      </c>
      <c r="F82" s="303">
        <v>2490</v>
      </c>
      <c r="H82" s="310"/>
    </row>
    <row r="83" s="278" customFormat="1" ht="14.25" customHeight="1" spans="1:8">
      <c r="A83" s="290" t="s">
        <v>4237</v>
      </c>
      <c r="B83" s="295" t="s">
        <v>4245</v>
      </c>
      <c r="C83" s="295">
        <v>12810</v>
      </c>
      <c r="D83" s="295">
        <v>12760</v>
      </c>
      <c r="E83" s="295">
        <v>14830</v>
      </c>
      <c r="F83" s="303">
        <v>2450</v>
      </c>
      <c r="H83" s="310"/>
    </row>
    <row r="84" s="278" customFormat="1" ht="14.25" customHeight="1" spans="1:8">
      <c r="A84" s="290" t="s">
        <v>4237</v>
      </c>
      <c r="B84" s="295" t="s">
        <v>4246</v>
      </c>
      <c r="C84" s="295">
        <v>14950</v>
      </c>
      <c r="D84" s="295">
        <v>14810</v>
      </c>
      <c r="E84" s="295">
        <v>12590</v>
      </c>
      <c r="F84" s="303">
        <v>2540</v>
      </c>
      <c r="H84" s="310"/>
    </row>
    <row r="85" s="278" customFormat="1" ht="14.25" customHeight="1" spans="1:8">
      <c r="A85" s="290" t="s">
        <v>4237</v>
      </c>
      <c r="B85" s="295" t="s">
        <v>4247</v>
      </c>
      <c r="C85" s="295">
        <v>14960</v>
      </c>
      <c r="D85" s="295">
        <v>14890</v>
      </c>
      <c r="E85" s="295">
        <v>12840</v>
      </c>
      <c r="F85" s="303">
        <v>2840</v>
      </c>
      <c r="H85" s="310"/>
    </row>
    <row r="86" s="278" customFormat="1" ht="14.25" customHeight="1" spans="1:8">
      <c r="A86" s="290" t="s">
        <v>4237</v>
      </c>
      <c r="B86" s="295" t="s">
        <v>4248</v>
      </c>
      <c r="C86" s="295">
        <v>12730</v>
      </c>
      <c r="D86" s="295">
        <v>12660</v>
      </c>
      <c r="E86" s="295">
        <v>13310</v>
      </c>
      <c r="F86" s="303">
        <v>3140</v>
      </c>
      <c r="H86" s="310"/>
    </row>
    <row r="87" s="278" customFormat="1" ht="14.25" customHeight="1" spans="1:8">
      <c r="A87" s="290" t="s">
        <v>4237</v>
      </c>
      <c r="B87" s="295" t="s">
        <v>4249</v>
      </c>
      <c r="C87" s="295">
        <v>12940</v>
      </c>
      <c r="D87" s="295">
        <v>12890</v>
      </c>
      <c r="E87" s="295">
        <v>11580</v>
      </c>
      <c r="F87" s="312"/>
      <c r="H87" s="310"/>
    </row>
    <row r="88" s="278" customFormat="1" ht="14.25" customHeight="1" spans="1:8">
      <c r="A88" s="290" t="s">
        <v>4237</v>
      </c>
      <c r="B88" s="295" t="s">
        <v>4250</v>
      </c>
      <c r="C88" s="295">
        <v>13430</v>
      </c>
      <c r="D88" s="295">
        <v>13360</v>
      </c>
      <c r="E88" s="295">
        <v>12790</v>
      </c>
      <c r="F88" s="312"/>
      <c r="H88" s="310"/>
    </row>
    <row r="89" s="278" customFormat="1" ht="14.25" customHeight="1" spans="1:8">
      <c r="A89" s="290" t="s">
        <v>4237</v>
      </c>
      <c r="B89" s="295" t="s">
        <v>4251</v>
      </c>
      <c r="C89" s="295">
        <v>11680</v>
      </c>
      <c r="D89" s="295">
        <v>11630</v>
      </c>
      <c r="E89" s="295">
        <v>11320</v>
      </c>
      <c r="F89" s="312"/>
      <c r="H89" s="310"/>
    </row>
    <row r="90" s="278" customFormat="1" ht="14.25" customHeight="1" spans="1:8">
      <c r="A90" s="290" t="s">
        <v>4237</v>
      </c>
      <c r="B90" s="295" t="s">
        <v>4252</v>
      </c>
      <c r="C90" s="295">
        <v>12890</v>
      </c>
      <c r="D90" s="295">
        <v>12820</v>
      </c>
      <c r="E90" s="295">
        <v>12710</v>
      </c>
      <c r="F90" s="312"/>
      <c r="H90" s="310"/>
    </row>
    <row r="91" s="278" customFormat="1" ht="14.25" customHeight="1" spans="1:8">
      <c r="A91" s="290" t="s">
        <v>4237</v>
      </c>
      <c r="B91" s="295" t="s">
        <v>4253</v>
      </c>
      <c r="C91" s="295">
        <v>11410</v>
      </c>
      <c r="D91" s="295">
        <v>11360</v>
      </c>
      <c r="E91" s="295">
        <v>12670</v>
      </c>
      <c r="F91" s="312"/>
      <c r="H91" s="310"/>
    </row>
    <row r="92" s="278" customFormat="1" ht="14.25" customHeight="1" spans="1:8">
      <c r="A92" s="290" t="s">
        <v>4237</v>
      </c>
      <c r="B92" s="295" t="s">
        <v>4254</v>
      </c>
      <c r="C92" s="295">
        <v>12770</v>
      </c>
      <c r="D92" s="295">
        <v>12740</v>
      </c>
      <c r="E92" s="295">
        <v>11970</v>
      </c>
      <c r="F92" s="312"/>
      <c r="H92" s="310"/>
    </row>
    <row r="93" s="278" customFormat="1" ht="14.25" customHeight="1" spans="1:8">
      <c r="A93" s="290" t="s">
        <v>4237</v>
      </c>
      <c r="B93" s="295" t="s">
        <v>4255</v>
      </c>
      <c r="C93" s="295">
        <v>12740</v>
      </c>
      <c r="D93" s="295">
        <v>12700</v>
      </c>
      <c r="E93" s="295">
        <v>12540</v>
      </c>
      <c r="F93" s="312"/>
      <c r="H93" s="310"/>
    </row>
    <row r="94" s="278" customFormat="1" ht="14.25" customHeight="1" spans="1:8">
      <c r="A94" s="290" t="s">
        <v>4237</v>
      </c>
      <c r="B94" s="295" t="s">
        <v>4256</v>
      </c>
      <c r="C94" s="295">
        <v>12020</v>
      </c>
      <c r="D94" s="295">
        <v>11990</v>
      </c>
      <c r="E94" s="295">
        <v>13110</v>
      </c>
      <c r="F94" s="312"/>
      <c r="H94" s="310"/>
    </row>
    <row r="95" s="278" customFormat="1" ht="14.25" customHeight="1" spans="1:8">
      <c r="A95" s="290" t="s">
        <v>4237</v>
      </c>
      <c r="B95" s="295" t="s">
        <v>4257</v>
      </c>
      <c r="C95" s="295">
        <v>12620</v>
      </c>
      <c r="D95" s="295">
        <v>12580</v>
      </c>
      <c r="E95" s="295">
        <v>13160</v>
      </c>
      <c r="F95" s="303"/>
      <c r="H95" s="310"/>
    </row>
    <row r="96" s="278" customFormat="1" ht="14.25" customHeight="1" spans="1:8">
      <c r="A96" s="290" t="s">
        <v>4237</v>
      </c>
      <c r="B96" s="295" t="s">
        <v>4258</v>
      </c>
      <c r="C96" s="295">
        <v>13200</v>
      </c>
      <c r="D96" s="295">
        <v>13150</v>
      </c>
      <c r="E96" s="295">
        <v>12900</v>
      </c>
      <c r="F96" s="303"/>
      <c r="H96" s="310"/>
    </row>
    <row r="97" s="278" customFormat="1" ht="14.25" customHeight="1" spans="1:8">
      <c r="A97" s="290" t="s">
        <v>4237</v>
      </c>
      <c r="B97" s="295" t="s">
        <v>4259</v>
      </c>
      <c r="C97" s="295">
        <v>13270</v>
      </c>
      <c r="D97" s="295">
        <v>13210</v>
      </c>
      <c r="E97" s="295">
        <v>11080</v>
      </c>
      <c r="F97" s="303"/>
      <c r="H97" s="310"/>
    </row>
    <row r="98" s="278" customFormat="1" ht="14.25" customHeight="1" spans="1:8">
      <c r="A98" s="290" t="s">
        <v>4237</v>
      </c>
      <c r="B98" s="295" t="s">
        <v>4260</v>
      </c>
      <c r="C98" s="295">
        <v>13010</v>
      </c>
      <c r="D98" s="295">
        <v>12930</v>
      </c>
      <c r="E98" s="295">
        <v>12840</v>
      </c>
      <c r="F98" s="303"/>
      <c r="H98" s="310"/>
    </row>
    <row r="99" s="278" customFormat="1" ht="14.25" customHeight="1" spans="1:8">
      <c r="A99" s="290" t="s">
        <v>4237</v>
      </c>
      <c r="B99" s="295" t="s">
        <v>4261</v>
      </c>
      <c r="C99" s="295">
        <v>11190</v>
      </c>
      <c r="D99" s="295">
        <v>11130</v>
      </c>
      <c r="E99" s="295"/>
      <c r="F99" s="303"/>
      <c r="H99" s="310"/>
    </row>
    <row r="100" s="278" customFormat="1" ht="14.25" customHeight="1" spans="1:8">
      <c r="A100" s="290" t="s">
        <v>4237</v>
      </c>
      <c r="B100" s="295" t="s">
        <v>4262</v>
      </c>
      <c r="C100" s="295">
        <v>14280</v>
      </c>
      <c r="D100" s="295">
        <v>14180</v>
      </c>
      <c r="E100" s="295"/>
      <c r="F100" s="303"/>
      <c r="H100" s="310"/>
    </row>
    <row r="101" s="278" customFormat="1" ht="14.25" customHeight="1" spans="1:8">
      <c r="A101" s="290" t="s">
        <v>4237</v>
      </c>
      <c r="B101" s="295" t="s">
        <v>4263</v>
      </c>
      <c r="C101" s="295">
        <v>12960</v>
      </c>
      <c r="D101" s="295">
        <v>12890</v>
      </c>
      <c r="E101" s="295"/>
      <c r="F101" s="303"/>
      <c r="H101" s="310"/>
    </row>
    <row r="102" s="278" customFormat="1" ht="14.25" customHeight="1" spans="1:8">
      <c r="A102" s="290" t="s">
        <v>4237</v>
      </c>
      <c r="B102" s="295" t="s">
        <v>4264</v>
      </c>
      <c r="C102" s="295"/>
      <c r="D102" s="295"/>
      <c r="E102" s="295"/>
      <c r="F102" s="303">
        <v>3100</v>
      </c>
      <c r="H102" s="310"/>
    </row>
    <row r="103" s="278" customFormat="1" ht="14.25" customHeight="1" spans="1:8">
      <c r="A103" s="290" t="s">
        <v>4237</v>
      </c>
      <c r="B103" s="295" t="s">
        <v>4265</v>
      </c>
      <c r="C103" s="295"/>
      <c r="D103" s="295"/>
      <c r="E103" s="295"/>
      <c r="F103" s="303">
        <v>2320</v>
      </c>
      <c r="H103" s="310"/>
    </row>
    <row r="104" s="278" customFormat="1" ht="14.25" customHeight="1" spans="1:8">
      <c r="A104" s="290" t="s">
        <v>4237</v>
      </c>
      <c r="B104" s="295" t="s">
        <v>4266</v>
      </c>
      <c r="C104" s="295"/>
      <c r="D104" s="295"/>
      <c r="E104" s="295"/>
      <c r="F104" s="303">
        <v>2320</v>
      </c>
      <c r="H104" s="310"/>
    </row>
    <row r="105" s="278" customFormat="1" ht="14.25" customHeight="1" spans="1:8">
      <c r="A105" s="290" t="s">
        <v>4237</v>
      </c>
      <c r="B105" s="295" t="s">
        <v>4267</v>
      </c>
      <c r="C105" s="295"/>
      <c r="D105" s="295"/>
      <c r="E105" s="295"/>
      <c r="F105" s="303">
        <v>2320</v>
      </c>
      <c r="H105" s="310"/>
    </row>
    <row r="106" s="278" customFormat="1" ht="14.25" customHeight="1" spans="1:8">
      <c r="A106" s="290" t="s">
        <v>4237</v>
      </c>
      <c r="B106" s="295" t="s">
        <v>4268</v>
      </c>
      <c r="C106" s="295"/>
      <c r="D106" s="295"/>
      <c r="E106" s="295"/>
      <c r="F106" s="303">
        <v>2320</v>
      </c>
      <c r="H106" s="310"/>
    </row>
    <row r="107" s="278" customFormat="1" ht="14.25" customHeight="1" spans="1:8">
      <c r="A107" s="290" t="s">
        <v>4237</v>
      </c>
      <c r="B107" s="295" t="s">
        <v>4269</v>
      </c>
      <c r="C107" s="295"/>
      <c r="D107" s="295"/>
      <c r="E107" s="295"/>
      <c r="F107" s="303">
        <v>2280</v>
      </c>
      <c r="H107" s="310"/>
    </row>
    <row r="108" s="278" customFormat="1" ht="14.25" customHeight="1" spans="1:8">
      <c r="A108" s="290" t="s">
        <v>4237</v>
      </c>
      <c r="B108" s="295" t="s">
        <v>4270</v>
      </c>
      <c r="C108" s="295"/>
      <c r="D108" s="295"/>
      <c r="E108" s="295"/>
      <c r="F108" s="303">
        <v>2280</v>
      </c>
      <c r="H108" s="310"/>
    </row>
    <row r="109" s="278" customFormat="1" ht="14.25" customHeight="1" spans="1:8">
      <c r="A109" s="290" t="s">
        <v>4237</v>
      </c>
      <c r="B109" s="301" t="s">
        <v>4271</v>
      </c>
      <c r="C109" s="301"/>
      <c r="D109" s="301"/>
      <c r="E109" s="301"/>
      <c r="F109" s="311">
        <v>2280</v>
      </c>
      <c r="H109" s="310"/>
    </row>
    <row r="110" s="278" customFormat="1" ht="14.25" customHeight="1" spans="1:8">
      <c r="A110" s="290" t="s">
        <v>4272</v>
      </c>
      <c r="B110" s="291" t="s">
        <v>4273</v>
      </c>
      <c r="C110" s="291">
        <v>10520</v>
      </c>
      <c r="D110" s="291">
        <v>10490</v>
      </c>
      <c r="E110" s="291">
        <v>10760</v>
      </c>
      <c r="F110" s="292">
        <v>2160</v>
      </c>
      <c r="H110" s="310"/>
    </row>
    <row r="111" s="278" customFormat="1" ht="14.25" customHeight="1" spans="1:8">
      <c r="A111" s="290" t="s">
        <v>4272</v>
      </c>
      <c r="B111" s="295" t="s">
        <v>4274</v>
      </c>
      <c r="C111" s="295">
        <v>10090</v>
      </c>
      <c r="D111" s="295">
        <v>10060</v>
      </c>
      <c r="E111" s="295">
        <v>10300</v>
      </c>
      <c r="F111" s="303">
        <v>2010</v>
      </c>
      <c r="H111" s="310"/>
    </row>
    <row r="112" s="278" customFormat="1" ht="14.25" customHeight="1" spans="1:8">
      <c r="A112" s="290" t="s">
        <v>4272</v>
      </c>
      <c r="B112" s="295" t="s">
        <v>4275</v>
      </c>
      <c r="C112" s="295">
        <v>9910</v>
      </c>
      <c r="D112" s="295">
        <v>9850</v>
      </c>
      <c r="E112" s="295">
        <v>9960</v>
      </c>
      <c r="F112" s="303">
        <v>2090</v>
      </c>
      <c r="H112" s="310"/>
    </row>
    <row r="113" s="278" customFormat="1" ht="14.25" customHeight="1" spans="1:8">
      <c r="A113" s="290" t="s">
        <v>4272</v>
      </c>
      <c r="B113" s="295" t="s">
        <v>4276</v>
      </c>
      <c r="C113" s="295">
        <v>11430</v>
      </c>
      <c r="D113" s="295">
        <v>11400</v>
      </c>
      <c r="E113" s="295">
        <v>11710</v>
      </c>
      <c r="F113" s="303">
        <v>2050</v>
      </c>
      <c r="H113" s="310"/>
    </row>
    <row r="114" s="278" customFormat="1" ht="14.25" customHeight="1" spans="1:8">
      <c r="A114" s="290" t="s">
        <v>4272</v>
      </c>
      <c r="B114" s="295" t="s">
        <v>4277</v>
      </c>
      <c r="C114" s="295">
        <v>11390</v>
      </c>
      <c r="D114" s="295">
        <v>11350</v>
      </c>
      <c r="E114" s="295">
        <v>11640</v>
      </c>
      <c r="F114" s="303">
        <v>1620</v>
      </c>
      <c r="H114" s="310"/>
    </row>
    <row r="115" s="278" customFormat="1" ht="14.25" customHeight="1" spans="1:8">
      <c r="A115" s="290" t="s">
        <v>4272</v>
      </c>
      <c r="B115" s="295" t="s">
        <v>4278</v>
      </c>
      <c r="C115" s="295">
        <v>9930</v>
      </c>
      <c r="D115" s="295">
        <v>9900</v>
      </c>
      <c r="E115" s="295">
        <v>10160</v>
      </c>
      <c r="F115" s="303">
        <v>1580</v>
      </c>
      <c r="H115" s="310"/>
    </row>
    <row r="116" s="278" customFormat="1" ht="14.25" customHeight="1" spans="1:8">
      <c r="A116" s="290" t="s">
        <v>4272</v>
      </c>
      <c r="B116" s="295" t="s">
        <v>4279</v>
      </c>
      <c r="C116" s="295">
        <v>9150</v>
      </c>
      <c r="D116" s="295">
        <v>9120</v>
      </c>
      <c r="E116" s="295">
        <v>9380</v>
      </c>
      <c r="F116" s="303">
        <v>1750</v>
      </c>
      <c r="H116" s="310"/>
    </row>
    <row r="117" s="278" customFormat="1" ht="14.25" customHeight="1" spans="1:8">
      <c r="A117" s="290" t="s">
        <v>4272</v>
      </c>
      <c r="B117" s="295" t="s">
        <v>4280</v>
      </c>
      <c r="C117" s="295">
        <v>10680</v>
      </c>
      <c r="D117" s="295">
        <v>10650</v>
      </c>
      <c r="E117" s="295">
        <v>10970</v>
      </c>
      <c r="F117" s="303">
        <v>1730</v>
      </c>
      <c r="H117" s="310"/>
    </row>
    <row r="118" s="278" customFormat="1" ht="14.25" customHeight="1" spans="1:8">
      <c r="A118" s="290" t="s">
        <v>4272</v>
      </c>
      <c r="B118" s="295" t="s">
        <v>4281</v>
      </c>
      <c r="C118" s="295">
        <v>10080</v>
      </c>
      <c r="D118" s="295">
        <v>10050</v>
      </c>
      <c r="E118" s="295">
        <v>10350</v>
      </c>
      <c r="F118" s="303">
        <v>1920</v>
      </c>
      <c r="H118" s="310"/>
    </row>
    <row r="119" s="278" customFormat="1" ht="14.25" customHeight="1" spans="1:8">
      <c r="A119" s="290" t="s">
        <v>4272</v>
      </c>
      <c r="B119" s="295" t="s">
        <v>4282</v>
      </c>
      <c r="C119" s="295">
        <v>9450</v>
      </c>
      <c r="D119" s="295">
        <v>9410</v>
      </c>
      <c r="E119" s="295">
        <v>9680</v>
      </c>
      <c r="F119" s="303">
        <v>1880</v>
      </c>
      <c r="H119" s="310"/>
    </row>
    <row r="120" s="278" customFormat="1" ht="14.25" customHeight="1" spans="1:8">
      <c r="A120" s="290" t="s">
        <v>4272</v>
      </c>
      <c r="B120" s="295" t="s">
        <v>4283</v>
      </c>
      <c r="C120" s="295">
        <v>8730</v>
      </c>
      <c r="D120" s="295">
        <v>8700</v>
      </c>
      <c r="E120" s="295">
        <v>8950</v>
      </c>
      <c r="F120" s="303">
        <v>1830</v>
      </c>
      <c r="H120" s="310"/>
    </row>
    <row r="121" s="278" customFormat="1" ht="14.25" customHeight="1" spans="1:8">
      <c r="A121" s="290" t="s">
        <v>4272</v>
      </c>
      <c r="B121" s="295" t="s">
        <v>4284</v>
      </c>
      <c r="C121" s="295">
        <v>10070</v>
      </c>
      <c r="D121" s="295">
        <v>10040</v>
      </c>
      <c r="E121" s="295">
        <v>10270</v>
      </c>
      <c r="F121" s="303">
        <v>1960</v>
      </c>
      <c r="H121" s="310"/>
    </row>
    <row r="122" s="278" customFormat="1" ht="14.25" customHeight="1" spans="1:8">
      <c r="A122" s="290" t="s">
        <v>4272</v>
      </c>
      <c r="B122" s="295" t="s">
        <v>4285</v>
      </c>
      <c r="C122" s="295">
        <v>10500</v>
      </c>
      <c r="D122" s="295">
        <v>10470</v>
      </c>
      <c r="E122" s="295">
        <v>10780</v>
      </c>
      <c r="F122" s="303">
        <v>2180</v>
      </c>
      <c r="H122" s="310"/>
    </row>
    <row r="123" s="278" customFormat="1" ht="14.25" customHeight="1" spans="1:8">
      <c r="A123" s="290" t="s">
        <v>4272</v>
      </c>
      <c r="B123" s="295" t="s">
        <v>4286</v>
      </c>
      <c r="C123" s="295">
        <v>10390</v>
      </c>
      <c r="D123" s="295">
        <v>10360</v>
      </c>
      <c r="E123" s="295">
        <v>10660</v>
      </c>
      <c r="F123" s="303">
        <v>2040</v>
      </c>
      <c r="H123" s="310"/>
    </row>
    <row r="124" s="278" customFormat="1" ht="14.25" customHeight="1" spans="1:8">
      <c r="A124" s="290" t="s">
        <v>4272</v>
      </c>
      <c r="B124" s="295" t="s">
        <v>4287</v>
      </c>
      <c r="C124" s="295">
        <v>10390</v>
      </c>
      <c r="D124" s="295">
        <v>10360</v>
      </c>
      <c r="E124" s="295">
        <v>10680</v>
      </c>
      <c r="F124" s="312"/>
      <c r="H124" s="310"/>
    </row>
    <row r="125" s="278" customFormat="1" ht="14.25" customHeight="1" spans="1:8">
      <c r="A125" s="290" t="s">
        <v>4272</v>
      </c>
      <c r="B125" s="295" t="s">
        <v>4288</v>
      </c>
      <c r="C125" s="295">
        <v>10440</v>
      </c>
      <c r="D125" s="295">
        <v>10410</v>
      </c>
      <c r="E125" s="295">
        <v>10710</v>
      </c>
      <c r="F125" s="312"/>
      <c r="H125" s="310"/>
    </row>
    <row r="126" s="278" customFormat="1" ht="14.25" customHeight="1" spans="1:8">
      <c r="A126" s="290" t="s">
        <v>4272</v>
      </c>
      <c r="B126" s="295" t="s">
        <v>4289</v>
      </c>
      <c r="C126" s="295">
        <v>10780</v>
      </c>
      <c r="D126" s="295">
        <v>10750</v>
      </c>
      <c r="E126" s="295">
        <v>11080</v>
      </c>
      <c r="F126" s="312"/>
      <c r="H126" s="310"/>
    </row>
    <row r="127" s="278" customFormat="1" ht="14.25" customHeight="1" spans="1:8">
      <c r="A127" s="290" t="s">
        <v>4272</v>
      </c>
      <c r="B127" s="295" t="s">
        <v>4290</v>
      </c>
      <c r="C127" s="295">
        <v>10100</v>
      </c>
      <c r="D127" s="295">
        <v>10070</v>
      </c>
      <c r="E127" s="295">
        <v>10350</v>
      </c>
      <c r="F127" s="312"/>
      <c r="H127" s="310"/>
    </row>
    <row r="128" s="278" customFormat="1" ht="14.25" customHeight="1" spans="1:8">
      <c r="A128" s="290" t="s">
        <v>4272</v>
      </c>
      <c r="B128" s="295" t="s">
        <v>4291</v>
      </c>
      <c r="C128" s="295">
        <v>9200</v>
      </c>
      <c r="D128" s="295">
        <v>9160</v>
      </c>
      <c r="E128" s="295">
        <v>9660</v>
      </c>
      <c r="F128" s="312"/>
      <c r="H128" s="310"/>
    </row>
    <row r="129" s="278" customFormat="1" ht="14.25" customHeight="1" spans="1:8">
      <c r="A129" s="290" t="s">
        <v>4272</v>
      </c>
      <c r="B129" s="295" t="s">
        <v>4292</v>
      </c>
      <c r="C129" s="295">
        <v>10340</v>
      </c>
      <c r="D129" s="295">
        <v>10310</v>
      </c>
      <c r="E129" s="295">
        <v>10580</v>
      </c>
      <c r="F129" s="312"/>
      <c r="H129" s="310"/>
    </row>
    <row r="130" s="278" customFormat="1" ht="14.25" customHeight="1" spans="1:8">
      <c r="A130" s="290" t="s">
        <v>4272</v>
      </c>
      <c r="B130" s="295" t="s">
        <v>4293</v>
      </c>
      <c r="C130" s="295">
        <v>9680</v>
      </c>
      <c r="D130" s="295">
        <v>9660</v>
      </c>
      <c r="E130" s="295">
        <v>9950</v>
      </c>
      <c r="F130" s="312"/>
      <c r="H130" s="310"/>
    </row>
    <row r="131" s="278" customFormat="1" ht="14.25" customHeight="1" spans="1:8">
      <c r="A131" s="290" t="s">
        <v>4272</v>
      </c>
      <c r="B131" s="295" t="s">
        <v>4294</v>
      </c>
      <c r="C131" s="295">
        <v>9540</v>
      </c>
      <c r="D131" s="295">
        <v>9510</v>
      </c>
      <c r="E131" s="295">
        <v>9790</v>
      </c>
      <c r="F131" s="312"/>
      <c r="H131" s="310"/>
    </row>
    <row r="132" s="278" customFormat="1" ht="14.25" customHeight="1" spans="1:8">
      <c r="A132" s="290" t="s">
        <v>4272</v>
      </c>
      <c r="B132" s="295" t="s">
        <v>4295</v>
      </c>
      <c r="C132" s="295">
        <v>9320</v>
      </c>
      <c r="D132" s="295">
        <v>9290</v>
      </c>
      <c r="E132" s="295">
        <v>9570</v>
      </c>
      <c r="F132" s="312"/>
      <c r="H132" s="310"/>
    </row>
    <row r="133" s="278" customFormat="1" ht="14.25" customHeight="1" spans="1:8">
      <c r="A133" s="290" t="s">
        <v>4272</v>
      </c>
      <c r="B133" s="295" t="s">
        <v>4296</v>
      </c>
      <c r="C133" s="295">
        <v>10310</v>
      </c>
      <c r="D133" s="295">
        <v>10280</v>
      </c>
      <c r="E133" s="295">
        <v>10530</v>
      </c>
      <c r="F133" s="312"/>
      <c r="H133" s="310"/>
    </row>
    <row r="134" s="278" customFormat="1" ht="14.25" customHeight="1" spans="1:8">
      <c r="A134" s="290" t="s">
        <v>4272</v>
      </c>
      <c r="B134" s="295" t="s">
        <v>4297</v>
      </c>
      <c r="C134" s="295">
        <v>10370</v>
      </c>
      <c r="D134" s="295">
        <v>10310</v>
      </c>
      <c r="E134" s="295">
        <v>10240</v>
      </c>
      <c r="F134" s="303">
        <v>2060</v>
      </c>
      <c r="H134" s="310"/>
    </row>
    <row r="135" s="278" customFormat="1" ht="14.25" customHeight="1" spans="1:8">
      <c r="A135" s="290" t="s">
        <v>4272</v>
      </c>
      <c r="B135" s="295" t="s">
        <v>4298</v>
      </c>
      <c r="C135" s="295">
        <v>9300</v>
      </c>
      <c r="D135" s="295">
        <v>9270</v>
      </c>
      <c r="E135" s="295">
        <v>9350</v>
      </c>
      <c r="F135" s="312"/>
      <c r="H135" s="310"/>
    </row>
    <row r="136" s="278" customFormat="1" ht="14.25" customHeight="1" spans="1:8">
      <c r="A136" s="290" t="s">
        <v>4272</v>
      </c>
      <c r="B136" s="295" t="s">
        <v>4299</v>
      </c>
      <c r="C136" s="295">
        <v>10160</v>
      </c>
      <c r="D136" s="295">
        <v>10110</v>
      </c>
      <c r="E136" s="295">
        <v>10080</v>
      </c>
      <c r="F136" s="312"/>
      <c r="H136" s="310"/>
    </row>
    <row r="137" s="278" customFormat="1" ht="14.25" customHeight="1" spans="1:8">
      <c r="A137" s="290" t="s">
        <v>4272</v>
      </c>
      <c r="B137" s="295" t="s">
        <v>4300</v>
      </c>
      <c r="C137" s="295">
        <v>9200</v>
      </c>
      <c r="D137" s="295">
        <v>9170</v>
      </c>
      <c r="E137" s="295">
        <v>9450</v>
      </c>
      <c r="F137" s="312"/>
      <c r="H137" s="310"/>
    </row>
    <row r="138" s="278" customFormat="1" ht="14.25" customHeight="1" spans="1:8">
      <c r="A138" s="290" t="s">
        <v>4272</v>
      </c>
      <c r="B138" s="295" t="s">
        <v>4301</v>
      </c>
      <c r="C138" s="295">
        <v>9690</v>
      </c>
      <c r="D138" s="295">
        <v>9660</v>
      </c>
      <c r="E138" s="295">
        <v>9840</v>
      </c>
      <c r="F138" s="312"/>
      <c r="H138" s="310"/>
    </row>
    <row r="139" s="278" customFormat="1" ht="14.25" customHeight="1" spans="1:8">
      <c r="A139" s="290" t="s">
        <v>4272</v>
      </c>
      <c r="B139" s="295" t="s">
        <v>4302</v>
      </c>
      <c r="C139" s="295">
        <v>10290</v>
      </c>
      <c r="D139" s="295">
        <v>10260</v>
      </c>
      <c r="E139" s="295">
        <v>10550</v>
      </c>
      <c r="F139" s="303">
        <v>1700</v>
      </c>
      <c r="H139" s="310"/>
    </row>
    <row r="140" s="278" customFormat="1" ht="14.25" customHeight="1" spans="1:8">
      <c r="A140" s="290" t="s">
        <v>4272</v>
      </c>
      <c r="B140" s="295" t="s">
        <v>4303</v>
      </c>
      <c r="C140" s="295">
        <v>9740</v>
      </c>
      <c r="D140" s="295">
        <v>9710</v>
      </c>
      <c r="E140" s="295">
        <v>10000</v>
      </c>
      <c r="F140" s="303">
        <v>2000</v>
      </c>
      <c r="H140" s="310"/>
    </row>
    <row r="141" s="278" customFormat="1" ht="14.25" customHeight="1" spans="1:8">
      <c r="A141" s="290" t="s">
        <v>4272</v>
      </c>
      <c r="B141" s="295" t="s">
        <v>4304</v>
      </c>
      <c r="C141" s="295">
        <v>9810</v>
      </c>
      <c r="D141" s="295">
        <v>9770</v>
      </c>
      <c r="E141" s="295">
        <v>10060</v>
      </c>
      <c r="F141" s="312"/>
      <c r="H141" s="310"/>
    </row>
    <row r="142" s="278" customFormat="1" ht="14.25" customHeight="1" spans="1:8">
      <c r="A142" s="290" t="s">
        <v>4272</v>
      </c>
      <c r="B142" s="295" t="s">
        <v>4305</v>
      </c>
      <c r="C142" s="295">
        <v>9300</v>
      </c>
      <c r="D142" s="295">
        <v>9270</v>
      </c>
      <c r="E142" s="295">
        <v>9530</v>
      </c>
      <c r="F142" s="312"/>
      <c r="H142" s="310"/>
    </row>
    <row r="143" s="278" customFormat="1" ht="14.25" customHeight="1" spans="1:8">
      <c r="A143" s="290" t="s">
        <v>4272</v>
      </c>
      <c r="B143" s="295" t="s">
        <v>4306</v>
      </c>
      <c r="C143" s="295">
        <v>10080</v>
      </c>
      <c r="D143" s="295">
        <v>10050</v>
      </c>
      <c r="E143" s="295">
        <v>10340</v>
      </c>
      <c r="F143" s="312"/>
      <c r="H143" s="310"/>
    </row>
    <row r="144" s="278" customFormat="1" ht="14.25" customHeight="1" spans="1:8">
      <c r="A144" s="290" t="s">
        <v>4272</v>
      </c>
      <c r="B144" s="295" t="s">
        <v>4307</v>
      </c>
      <c r="C144" s="295">
        <v>9820</v>
      </c>
      <c r="D144" s="295">
        <v>9750</v>
      </c>
      <c r="E144" s="295">
        <v>9900</v>
      </c>
      <c r="F144" s="312"/>
      <c r="H144" s="310"/>
    </row>
    <row r="145" s="278" customFormat="1" ht="14.25" customHeight="1" spans="1:8">
      <c r="A145" s="290" t="s">
        <v>4272</v>
      </c>
      <c r="B145" s="295" t="s">
        <v>4308</v>
      </c>
      <c r="C145" s="295"/>
      <c r="D145" s="295"/>
      <c r="E145" s="295"/>
      <c r="F145" s="303">
        <v>1740</v>
      </c>
      <c r="H145" s="310"/>
    </row>
    <row r="146" s="278" customFormat="1" ht="14.25" customHeight="1" spans="1:8">
      <c r="A146" s="290" t="s">
        <v>4272</v>
      </c>
      <c r="B146" s="295" t="s">
        <v>4309</v>
      </c>
      <c r="C146" s="295"/>
      <c r="D146" s="295"/>
      <c r="E146" s="295"/>
      <c r="F146" s="303">
        <v>1740</v>
      </c>
      <c r="H146" s="310"/>
    </row>
    <row r="147" s="278" customFormat="1" ht="14.25" customHeight="1" spans="1:8">
      <c r="A147" s="290" t="s">
        <v>4272</v>
      </c>
      <c r="B147" s="295" t="s">
        <v>4310</v>
      </c>
      <c r="C147" s="295"/>
      <c r="D147" s="295"/>
      <c r="E147" s="295"/>
      <c r="F147" s="303">
        <v>1740</v>
      </c>
      <c r="H147" s="310"/>
    </row>
    <row r="148" s="278" customFormat="1" ht="14.25" customHeight="1" spans="1:8">
      <c r="A148" s="290" t="s">
        <v>4272</v>
      </c>
      <c r="B148" s="295" t="s">
        <v>4311</v>
      </c>
      <c r="C148" s="295"/>
      <c r="D148" s="295"/>
      <c r="E148" s="295"/>
      <c r="F148" s="303">
        <v>1740</v>
      </c>
      <c r="H148" s="310"/>
    </row>
    <row r="149" s="278" customFormat="1" ht="14.25" customHeight="1" spans="1:8">
      <c r="A149" s="290" t="s">
        <v>4272</v>
      </c>
      <c r="B149" s="295" t="s">
        <v>4312</v>
      </c>
      <c r="C149" s="295"/>
      <c r="D149" s="295"/>
      <c r="E149" s="295"/>
      <c r="F149" s="303">
        <v>1740</v>
      </c>
      <c r="H149" s="310"/>
    </row>
    <row r="150" s="278" customFormat="1" ht="14.25" customHeight="1" spans="1:8">
      <c r="A150" s="290" t="s">
        <v>4272</v>
      </c>
      <c r="B150" s="295" t="s">
        <v>4313</v>
      </c>
      <c r="C150" s="295"/>
      <c r="D150" s="295"/>
      <c r="E150" s="295"/>
      <c r="F150" s="303">
        <v>1610</v>
      </c>
      <c r="H150" s="310"/>
    </row>
    <row r="151" s="278" customFormat="1" ht="14.25" customHeight="1" spans="1:8">
      <c r="A151" s="290" t="s">
        <v>4272</v>
      </c>
      <c r="B151" s="295" t="s">
        <v>4314</v>
      </c>
      <c r="C151" s="295"/>
      <c r="D151" s="295"/>
      <c r="E151" s="295"/>
      <c r="F151" s="303">
        <v>1610</v>
      </c>
      <c r="H151" s="310"/>
    </row>
    <row r="152" s="278" customFormat="1" ht="14.25" customHeight="1" spans="1:8">
      <c r="A152" s="290" t="s">
        <v>4272</v>
      </c>
      <c r="B152" s="295" t="s">
        <v>4315</v>
      </c>
      <c r="C152" s="295"/>
      <c r="D152" s="295"/>
      <c r="E152" s="295"/>
      <c r="F152" s="303">
        <v>1610</v>
      </c>
      <c r="H152" s="310"/>
    </row>
    <row r="153" s="278" customFormat="1" ht="14.25" customHeight="1" spans="1:8">
      <c r="A153" s="290" t="s">
        <v>4272</v>
      </c>
      <c r="B153" s="295" t="s">
        <v>4316</v>
      </c>
      <c r="C153" s="295"/>
      <c r="D153" s="295"/>
      <c r="E153" s="295"/>
      <c r="F153" s="303">
        <v>1610</v>
      </c>
      <c r="H153" s="310"/>
    </row>
    <row r="154" s="278" customFormat="1" ht="14.25" customHeight="1" spans="1:8">
      <c r="A154" s="290" t="s">
        <v>4272</v>
      </c>
      <c r="B154" s="295" t="s">
        <v>4317</v>
      </c>
      <c r="C154" s="295"/>
      <c r="D154" s="295"/>
      <c r="E154" s="295"/>
      <c r="F154" s="303">
        <v>1610</v>
      </c>
      <c r="H154" s="310"/>
    </row>
    <row r="155" s="278" customFormat="1" ht="14.25" customHeight="1" spans="1:8">
      <c r="A155" s="290" t="s">
        <v>4272</v>
      </c>
      <c r="B155" s="295" t="s">
        <v>4318</v>
      </c>
      <c r="C155" s="295"/>
      <c r="D155" s="295"/>
      <c r="E155" s="295"/>
      <c r="F155" s="303">
        <v>1800</v>
      </c>
      <c r="H155" s="310"/>
    </row>
    <row r="156" s="278" customFormat="1" ht="14.25" customHeight="1" spans="1:8">
      <c r="A156" s="290" t="s">
        <v>4272</v>
      </c>
      <c r="B156" s="295" t="s">
        <v>4319</v>
      </c>
      <c r="C156" s="295"/>
      <c r="D156" s="295"/>
      <c r="E156" s="295"/>
      <c r="F156" s="303">
        <v>1910</v>
      </c>
      <c r="H156" s="310"/>
    </row>
    <row r="157" s="278" customFormat="1" ht="14.25" customHeight="1" spans="1:8">
      <c r="A157" s="290" t="s">
        <v>4272</v>
      </c>
      <c r="B157" s="301" t="s">
        <v>4320</v>
      </c>
      <c r="C157" s="301"/>
      <c r="D157" s="301"/>
      <c r="E157" s="301"/>
      <c r="F157" s="311">
        <v>1500</v>
      </c>
      <c r="H157" s="310"/>
    </row>
    <row r="158" s="278" customFormat="1" ht="14.25" customHeight="1" spans="1:8">
      <c r="A158" s="290" t="s">
        <v>4321</v>
      </c>
      <c r="B158" s="291" t="s">
        <v>4322</v>
      </c>
      <c r="C158" s="291">
        <v>8170</v>
      </c>
      <c r="D158" s="291">
        <v>8140</v>
      </c>
      <c r="E158" s="291">
        <v>8590</v>
      </c>
      <c r="F158" s="292">
        <v>1450</v>
      </c>
      <c r="H158" s="310"/>
    </row>
    <row r="159" s="278" customFormat="1" ht="14.25" customHeight="1" spans="1:8">
      <c r="A159" s="290" t="s">
        <v>4321</v>
      </c>
      <c r="B159" s="295" t="s">
        <v>4323</v>
      </c>
      <c r="C159" s="295">
        <v>7410</v>
      </c>
      <c r="D159" s="295">
        <v>7370</v>
      </c>
      <c r="E159" s="295">
        <v>8030</v>
      </c>
      <c r="F159" s="303">
        <v>1510</v>
      </c>
      <c r="H159" s="310"/>
    </row>
    <row r="160" s="278" customFormat="1" ht="14.25" customHeight="1" spans="1:8">
      <c r="A160" s="290" t="s">
        <v>4321</v>
      </c>
      <c r="B160" s="295" t="s">
        <v>4324</v>
      </c>
      <c r="C160" s="295">
        <v>7240</v>
      </c>
      <c r="D160" s="295">
        <v>7210</v>
      </c>
      <c r="E160" s="295">
        <v>7860</v>
      </c>
      <c r="F160" s="303">
        <v>1370</v>
      </c>
      <c r="H160" s="310"/>
    </row>
    <row r="161" s="278" customFormat="1" ht="14.25" customHeight="1" spans="1:8">
      <c r="A161" s="290" t="s">
        <v>4321</v>
      </c>
      <c r="B161" s="295" t="s">
        <v>4325</v>
      </c>
      <c r="C161" s="295">
        <v>7720</v>
      </c>
      <c r="D161" s="295">
        <v>7690</v>
      </c>
      <c r="E161" s="295">
        <v>8200</v>
      </c>
      <c r="F161" s="303">
        <v>1190</v>
      </c>
      <c r="H161" s="310"/>
    </row>
    <row r="162" s="278" customFormat="1" ht="14.25" customHeight="1" spans="1:8">
      <c r="A162" s="290" t="s">
        <v>4321</v>
      </c>
      <c r="B162" s="295" t="s">
        <v>4326</v>
      </c>
      <c r="C162" s="295">
        <v>6900</v>
      </c>
      <c r="D162" s="295">
        <v>6870</v>
      </c>
      <c r="E162" s="295">
        <v>7500</v>
      </c>
      <c r="F162" s="303">
        <v>1390</v>
      </c>
      <c r="H162" s="310"/>
    </row>
    <row r="163" s="278" customFormat="1" ht="14.25" customHeight="1" spans="1:8">
      <c r="A163" s="290" t="s">
        <v>4321</v>
      </c>
      <c r="B163" s="295" t="s">
        <v>4327</v>
      </c>
      <c r="C163" s="295">
        <v>7120</v>
      </c>
      <c r="D163" s="295">
        <v>7090</v>
      </c>
      <c r="E163" s="295">
        <v>7690</v>
      </c>
      <c r="F163" s="303">
        <v>1230</v>
      </c>
      <c r="H163" s="310"/>
    </row>
    <row r="164" s="278" customFormat="1" ht="14.25" customHeight="1" spans="1:8">
      <c r="A164" s="290" t="s">
        <v>4321</v>
      </c>
      <c r="B164" s="295" t="s">
        <v>4328</v>
      </c>
      <c r="C164" s="295">
        <v>6560</v>
      </c>
      <c r="D164" s="295">
        <v>6530</v>
      </c>
      <c r="E164" s="295">
        <v>7110</v>
      </c>
      <c r="F164" s="303">
        <v>1340</v>
      </c>
      <c r="H164" s="310"/>
    </row>
    <row r="165" s="278" customFormat="1" ht="14.25" customHeight="1" spans="1:8">
      <c r="A165" s="290" t="s">
        <v>4321</v>
      </c>
      <c r="B165" s="295" t="s">
        <v>4329</v>
      </c>
      <c r="C165" s="295">
        <v>7450</v>
      </c>
      <c r="D165" s="295">
        <v>7430</v>
      </c>
      <c r="E165" s="295">
        <v>8110</v>
      </c>
      <c r="F165" s="303">
        <v>1290</v>
      </c>
      <c r="H165" s="310"/>
    </row>
    <row r="166" s="278" customFormat="1" ht="14.25" customHeight="1" spans="1:8">
      <c r="A166" s="290" t="s">
        <v>4321</v>
      </c>
      <c r="B166" s="295" t="s">
        <v>4330</v>
      </c>
      <c r="C166" s="295">
        <v>7490</v>
      </c>
      <c r="D166" s="295">
        <v>7460</v>
      </c>
      <c r="E166" s="295">
        <v>8150</v>
      </c>
      <c r="F166" s="303">
        <v>1350</v>
      </c>
      <c r="H166" s="310"/>
    </row>
    <row r="167" s="278" customFormat="1" ht="14.25" customHeight="1" spans="1:8">
      <c r="A167" s="290" t="s">
        <v>4321</v>
      </c>
      <c r="B167" s="295" t="s">
        <v>4331</v>
      </c>
      <c r="C167" s="295">
        <v>7540</v>
      </c>
      <c r="D167" s="295">
        <v>7510</v>
      </c>
      <c r="E167" s="295">
        <v>8030</v>
      </c>
      <c r="F167" s="312"/>
      <c r="H167" s="310"/>
    </row>
    <row r="168" s="278" customFormat="1" ht="14.25" customHeight="1" spans="1:8">
      <c r="A168" s="290" t="s">
        <v>4321</v>
      </c>
      <c r="B168" s="295" t="s">
        <v>4332</v>
      </c>
      <c r="C168" s="295">
        <v>7210</v>
      </c>
      <c r="D168" s="295">
        <v>7180</v>
      </c>
      <c r="E168" s="295">
        <v>7830</v>
      </c>
      <c r="F168" s="312"/>
      <c r="H168" s="310"/>
    </row>
    <row r="169" s="278" customFormat="1" ht="14.25" customHeight="1" spans="1:8">
      <c r="A169" s="290" t="s">
        <v>4321</v>
      </c>
      <c r="B169" s="295" t="s">
        <v>4333</v>
      </c>
      <c r="C169" s="295">
        <v>7040</v>
      </c>
      <c r="D169" s="295">
        <v>7020</v>
      </c>
      <c r="E169" s="295">
        <v>7670</v>
      </c>
      <c r="F169" s="312"/>
      <c r="H169" s="310"/>
    </row>
    <row r="170" s="278" customFormat="1" ht="14.25" customHeight="1" spans="1:8">
      <c r="A170" s="290" t="s">
        <v>4321</v>
      </c>
      <c r="B170" s="295" t="s">
        <v>4334</v>
      </c>
      <c r="C170" s="295">
        <v>8040</v>
      </c>
      <c r="D170" s="295">
        <v>7190</v>
      </c>
      <c r="E170" s="295">
        <v>7850</v>
      </c>
      <c r="F170" s="312"/>
      <c r="H170" s="310"/>
    </row>
    <row r="171" s="278" customFormat="1" ht="14.25" customHeight="1" spans="1:8">
      <c r="A171" s="290" t="s">
        <v>4321</v>
      </c>
      <c r="B171" s="295" t="s">
        <v>4335</v>
      </c>
      <c r="C171" s="295">
        <v>7860</v>
      </c>
      <c r="D171" s="295">
        <v>7720</v>
      </c>
      <c r="E171" s="295">
        <v>8150</v>
      </c>
      <c r="F171" s="303">
        <v>1110</v>
      </c>
      <c r="H171" s="310"/>
    </row>
    <row r="172" s="278" customFormat="1" ht="14.25" customHeight="1" spans="1:8">
      <c r="A172" s="290" t="s">
        <v>4321</v>
      </c>
      <c r="B172" s="295" t="s">
        <v>4336</v>
      </c>
      <c r="C172" s="295">
        <v>7210</v>
      </c>
      <c r="D172" s="295">
        <v>7170</v>
      </c>
      <c r="E172" s="295">
        <v>7320</v>
      </c>
      <c r="F172" s="312"/>
      <c r="H172" s="310"/>
    </row>
    <row r="173" s="278" customFormat="1" ht="14.25" customHeight="1" spans="1:8">
      <c r="A173" s="290" t="s">
        <v>4321</v>
      </c>
      <c r="B173" s="295" t="s">
        <v>4337</v>
      </c>
      <c r="C173" s="295">
        <v>6860</v>
      </c>
      <c r="D173" s="295">
        <v>6810</v>
      </c>
      <c r="E173" s="295">
        <v>7440</v>
      </c>
      <c r="F173" s="312"/>
      <c r="H173" s="310"/>
    </row>
    <row r="174" s="278" customFormat="1" ht="14.25" customHeight="1" spans="1:8">
      <c r="A174" s="290" t="s">
        <v>4321</v>
      </c>
      <c r="B174" s="295" t="s">
        <v>4338</v>
      </c>
      <c r="C174" s="295">
        <v>7120</v>
      </c>
      <c r="D174" s="295">
        <v>7090</v>
      </c>
      <c r="E174" s="295">
        <v>7500</v>
      </c>
      <c r="F174" s="303">
        <v>1490</v>
      </c>
      <c r="H174" s="310"/>
    </row>
    <row r="175" s="278" customFormat="1" ht="14.25" customHeight="1" spans="1:8">
      <c r="A175" s="290" t="s">
        <v>4321</v>
      </c>
      <c r="B175" s="295" t="s">
        <v>4339</v>
      </c>
      <c r="C175" s="295">
        <v>7850</v>
      </c>
      <c r="D175" s="295">
        <v>7820</v>
      </c>
      <c r="E175" s="295">
        <v>8120</v>
      </c>
      <c r="F175" s="303">
        <v>1530</v>
      </c>
      <c r="H175" s="310"/>
    </row>
    <row r="176" s="278" customFormat="1" ht="14.25" customHeight="1" spans="1:8">
      <c r="A176" s="290" t="s">
        <v>4321</v>
      </c>
      <c r="B176" s="295" t="s">
        <v>4340</v>
      </c>
      <c r="C176" s="295">
        <v>7620</v>
      </c>
      <c r="D176" s="295">
        <v>7570</v>
      </c>
      <c r="E176" s="295">
        <v>7990</v>
      </c>
      <c r="F176" s="303">
        <v>1480</v>
      </c>
      <c r="H176" s="310"/>
    </row>
    <row r="177" s="278" customFormat="1" ht="14.25" customHeight="1" spans="1:8">
      <c r="A177" s="290" t="s">
        <v>4321</v>
      </c>
      <c r="B177" s="295" t="s">
        <v>4341</v>
      </c>
      <c r="C177" s="295">
        <v>8590</v>
      </c>
      <c r="D177" s="295">
        <v>8570</v>
      </c>
      <c r="E177" s="295">
        <v>8740</v>
      </c>
      <c r="F177" s="303">
        <v>1540</v>
      </c>
      <c r="H177" s="310"/>
    </row>
    <row r="178" s="278" customFormat="1" ht="14.25" customHeight="1" spans="1:8">
      <c r="A178" s="290" t="s">
        <v>4321</v>
      </c>
      <c r="B178" s="295" t="s">
        <v>4342</v>
      </c>
      <c r="C178" s="295">
        <v>7510</v>
      </c>
      <c r="D178" s="295">
        <v>7470</v>
      </c>
      <c r="E178" s="295">
        <v>8090</v>
      </c>
      <c r="F178" s="303">
        <v>1320</v>
      </c>
      <c r="H178" s="310"/>
    </row>
    <row r="179" s="278" customFormat="1" ht="14.25" customHeight="1" spans="1:8">
      <c r="A179" s="290" t="s">
        <v>4321</v>
      </c>
      <c r="B179" s="295" t="s">
        <v>4343</v>
      </c>
      <c r="C179" s="295">
        <v>6380</v>
      </c>
      <c r="D179" s="295">
        <v>6340</v>
      </c>
      <c r="E179" s="295">
        <v>6810</v>
      </c>
      <c r="F179" s="312"/>
      <c r="H179" s="310"/>
    </row>
    <row r="180" s="278" customFormat="1" ht="14.25" customHeight="1" spans="1:8">
      <c r="A180" s="290" t="s">
        <v>4321</v>
      </c>
      <c r="B180" s="295" t="s">
        <v>4344</v>
      </c>
      <c r="C180" s="295">
        <v>7830</v>
      </c>
      <c r="D180" s="295">
        <v>7800</v>
      </c>
      <c r="E180" s="295">
        <v>7780</v>
      </c>
      <c r="F180" s="303">
        <v>1440</v>
      </c>
      <c r="H180" s="310"/>
    </row>
    <row r="181" s="278" customFormat="1" ht="14.25" customHeight="1" spans="1:8">
      <c r="A181" s="290" t="s">
        <v>4321</v>
      </c>
      <c r="B181" s="295" t="s">
        <v>4345</v>
      </c>
      <c r="C181" s="295">
        <v>7110</v>
      </c>
      <c r="D181" s="295">
        <v>7080</v>
      </c>
      <c r="E181" s="295">
        <v>7730</v>
      </c>
      <c r="F181" s="303">
        <v>1350</v>
      </c>
      <c r="H181" s="310"/>
    </row>
    <row r="182" s="278" customFormat="1" ht="14.25" customHeight="1" spans="1:8">
      <c r="A182" s="290" t="s">
        <v>4321</v>
      </c>
      <c r="B182" s="295" t="s">
        <v>4346</v>
      </c>
      <c r="C182" s="295">
        <v>7310</v>
      </c>
      <c r="D182" s="295">
        <v>7280</v>
      </c>
      <c r="E182" s="295">
        <v>7950</v>
      </c>
      <c r="F182" s="303">
        <v>1220</v>
      </c>
      <c r="H182" s="310"/>
    </row>
    <row r="183" s="278" customFormat="1" ht="14.25" customHeight="1" spans="1:8">
      <c r="A183" s="290" t="s">
        <v>4321</v>
      </c>
      <c r="B183" s="295" t="s">
        <v>4347</v>
      </c>
      <c r="C183" s="295">
        <v>7470</v>
      </c>
      <c r="D183" s="295">
        <v>7440</v>
      </c>
      <c r="E183" s="295">
        <v>7880</v>
      </c>
      <c r="F183" s="312"/>
      <c r="H183" s="310"/>
    </row>
    <row r="184" s="278" customFormat="1" ht="14.25" customHeight="1" spans="1:8">
      <c r="A184" s="290" t="s">
        <v>4321</v>
      </c>
      <c r="B184" s="295" t="s">
        <v>4348</v>
      </c>
      <c r="C184" s="295">
        <v>6960</v>
      </c>
      <c r="D184" s="295">
        <v>6930</v>
      </c>
      <c r="E184" s="295">
        <v>7570</v>
      </c>
      <c r="F184" s="312"/>
      <c r="H184" s="310"/>
    </row>
    <row r="185" s="278" customFormat="1" ht="14.25" customHeight="1" spans="1:8">
      <c r="A185" s="290" t="s">
        <v>4321</v>
      </c>
      <c r="B185" s="295" t="s">
        <v>4349</v>
      </c>
      <c r="C185" s="295">
        <v>7260</v>
      </c>
      <c r="D185" s="295">
        <v>7230</v>
      </c>
      <c r="E185" s="295">
        <v>7710</v>
      </c>
      <c r="F185" s="303">
        <v>1360</v>
      </c>
      <c r="H185" s="310"/>
    </row>
    <row r="186" s="278" customFormat="1" ht="14.25" customHeight="1" spans="1:8">
      <c r="A186" s="290" t="s">
        <v>4321</v>
      </c>
      <c r="B186" s="295" t="s">
        <v>4350</v>
      </c>
      <c r="C186" s="295"/>
      <c r="D186" s="295"/>
      <c r="E186" s="295"/>
      <c r="F186" s="303">
        <v>1560</v>
      </c>
      <c r="H186" s="310"/>
    </row>
    <row r="187" s="278" customFormat="1" ht="14.25" customHeight="1" spans="1:8">
      <c r="A187" s="290" t="s">
        <v>4321</v>
      </c>
      <c r="B187" s="295" t="s">
        <v>4351</v>
      </c>
      <c r="C187" s="295"/>
      <c r="D187" s="295"/>
      <c r="E187" s="295"/>
      <c r="F187" s="303">
        <v>1560</v>
      </c>
      <c r="H187" s="310"/>
    </row>
    <row r="188" s="278" customFormat="1" ht="14.25" customHeight="1" spans="1:8">
      <c r="A188" s="290" t="s">
        <v>4321</v>
      </c>
      <c r="B188" s="295" t="s">
        <v>4352</v>
      </c>
      <c r="C188" s="295"/>
      <c r="D188" s="295"/>
      <c r="E188" s="295"/>
      <c r="F188" s="303">
        <v>1560</v>
      </c>
      <c r="H188" s="310"/>
    </row>
    <row r="189" s="278" customFormat="1" ht="14.25" customHeight="1" spans="1:8">
      <c r="A189" s="290" t="s">
        <v>4321</v>
      </c>
      <c r="B189" s="295" t="s">
        <v>4353</v>
      </c>
      <c r="C189" s="295"/>
      <c r="D189" s="295"/>
      <c r="E189" s="295"/>
      <c r="F189" s="303">
        <v>1320</v>
      </c>
      <c r="H189" s="310"/>
    </row>
    <row r="190" s="278" customFormat="1" ht="14.25" customHeight="1" spans="1:8">
      <c r="A190" s="290" t="s">
        <v>4321</v>
      </c>
      <c r="B190" s="295" t="s">
        <v>4354</v>
      </c>
      <c r="C190" s="295"/>
      <c r="D190" s="295"/>
      <c r="E190" s="295"/>
      <c r="F190" s="303">
        <v>1320</v>
      </c>
      <c r="H190" s="310"/>
    </row>
    <row r="191" s="278" customFormat="1" ht="14.25" customHeight="1" spans="1:8">
      <c r="A191" s="290" t="s">
        <v>4321</v>
      </c>
      <c r="B191" s="295" t="s">
        <v>4355</v>
      </c>
      <c r="C191" s="295"/>
      <c r="D191" s="295"/>
      <c r="E191" s="295"/>
      <c r="F191" s="303">
        <v>1320</v>
      </c>
      <c r="H191" s="310"/>
    </row>
    <row r="192" s="278" customFormat="1" ht="14.25" customHeight="1" spans="1:8">
      <c r="A192" s="290" t="s">
        <v>4321</v>
      </c>
      <c r="B192" s="295" t="s">
        <v>4356</v>
      </c>
      <c r="C192" s="295"/>
      <c r="D192" s="295"/>
      <c r="E192" s="295"/>
      <c r="F192" s="303">
        <v>1100</v>
      </c>
      <c r="H192" s="310"/>
    </row>
    <row r="193" s="278" customFormat="1" ht="14.25" customHeight="1" spans="1:8">
      <c r="A193" s="290" t="s">
        <v>4321</v>
      </c>
      <c r="B193" s="295" t="s">
        <v>4357</v>
      </c>
      <c r="C193" s="295"/>
      <c r="D193" s="295"/>
      <c r="E193" s="295"/>
      <c r="F193" s="303">
        <v>1100</v>
      </c>
      <c r="H193" s="310"/>
    </row>
    <row r="194" s="278" customFormat="1" ht="14.25" customHeight="1" spans="1:8">
      <c r="A194" s="290" t="s">
        <v>4321</v>
      </c>
      <c r="B194" s="295" t="s">
        <v>4358</v>
      </c>
      <c r="C194" s="295"/>
      <c r="D194" s="295"/>
      <c r="E194" s="295"/>
      <c r="F194" s="303">
        <v>1080</v>
      </c>
      <c r="H194" s="310"/>
    </row>
    <row r="195" s="278" customFormat="1" ht="14.25" customHeight="1" spans="1:8">
      <c r="A195" s="290" t="s">
        <v>4321</v>
      </c>
      <c r="B195" s="295" t="s">
        <v>4359</v>
      </c>
      <c r="C195" s="295"/>
      <c r="D195" s="295"/>
      <c r="E195" s="295"/>
      <c r="F195" s="303">
        <v>1270</v>
      </c>
      <c r="H195" s="310"/>
    </row>
    <row r="196" s="278" customFormat="1" ht="14.25" customHeight="1" spans="1:8">
      <c r="A196" s="290" t="s">
        <v>4321</v>
      </c>
      <c r="B196" s="295" t="s">
        <v>4360</v>
      </c>
      <c r="C196" s="295"/>
      <c r="D196" s="295"/>
      <c r="E196" s="295"/>
      <c r="F196" s="303">
        <v>1150</v>
      </c>
      <c r="H196" s="310"/>
    </row>
    <row r="197" s="278" customFormat="1" ht="14.25" customHeight="1" spans="1:8">
      <c r="A197" s="290" t="s">
        <v>4321</v>
      </c>
      <c r="B197" s="295" t="s">
        <v>4361</v>
      </c>
      <c r="C197" s="295"/>
      <c r="D197" s="295"/>
      <c r="E197" s="295"/>
      <c r="F197" s="303">
        <v>1330</v>
      </c>
      <c r="H197" s="310"/>
    </row>
    <row r="198" s="278" customFormat="1" ht="14.25" customHeight="1" spans="1:8">
      <c r="A198" s="290" t="s">
        <v>4321</v>
      </c>
      <c r="B198" s="295" t="s">
        <v>4362</v>
      </c>
      <c r="C198" s="295"/>
      <c r="D198" s="295"/>
      <c r="E198" s="295"/>
      <c r="F198" s="303">
        <v>1170</v>
      </c>
      <c r="H198" s="310"/>
    </row>
    <row r="199" s="278" customFormat="1" ht="14.25" customHeight="1" spans="1:8">
      <c r="A199" s="290" t="s">
        <v>4321</v>
      </c>
      <c r="B199" s="295" t="s">
        <v>4363</v>
      </c>
      <c r="C199" s="295"/>
      <c r="D199" s="295"/>
      <c r="E199" s="295"/>
      <c r="F199" s="303">
        <v>1120</v>
      </c>
      <c r="H199" s="310"/>
    </row>
    <row r="200" s="278" customFormat="1" ht="14.25" customHeight="1" spans="1:8">
      <c r="A200" s="290" t="s">
        <v>4321</v>
      </c>
      <c r="B200" s="295" t="s">
        <v>4364</v>
      </c>
      <c r="C200" s="295"/>
      <c r="D200" s="295"/>
      <c r="E200" s="295"/>
      <c r="F200" s="303">
        <v>1120</v>
      </c>
      <c r="H200" s="310"/>
    </row>
    <row r="201" s="278" customFormat="1" ht="14.25" customHeight="1" spans="1:8">
      <c r="A201" s="290" t="s">
        <v>4321</v>
      </c>
      <c r="B201" s="295" t="s">
        <v>4365</v>
      </c>
      <c r="C201" s="295"/>
      <c r="D201" s="295"/>
      <c r="E201" s="295"/>
      <c r="F201" s="303">
        <v>1540</v>
      </c>
      <c r="H201" s="310"/>
    </row>
    <row r="202" s="278" customFormat="1" ht="14.25" customHeight="1" spans="1:8">
      <c r="A202" s="290" t="s">
        <v>4321</v>
      </c>
      <c r="B202" s="295" t="s">
        <v>4366</v>
      </c>
      <c r="C202" s="295"/>
      <c r="D202" s="295"/>
      <c r="E202" s="295"/>
      <c r="F202" s="303">
        <v>1310</v>
      </c>
      <c r="H202" s="310"/>
    </row>
    <row r="203" s="278" customFormat="1" ht="14.25" customHeight="1" spans="1:8">
      <c r="A203" s="290" t="s">
        <v>4321</v>
      </c>
      <c r="B203" s="295" t="s">
        <v>4367</v>
      </c>
      <c r="C203" s="295"/>
      <c r="D203" s="295"/>
      <c r="E203" s="295"/>
      <c r="F203" s="303">
        <v>1310</v>
      </c>
      <c r="H203" s="310"/>
    </row>
    <row r="204" s="278" customFormat="1" ht="14.25" customHeight="1" spans="1:8">
      <c r="A204" s="290" t="s">
        <v>4321</v>
      </c>
      <c r="B204" s="295" t="s">
        <v>4368</v>
      </c>
      <c r="C204" s="295"/>
      <c r="D204" s="295"/>
      <c r="E204" s="295"/>
      <c r="F204" s="303">
        <v>1080</v>
      </c>
      <c r="H204" s="310"/>
    </row>
    <row r="205" s="278" customFormat="1" ht="14.25" customHeight="1" spans="1:8">
      <c r="A205" s="290" t="s">
        <v>4321</v>
      </c>
      <c r="B205" s="295" t="s">
        <v>4369</v>
      </c>
      <c r="C205" s="295"/>
      <c r="D205" s="295"/>
      <c r="E205" s="295"/>
      <c r="F205" s="303">
        <v>1080</v>
      </c>
      <c r="H205" s="310"/>
    </row>
    <row r="206" s="278" customFormat="1" ht="14.25" customHeight="1" spans="1:8">
      <c r="A206" s="290" t="s">
        <v>4370</v>
      </c>
      <c r="B206" s="291" t="s">
        <v>4371</v>
      </c>
      <c r="C206" s="291">
        <v>5450</v>
      </c>
      <c r="D206" s="291">
        <v>5430</v>
      </c>
      <c r="E206" s="291">
        <v>5700</v>
      </c>
      <c r="F206" s="292">
        <v>1020</v>
      </c>
      <c r="H206" s="310"/>
    </row>
    <row r="207" s="278" customFormat="1" ht="14.25" customHeight="1" spans="1:8">
      <c r="A207" s="290" t="s">
        <v>4370</v>
      </c>
      <c r="B207" s="295" t="s">
        <v>4372</v>
      </c>
      <c r="C207" s="295">
        <v>5860</v>
      </c>
      <c r="D207" s="295">
        <v>5820</v>
      </c>
      <c r="E207" s="295">
        <v>6050</v>
      </c>
      <c r="F207" s="303">
        <v>1080</v>
      </c>
      <c r="H207" s="310"/>
    </row>
    <row r="208" s="278" customFormat="1" ht="14.25" customHeight="1" spans="1:8">
      <c r="A208" s="290" t="s">
        <v>4370</v>
      </c>
      <c r="B208" s="295" t="s">
        <v>4373</v>
      </c>
      <c r="C208" s="295">
        <v>4630</v>
      </c>
      <c r="D208" s="295">
        <v>4600</v>
      </c>
      <c r="E208" s="295">
        <v>4840</v>
      </c>
      <c r="F208" s="303">
        <v>900</v>
      </c>
      <c r="H208" s="310"/>
    </row>
    <row r="209" s="278" customFormat="1" ht="14.25" customHeight="1" spans="1:8">
      <c r="A209" s="290" t="s">
        <v>4370</v>
      </c>
      <c r="B209" s="295" t="s">
        <v>4374</v>
      </c>
      <c r="C209" s="295">
        <v>5320</v>
      </c>
      <c r="D209" s="295">
        <v>5270</v>
      </c>
      <c r="E209" s="295">
        <v>5540</v>
      </c>
      <c r="F209" s="303">
        <v>980</v>
      </c>
      <c r="H209" s="310"/>
    </row>
    <row r="210" s="278" customFormat="1" ht="14.25" customHeight="1" spans="1:8">
      <c r="A210" s="290" t="s">
        <v>4370</v>
      </c>
      <c r="B210" s="295" t="s">
        <v>4375</v>
      </c>
      <c r="C210" s="295">
        <v>5760</v>
      </c>
      <c r="D210" s="295">
        <v>5710</v>
      </c>
      <c r="E210" s="295">
        <v>6010</v>
      </c>
      <c r="F210" s="303">
        <v>870</v>
      </c>
      <c r="H210" s="310"/>
    </row>
    <row r="211" s="278" customFormat="1" ht="14.25" customHeight="1" spans="1:8">
      <c r="A211" s="290" t="s">
        <v>4370</v>
      </c>
      <c r="B211" s="295" t="s">
        <v>4376</v>
      </c>
      <c r="C211" s="295">
        <v>4160</v>
      </c>
      <c r="D211" s="295">
        <v>4100</v>
      </c>
      <c r="E211" s="295">
        <v>4270</v>
      </c>
      <c r="F211" s="303">
        <v>790</v>
      </c>
      <c r="H211" s="310"/>
    </row>
    <row r="212" s="278" customFormat="1" ht="14.25" customHeight="1" spans="1:8">
      <c r="A212" s="290" t="s">
        <v>4370</v>
      </c>
      <c r="B212" s="295" t="s">
        <v>4377</v>
      </c>
      <c r="C212" s="295">
        <v>4880</v>
      </c>
      <c r="D212" s="295">
        <v>4850</v>
      </c>
      <c r="E212" s="295">
        <v>5110</v>
      </c>
      <c r="F212" s="303">
        <v>940</v>
      </c>
      <c r="H212" s="310"/>
    </row>
    <row r="213" s="278" customFormat="1" ht="14.25" customHeight="1" spans="1:8">
      <c r="A213" s="290" t="s">
        <v>4370</v>
      </c>
      <c r="B213" s="295" t="s">
        <v>4378</v>
      </c>
      <c r="C213" s="295">
        <v>4640</v>
      </c>
      <c r="D213" s="295">
        <v>4590</v>
      </c>
      <c r="E213" s="295">
        <v>4700</v>
      </c>
      <c r="F213" s="303">
        <v>1030</v>
      </c>
      <c r="H213" s="310"/>
    </row>
    <row r="214" s="278" customFormat="1" ht="14.25" customHeight="1" spans="1:8">
      <c r="A214" s="290" t="s">
        <v>4370</v>
      </c>
      <c r="B214" s="295" t="s">
        <v>4379</v>
      </c>
      <c r="C214" s="295">
        <v>4540</v>
      </c>
      <c r="D214" s="295">
        <v>4490</v>
      </c>
      <c r="E214" s="295">
        <v>4610</v>
      </c>
      <c r="F214" s="312"/>
      <c r="H214" s="310"/>
    </row>
    <row r="215" s="278" customFormat="1" ht="14.25" customHeight="1" spans="1:8">
      <c r="A215" s="290" t="s">
        <v>4370</v>
      </c>
      <c r="B215" s="295" t="s">
        <v>4380</v>
      </c>
      <c r="C215" s="295">
        <v>5280</v>
      </c>
      <c r="D215" s="295">
        <v>5250</v>
      </c>
      <c r="E215" s="295">
        <v>5520</v>
      </c>
      <c r="F215" s="303">
        <v>1000</v>
      </c>
      <c r="H215" s="310"/>
    </row>
    <row r="216" s="278" customFormat="1" ht="14.25" customHeight="1" spans="1:8">
      <c r="A216" s="290" t="s">
        <v>4370</v>
      </c>
      <c r="B216" s="295" t="s">
        <v>4381</v>
      </c>
      <c r="C216" s="295">
        <v>5100</v>
      </c>
      <c r="D216" s="295">
        <v>5050</v>
      </c>
      <c r="E216" s="295">
        <v>5300</v>
      </c>
      <c r="F216" s="303">
        <v>950</v>
      </c>
      <c r="H216" s="310"/>
    </row>
    <row r="217" s="278" customFormat="1" ht="14.25" customHeight="1" spans="1:8">
      <c r="A217" s="290" t="s">
        <v>4370</v>
      </c>
      <c r="B217" s="295" t="s">
        <v>4382</v>
      </c>
      <c r="C217" s="295">
        <v>5370</v>
      </c>
      <c r="D217" s="295">
        <v>5320</v>
      </c>
      <c r="E217" s="295">
        <v>5410</v>
      </c>
      <c r="F217" s="303">
        <v>950</v>
      </c>
      <c r="H217" s="310"/>
    </row>
    <row r="218" s="278" customFormat="1" ht="14.25" customHeight="1" spans="1:8">
      <c r="A218" s="290" t="s">
        <v>4370</v>
      </c>
      <c r="B218" s="295" t="s">
        <v>4383</v>
      </c>
      <c r="C218" s="295">
        <v>5540</v>
      </c>
      <c r="D218" s="295">
        <v>5480</v>
      </c>
      <c r="E218" s="295">
        <v>5740</v>
      </c>
      <c r="F218" s="303">
        <v>1020</v>
      </c>
      <c r="H218" s="310"/>
    </row>
    <row r="219" s="278" customFormat="1" ht="14.25" customHeight="1" spans="1:8">
      <c r="A219" s="290" t="s">
        <v>4370</v>
      </c>
      <c r="B219" s="295" t="s">
        <v>4384</v>
      </c>
      <c r="C219" s="295">
        <v>5140</v>
      </c>
      <c r="D219" s="295">
        <v>5100</v>
      </c>
      <c r="E219" s="295">
        <v>5350</v>
      </c>
      <c r="F219" s="303">
        <v>1120</v>
      </c>
      <c r="H219" s="310"/>
    </row>
    <row r="220" s="278" customFormat="1" ht="14.25" customHeight="1" spans="1:8">
      <c r="A220" s="290" t="s">
        <v>4370</v>
      </c>
      <c r="B220" s="295" t="s">
        <v>4385</v>
      </c>
      <c r="C220" s="295">
        <v>5040</v>
      </c>
      <c r="D220" s="295">
        <v>5000</v>
      </c>
      <c r="E220" s="295">
        <v>5240</v>
      </c>
      <c r="F220" s="303">
        <v>980</v>
      </c>
      <c r="H220" s="310"/>
    </row>
    <row r="221" s="278" customFormat="1" ht="14.25" customHeight="1" spans="1:8">
      <c r="A221" s="290" t="s">
        <v>4370</v>
      </c>
      <c r="B221" s="295" t="s">
        <v>4386</v>
      </c>
      <c r="C221" s="315"/>
      <c r="D221" s="315"/>
      <c r="E221" s="315"/>
      <c r="F221" s="303">
        <v>1070</v>
      </c>
      <c r="H221" s="310"/>
    </row>
    <row r="222" s="278" customFormat="1" ht="14.25" customHeight="1" spans="1:8">
      <c r="A222" s="290" t="s">
        <v>4370</v>
      </c>
      <c r="B222" s="295" t="s">
        <v>4387</v>
      </c>
      <c r="C222" s="315"/>
      <c r="D222" s="315"/>
      <c r="E222" s="315"/>
      <c r="F222" s="303">
        <v>870</v>
      </c>
      <c r="H222" s="310"/>
    </row>
    <row r="223" s="278" customFormat="1" ht="14.25" customHeight="1" spans="1:8">
      <c r="A223" s="290" t="s">
        <v>4370</v>
      </c>
      <c r="B223" s="295" t="s">
        <v>4388</v>
      </c>
      <c r="C223" s="315"/>
      <c r="D223" s="315"/>
      <c r="E223" s="315"/>
      <c r="F223" s="303">
        <v>940</v>
      </c>
      <c r="H223" s="310"/>
    </row>
    <row r="224" s="278" customFormat="1" ht="14.25" customHeight="1" spans="1:8">
      <c r="A224" s="290" t="s">
        <v>4370</v>
      </c>
      <c r="B224" s="295" t="s">
        <v>4389</v>
      </c>
      <c r="C224" s="315"/>
      <c r="D224" s="315"/>
      <c r="E224" s="315"/>
      <c r="F224" s="303">
        <v>990</v>
      </c>
      <c r="H224" s="310"/>
    </row>
    <row r="225" s="278" customFormat="1" ht="14.25" customHeight="1" spans="1:8">
      <c r="A225" s="290" t="s">
        <v>4370</v>
      </c>
      <c r="B225" s="295" t="s">
        <v>4390</v>
      </c>
      <c r="C225" s="295">
        <v>5730</v>
      </c>
      <c r="D225" s="295">
        <v>5680</v>
      </c>
      <c r="E225" s="295">
        <v>6020</v>
      </c>
      <c r="F225" s="303">
        <v>1000</v>
      </c>
      <c r="H225" s="310"/>
    </row>
    <row r="226" s="278" customFormat="1" ht="14.25" customHeight="1" spans="1:8">
      <c r="A226" s="290" t="s">
        <v>4370</v>
      </c>
      <c r="B226" s="295" t="s">
        <v>4391</v>
      </c>
      <c r="C226" s="295">
        <v>4970</v>
      </c>
      <c r="D226" s="295">
        <v>4940</v>
      </c>
      <c r="E226" s="295">
        <v>5180</v>
      </c>
      <c r="F226" s="303">
        <v>960</v>
      </c>
      <c r="H226" s="310"/>
    </row>
    <row r="227" s="278" customFormat="1" ht="14.25" customHeight="1" spans="1:8">
      <c r="A227" s="290" t="s">
        <v>4370</v>
      </c>
      <c r="B227" s="295" t="s">
        <v>4392</v>
      </c>
      <c r="C227" s="295">
        <v>5550</v>
      </c>
      <c r="D227" s="295">
        <v>5500</v>
      </c>
      <c r="E227" s="295">
        <v>5780</v>
      </c>
      <c r="F227" s="303">
        <v>940</v>
      </c>
      <c r="H227" s="310"/>
    </row>
    <row r="228" s="278" customFormat="1" ht="14.25" customHeight="1" spans="1:8">
      <c r="A228" s="290" t="s">
        <v>4370</v>
      </c>
      <c r="B228" s="295" t="s">
        <v>4393</v>
      </c>
      <c r="C228" s="295">
        <v>5460</v>
      </c>
      <c r="D228" s="295">
        <v>5420</v>
      </c>
      <c r="E228" s="295">
        <v>5690</v>
      </c>
      <c r="F228" s="303">
        <v>910</v>
      </c>
      <c r="H228" s="310"/>
    </row>
    <row r="229" s="278" customFormat="1" ht="14.25" customHeight="1" spans="1:8">
      <c r="A229" s="290" t="s">
        <v>4370</v>
      </c>
      <c r="B229" s="295" t="s">
        <v>4394</v>
      </c>
      <c r="C229" s="295">
        <v>5310</v>
      </c>
      <c r="D229" s="295">
        <v>5270</v>
      </c>
      <c r="E229" s="295">
        <v>5510</v>
      </c>
      <c r="F229" s="312"/>
      <c r="H229" s="310"/>
    </row>
    <row r="230" s="278" customFormat="1" ht="14.25" customHeight="1" spans="1:8">
      <c r="A230" s="290" t="s">
        <v>4370</v>
      </c>
      <c r="B230" s="295" t="s">
        <v>4395</v>
      </c>
      <c r="C230" s="295">
        <v>4540</v>
      </c>
      <c r="D230" s="295">
        <v>4500</v>
      </c>
      <c r="E230" s="295">
        <v>4730</v>
      </c>
      <c r="F230" s="312"/>
      <c r="H230" s="310"/>
    </row>
    <row r="231" s="278" customFormat="1" ht="14.25" customHeight="1" spans="1:8">
      <c r="A231" s="290" t="s">
        <v>4370</v>
      </c>
      <c r="B231" s="295" t="s">
        <v>4396</v>
      </c>
      <c r="C231" s="295">
        <v>4480</v>
      </c>
      <c r="D231" s="295">
        <v>4410</v>
      </c>
      <c r="E231" s="295">
        <v>4640</v>
      </c>
      <c r="F231" s="312"/>
      <c r="H231" s="310"/>
    </row>
    <row r="232" s="278" customFormat="1" ht="14.25" customHeight="1" spans="1:8">
      <c r="A232" s="290" t="s">
        <v>4370</v>
      </c>
      <c r="B232" s="295" t="s">
        <v>4397</v>
      </c>
      <c r="C232" s="295">
        <v>5670</v>
      </c>
      <c r="D232" s="295">
        <v>5600</v>
      </c>
      <c r="E232" s="295">
        <v>5890</v>
      </c>
      <c r="F232" s="303">
        <v>1150</v>
      </c>
      <c r="H232" s="310"/>
    </row>
    <row r="233" s="278" customFormat="1" ht="14.25" customHeight="1" spans="1:8">
      <c r="A233" s="290" t="s">
        <v>4370</v>
      </c>
      <c r="B233" s="295" t="s">
        <v>4398</v>
      </c>
      <c r="C233" s="295">
        <v>4590</v>
      </c>
      <c r="D233" s="295">
        <v>4500</v>
      </c>
      <c r="E233" s="295">
        <v>4600</v>
      </c>
      <c r="F233" s="312"/>
      <c r="H233" s="310"/>
    </row>
    <row r="234" s="278" customFormat="1" ht="14.25" customHeight="1" spans="1:8">
      <c r="A234" s="290" t="s">
        <v>4370</v>
      </c>
      <c r="B234" s="295" t="s">
        <v>4551</v>
      </c>
      <c r="C234" s="295">
        <v>3990</v>
      </c>
      <c r="D234" s="295">
        <v>3950</v>
      </c>
      <c r="E234" s="295">
        <v>4180</v>
      </c>
      <c r="F234" s="312"/>
      <c r="H234" s="310"/>
    </row>
    <row r="235" s="278" customFormat="1" ht="14.25" customHeight="1" spans="1:8">
      <c r="A235" s="290" t="s">
        <v>4370</v>
      </c>
      <c r="B235" s="295" t="s">
        <v>4400</v>
      </c>
      <c r="C235" s="295">
        <v>5590</v>
      </c>
      <c r="D235" s="295">
        <v>5540</v>
      </c>
      <c r="E235" s="295">
        <v>5810</v>
      </c>
      <c r="F235" s="303">
        <v>970</v>
      </c>
      <c r="H235" s="310"/>
    </row>
    <row r="236" s="278" customFormat="1" ht="14.25" customHeight="1" spans="1:8">
      <c r="A236" s="290" t="s">
        <v>4370</v>
      </c>
      <c r="B236" s="295" t="s">
        <v>4401</v>
      </c>
      <c r="C236" s="295"/>
      <c r="D236" s="295"/>
      <c r="E236" s="295"/>
      <c r="F236" s="303">
        <v>1020</v>
      </c>
      <c r="H236" s="310"/>
    </row>
    <row r="237" s="278" customFormat="1" ht="14.25" customHeight="1" spans="1:8">
      <c r="A237" s="290" t="s">
        <v>4370</v>
      </c>
      <c r="B237" s="295" t="s">
        <v>4402</v>
      </c>
      <c r="C237" s="295"/>
      <c r="D237" s="295"/>
      <c r="E237" s="295"/>
      <c r="F237" s="303">
        <v>960</v>
      </c>
      <c r="H237" s="310"/>
    </row>
    <row r="238" s="278" customFormat="1" ht="14.25" customHeight="1" spans="1:8">
      <c r="A238" s="290" t="s">
        <v>4370</v>
      </c>
      <c r="B238" s="295" t="s">
        <v>4403</v>
      </c>
      <c r="C238" s="295"/>
      <c r="D238" s="295"/>
      <c r="E238" s="295"/>
      <c r="F238" s="303">
        <v>960</v>
      </c>
      <c r="H238" s="310"/>
    </row>
    <row r="239" s="278" customFormat="1" ht="14.25" customHeight="1" spans="1:8">
      <c r="A239" s="290" t="s">
        <v>4370</v>
      </c>
      <c r="B239" s="295" t="s">
        <v>4404</v>
      </c>
      <c r="C239" s="295"/>
      <c r="D239" s="295"/>
      <c r="E239" s="295"/>
      <c r="F239" s="303">
        <v>960</v>
      </c>
      <c r="H239" s="310"/>
    </row>
    <row r="240" s="278" customFormat="1" ht="14.25" customHeight="1" spans="1:8">
      <c r="A240" s="290" t="s">
        <v>4370</v>
      </c>
      <c r="B240" s="295" t="s">
        <v>4405</v>
      </c>
      <c r="C240" s="295"/>
      <c r="D240" s="295"/>
      <c r="E240" s="295"/>
      <c r="F240" s="303">
        <v>990</v>
      </c>
      <c r="H240" s="310"/>
    </row>
    <row r="241" s="278" customFormat="1" ht="14.25" customHeight="1" spans="1:8">
      <c r="A241" s="290" t="s">
        <v>4370</v>
      </c>
      <c r="B241" s="295" t="s">
        <v>4406</v>
      </c>
      <c r="C241" s="295"/>
      <c r="D241" s="295"/>
      <c r="E241" s="295"/>
      <c r="F241" s="303">
        <v>1000</v>
      </c>
      <c r="H241" s="310"/>
    </row>
    <row r="242" s="278" customFormat="1" ht="14.25" customHeight="1" spans="1:8">
      <c r="A242" s="290" t="s">
        <v>4370</v>
      </c>
      <c r="B242" s="295" t="s">
        <v>4407</v>
      </c>
      <c r="C242" s="295"/>
      <c r="D242" s="295"/>
      <c r="E242" s="295"/>
      <c r="F242" s="303">
        <v>980</v>
      </c>
      <c r="H242" s="310"/>
    </row>
    <row r="243" s="278" customFormat="1" ht="14.25" customHeight="1" spans="1:8">
      <c r="A243" s="290" t="s">
        <v>4370</v>
      </c>
      <c r="B243" s="295" t="s">
        <v>4408</v>
      </c>
      <c r="C243" s="295"/>
      <c r="D243" s="295"/>
      <c r="E243" s="295"/>
      <c r="F243" s="303">
        <v>970</v>
      </c>
      <c r="H243" s="310"/>
    </row>
    <row r="244" s="278" customFormat="1" ht="14.25" customHeight="1" spans="1:8">
      <c r="A244" s="290" t="s">
        <v>4370</v>
      </c>
      <c r="B244" s="301" t="s">
        <v>4409</v>
      </c>
      <c r="C244" s="301"/>
      <c r="D244" s="301"/>
      <c r="E244" s="301"/>
      <c r="F244" s="311">
        <v>970</v>
      </c>
      <c r="H244" s="310"/>
    </row>
    <row r="245" s="278" customFormat="1" ht="14.25" customHeight="1" spans="1:8">
      <c r="A245" s="290" t="s">
        <v>4410</v>
      </c>
      <c r="B245" s="291" t="s">
        <v>4411</v>
      </c>
      <c r="C245" s="291">
        <v>4050</v>
      </c>
      <c r="D245" s="291">
        <v>4020</v>
      </c>
      <c r="E245" s="291">
        <v>4160</v>
      </c>
      <c r="F245" s="292">
        <v>840</v>
      </c>
      <c r="H245" s="310"/>
    </row>
    <row r="246" s="278" customFormat="1" ht="14.25" customHeight="1" spans="1:8">
      <c r="A246" s="290" t="s">
        <v>4410</v>
      </c>
      <c r="B246" s="295" t="s">
        <v>4412</v>
      </c>
      <c r="C246" s="295">
        <v>4010</v>
      </c>
      <c r="D246" s="295">
        <v>3960</v>
      </c>
      <c r="E246" s="295">
        <v>4130</v>
      </c>
      <c r="F246" s="303">
        <v>840</v>
      </c>
      <c r="H246" s="310"/>
    </row>
    <row r="247" s="278" customFormat="1" ht="14.25" customHeight="1" spans="1:8">
      <c r="A247" s="290" t="s">
        <v>4410</v>
      </c>
      <c r="B247" s="295" t="s">
        <v>4413</v>
      </c>
      <c r="C247" s="295">
        <v>3170</v>
      </c>
      <c r="D247" s="295">
        <v>3140</v>
      </c>
      <c r="E247" s="295">
        <v>3270</v>
      </c>
      <c r="F247" s="303">
        <v>640</v>
      </c>
      <c r="H247" s="310"/>
    </row>
    <row r="248" s="278" customFormat="1" ht="14.25" customHeight="1" spans="1:8">
      <c r="A248" s="290" t="s">
        <v>4410</v>
      </c>
      <c r="B248" s="295" t="s">
        <v>4414</v>
      </c>
      <c r="C248" s="295">
        <v>3140</v>
      </c>
      <c r="D248" s="295">
        <v>3120</v>
      </c>
      <c r="E248" s="295">
        <v>3240</v>
      </c>
      <c r="F248" s="303">
        <v>620</v>
      </c>
      <c r="H248" s="310"/>
    </row>
    <row r="249" s="278" customFormat="1" ht="14.25" customHeight="1" spans="1:8">
      <c r="A249" s="290" t="s">
        <v>4410</v>
      </c>
      <c r="B249" s="295" t="s">
        <v>4415</v>
      </c>
      <c r="C249" s="295">
        <v>3200</v>
      </c>
      <c r="D249" s="295">
        <v>3100</v>
      </c>
      <c r="E249" s="295">
        <v>3230</v>
      </c>
      <c r="F249" s="303">
        <v>750</v>
      </c>
      <c r="H249" s="310"/>
    </row>
    <row r="250" s="278" customFormat="1" ht="14.25" customHeight="1" spans="1:8">
      <c r="A250" s="290" t="s">
        <v>4410</v>
      </c>
      <c r="B250" s="295" t="s">
        <v>4416</v>
      </c>
      <c r="C250" s="295">
        <v>4060</v>
      </c>
      <c r="D250" s="295">
        <v>4000</v>
      </c>
      <c r="E250" s="295">
        <v>4140</v>
      </c>
      <c r="F250" s="303">
        <v>790</v>
      </c>
      <c r="H250" s="310"/>
    </row>
    <row r="251" s="278" customFormat="1" ht="14.25" customHeight="1" spans="1:8">
      <c r="A251" s="290" t="s">
        <v>4410</v>
      </c>
      <c r="B251" s="295" t="s">
        <v>4417</v>
      </c>
      <c r="C251" s="295">
        <v>3990</v>
      </c>
      <c r="D251" s="295">
        <v>3970</v>
      </c>
      <c r="E251" s="295">
        <v>4110</v>
      </c>
      <c r="F251" s="303">
        <v>730</v>
      </c>
      <c r="H251" s="310"/>
    </row>
    <row r="252" s="278" customFormat="1" ht="14.25" customHeight="1" spans="1:8">
      <c r="A252" s="290" t="s">
        <v>4410</v>
      </c>
      <c r="B252" s="295" t="s">
        <v>4418</v>
      </c>
      <c r="C252" s="295">
        <v>3560</v>
      </c>
      <c r="D252" s="295">
        <v>3530</v>
      </c>
      <c r="E252" s="295">
        <v>3650</v>
      </c>
      <c r="F252" s="303">
        <v>750</v>
      </c>
      <c r="H252" s="310"/>
    </row>
    <row r="253" s="278" customFormat="1" ht="14.25" customHeight="1" spans="1:8">
      <c r="A253" s="290" t="s">
        <v>4410</v>
      </c>
      <c r="B253" s="295" t="s">
        <v>4419</v>
      </c>
      <c r="C253" s="295">
        <v>3780</v>
      </c>
      <c r="D253" s="295">
        <v>3750</v>
      </c>
      <c r="E253" s="295">
        <v>3870</v>
      </c>
      <c r="F253" s="303">
        <v>770</v>
      </c>
      <c r="H253" s="310"/>
    </row>
    <row r="254" s="278" customFormat="1" ht="14.25" customHeight="1" spans="1:8">
      <c r="A254" s="290" t="s">
        <v>4410</v>
      </c>
      <c r="B254" s="295" t="s">
        <v>4420</v>
      </c>
      <c r="C254" s="315"/>
      <c r="D254" s="315"/>
      <c r="E254" s="315"/>
      <c r="F254" s="303">
        <v>740</v>
      </c>
      <c r="H254" s="310"/>
    </row>
    <row r="255" s="278" customFormat="1" ht="14.25" customHeight="1" spans="1:8">
      <c r="A255" s="290" t="s">
        <v>4410</v>
      </c>
      <c r="B255" s="295" t="s">
        <v>4421</v>
      </c>
      <c r="C255" s="315"/>
      <c r="D255" s="315"/>
      <c r="E255" s="315"/>
      <c r="F255" s="303">
        <v>760</v>
      </c>
      <c r="H255" s="310"/>
    </row>
    <row r="256" s="278" customFormat="1" ht="14.25" customHeight="1" spans="1:8">
      <c r="A256" s="290" t="s">
        <v>4410</v>
      </c>
      <c r="B256" s="295" t="s">
        <v>4422</v>
      </c>
      <c r="C256" s="295">
        <v>3760</v>
      </c>
      <c r="D256" s="295">
        <v>3730</v>
      </c>
      <c r="E256" s="295">
        <v>3870</v>
      </c>
      <c r="F256" s="303">
        <v>830</v>
      </c>
      <c r="H256" s="310"/>
    </row>
    <row r="257" s="278" customFormat="1" ht="14.25" customHeight="1" spans="1:8">
      <c r="A257" s="290" t="s">
        <v>4410</v>
      </c>
      <c r="B257" s="295" t="s">
        <v>4423</v>
      </c>
      <c r="C257" s="295">
        <v>3570</v>
      </c>
      <c r="D257" s="295">
        <v>3540</v>
      </c>
      <c r="E257" s="295">
        <v>3650</v>
      </c>
      <c r="F257" s="303">
        <v>790</v>
      </c>
      <c r="H257" s="310"/>
    </row>
    <row r="258" s="278" customFormat="1" ht="14.25" customHeight="1" spans="1:8">
      <c r="A258" s="290" t="s">
        <v>4410</v>
      </c>
      <c r="B258" s="295" t="s">
        <v>4424</v>
      </c>
      <c r="C258" s="295">
        <v>3410</v>
      </c>
      <c r="D258" s="295">
        <v>3380</v>
      </c>
      <c r="E258" s="295">
        <v>3500</v>
      </c>
      <c r="F258" s="303">
        <v>830</v>
      </c>
      <c r="H258" s="310"/>
    </row>
    <row r="259" s="278" customFormat="1" ht="14.25" customHeight="1" spans="1:8">
      <c r="A259" s="290" t="s">
        <v>4410</v>
      </c>
      <c r="B259" s="295" t="s">
        <v>4425</v>
      </c>
      <c r="C259" s="295">
        <v>3870</v>
      </c>
      <c r="D259" s="295">
        <v>3840</v>
      </c>
      <c r="E259" s="295">
        <v>3970</v>
      </c>
      <c r="F259" s="303">
        <v>830</v>
      </c>
      <c r="H259" s="310"/>
    </row>
    <row r="260" s="278" customFormat="1" ht="14.25" customHeight="1" spans="1:8">
      <c r="A260" s="290" t="s">
        <v>4410</v>
      </c>
      <c r="B260" s="295" t="s">
        <v>4426</v>
      </c>
      <c r="C260" s="295">
        <v>3700</v>
      </c>
      <c r="D260" s="295">
        <v>3660</v>
      </c>
      <c r="E260" s="295">
        <v>3810</v>
      </c>
      <c r="F260" s="303">
        <v>790</v>
      </c>
      <c r="H260" s="310"/>
    </row>
    <row r="261" s="278" customFormat="1" ht="14.25" customHeight="1" spans="1:8">
      <c r="A261" s="290" t="s">
        <v>4410</v>
      </c>
      <c r="B261" s="295" t="s">
        <v>4427</v>
      </c>
      <c r="C261" s="295">
        <v>3470</v>
      </c>
      <c r="D261" s="295">
        <v>3430</v>
      </c>
      <c r="E261" s="295">
        <v>3640</v>
      </c>
      <c r="F261" s="303">
        <v>760</v>
      </c>
      <c r="H261" s="310"/>
    </row>
    <row r="262" s="278" customFormat="1" ht="14.25" customHeight="1" spans="1:8">
      <c r="A262" s="290" t="s">
        <v>4410</v>
      </c>
      <c r="B262" s="295" t="s">
        <v>4428</v>
      </c>
      <c r="C262" s="295">
        <v>3510</v>
      </c>
      <c r="D262" s="295">
        <v>3470</v>
      </c>
      <c r="E262" s="295">
        <v>3680</v>
      </c>
      <c r="F262" s="312"/>
      <c r="H262" s="310"/>
    </row>
    <row r="263" s="278" customFormat="1" ht="14.25" customHeight="1" spans="1:8">
      <c r="A263" s="290" t="s">
        <v>4410</v>
      </c>
      <c r="B263" s="295" t="s">
        <v>4429</v>
      </c>
      <c r="C263" s="295">
        <v>3960</v>
      </c>
      <c r="D263" s="295">
        <v>3930</v>
      </c>
      <c r="E263" s="295">
        <v>4070</v>
      </c>
      <c r="F263" s="303">
        <v>830</v>
      </c>
      <c r="H263" s="310"/>
    </row>
    <row r="264" s="278" customFormat="1" ht="14.25" customHeight="1" spans="1:8">
      <c r="A264" s="290" t="s">
        <v>4410</v>
      </c>
      <c r="B264" s="295" t="s">
        <v>4430</v>
      </c>
      <c r="C264" s="295">
        <v>4010</v>
      </c>
      <c r="D264" s="295">
        <v>3980</v>
      </c>
      <c r="E264" s="295">
        <v>4150</v>
      </c>
      <c r="F264" s="303">
        <v>760</v>
      </c>
      <c r="H264" s="310"/>
    </row>
    <row r="265" s="278" customFormat="1" ht="14.25" customHeight="1" spans="1:8">
      <c r="A265" s="290" t="s">
        <v>4410</v>
      </c>
      <c r="B265" s="295" t="s">
        <v>4431</v>
      </c>
      <c r="C265" s="295">
        <v>3910</v>
      </c>
      <c r="D265" s="295">
        <v>3890</v>
      </c>
      <c r="E265" s="295">
        <v>4040</v>
      </c>
      <c r="F265" s="303">
        <v>780</v>
      </c>
      <c r="H265" s="310"/>
    </row>
    <row r="266" s="278" customFormat="1" ht="14.25" customHeight="1" spans="1:8">
      <c r="A266" s="290" t="s">
        <v>4410</v>
      </c>
      <c r="B266" s="295" t="s">
        <v>4432</v>
      </c>
      <c r="C266" s="295">
        <v>3930</v>
      </c>
      <c r="D266" s="295">
        <v>3900</v>
      </c>
      <c r="E266" s="295">
        <v>4080</v>
      </c>
      <c r="F266" s="303">
        <v>770</v>
      </c>
      <c r="H266" s="310"/>
    </row>
    <row r="267" s="278" customFormat="1" ht="14.25" customHeight="1" spans="1:8">
      <c r="A267" s="290" t="s">
        <v>4410</v>
      </c>
      <c r="B267" s="295" t="s">
        <v>4433</v>
      </c>
      <c r="C267" s="295">
        <v>3800</v>
      </c>
      <c r="D267" s="295">
        <v>3780</v>
      </c>
      <c r="E267" s="295">
        <v>3930</v>
      </c>
      <c r="F267" s="312"/>
      <c r="H267" s="310"/>
    </row>
    <row r="268" s="278" customFormat="1" ht="14.25" customHeight="1" spans="1:8">
      <c r="A268" s="290" t="s">
        <v>4410</v>
      </c>
      <c r="B268" s="295" t="s">
        <v>4434</v>
      </c>
      <c r="C268" s="295">
        <v>3460</v>
      </c>
      <c r="D268" s="295">
        <v>3430</v>
      </c>
      <c r="E268" s="295">
        <v>3560</v>
      </c>
      <c r="F268" s="303">
        <v>840</v>
      </c>
      <c r="H268" s="310"/>
    </row>
    <row r="269" s="278" customFormat="1" ht="14.25" customHeight="1" spans="1:8">
      <c r="A269" s="290" t="s">
        <v>4410</v>
      </c>
      <c r="B269" s="295" t="s">
        <v>4435</v>
      </c>
      <c r="C269" s="295">
        <v>3210</v>
      </c>
      <c r="D269" s="295">
        <v>3190</v>
      </c>
      <c r="E269" s="295">
        <v>3310</v>
      </c>
      <c r="F269" s="303">
        <v>730</v>
      </c>
      <c r="H269" s="310"/>
    </row>
    <row r="270" s="278" customFormat="1" ht="14.25" customHeight="1" spans="1:8">
      <c r="A270" s="290" t="s">
        <v>4410</v>
      </c>
      <c r="B270" s="295" t="s">
        <v>4436</v>
      </c>
      <c r="C270" s="295">
        <v>3240</v>
      </c>
      <c r="D270" s="295">
        <v>3210</v>
      </c>
      <c r="E270" s="295">
        <v>3390</v>
      </c>
      <c r="F270" s="303">
        <v>820</v>
      </c>
      <c r="H270" s="310"/>
    </row>
    <row r="271" s="278" customFormat="1" ht="14.25" customHeight="1" spans="1:8">
      <c r="A271" s="290" t="s">
        <v>4410</v>
      </c>
      <c r="B271" s="295" t="s">
        <v>4437</v>
      </c>
      <c r="C271" s="295">
        <v>3300</v>
      </c>
      <c r="D271" s="295">
        <v>3270</v>
      </c>
      <c r="E271" s="295">
        <v>3380</v>
      </c>
      <c r="F271" s="303">
        <v>750</v>
      </c>
      <c r="H271" s="310"/>
    </row>
    <row r="272" s="278" customFormat="1" ht="14.25" customHeight="1" spans="1:8">
      <c r="A272" s="290" t="s">
        <v>4410</v>
      </c>
      <c r="B272" s="295" t="s">
        <v>4438</v>
      </c>
      <c r="C272" s="315"/>
      <c r="D272" s="315"/>
      <c r="E272" s="315"/>
      <c r="F272" s="303">
        <v>740</v>
      </c>
      <c r="H272" s="310"/>
    </row>
    <row r="273" s="278" customFormat="1" ht="14.25" customHeight="1" spans="1:8">
      <c r="A273" s="290" t="s">
        <v>4410</v>
      </c>
      <c r="B273" s="295" t="s">
        <v>4439</v>
      </c>
      <c r="C273" s="295">
        <v>3130</v>
      </c>
      <c r="D273" s="295">
        <v>3100</v>
      </c>
      <c r="E273" s="295">
        <v>3230</v>
      </c>
      <c r="F273" s="303">
        <v>700</v>
      </c>
      <c r="H273" s="310"/>
    </row>
    <row r="274" s="278" customFormat="1" ht="14.25" customHeight="1" spans="1:8">
      <c r="A274" s="290" t="s">
        <v>4410</v>
      </c>
      <c r="B274" s="295" t="s">
        <v>4440</v>
      </c>
      <c r="C274" s="295">
        <v>3460</v>
      </c>
      <c r="D274" s="295">
        <v>3430</v>
      </c>
      <c r="E274" s="295">
        <v>3560</v>
      </c>
      <c r="F274" s="303">
        <v>690</v>
      </c>
      <c r="H274" s="310"/>
    </row>
    <row r="275" s="278" customFormat="1" ht="14.25" customHeight="1" spans="1:8">
      <c r="A275" s="290" t="s">
        <v>4410</v>
      </c>
      <c r="B275" s="295" t="s">
        <v>4441</v>
      </c>
      <c r="C275" s="295">
        <v>4040</v>
      </c>
      <c r="D275" s="295">
        <v>4020</v>
      </c>
      <c r="E275" s="295">
        <v>4160</v>
      </c>
      <c r="F275" s="303">
        <v>820</v>
      </c>
      <c r="H275" s="310"/>
    </row>
    <row r="276" s="278" customFormat="1" ht="14.25" customHeight="1" spans="1:8">
      <c r="A276" s="290" t="s">
        <v>4410</v>
      </c>
      <c r="B276" s="295" t="s">
        <v>4442</v>
      </c>
      <c r="C276" s="295">
        <v>3270</v>
      </c>
      <c r="D276" s="295">
        <v>3240</v>
      </c>
      <c r="E276" s="295">
        <v>3350</v>
      </c>
      <c r="F276" s="303">
        <v>680</v>
      </c>
      <c r="H276" s="310"/>
    </row>
    <row r="277" s="278" customFormat="1" ht="14.25" customHeight="1" spans="1:8">
      <c r="A277" s="290" t="s">
        <v>4410</v>
      </c>
      <c r="B277" s="295" t="s">
        <v>4443</v>
      </c>
      <c r="C277" s="295">
        <v>2930</v>
      </c>
      <c r="D277" s="295">
        <v>2900</v>
      </c>
      <c r="E277" s="295">
        <v>3000</v>
      </c>
      <c r="F277" s="303">
        <v>640</v>
      </c>
      <c r="H277" s="310"/>
    </row>
    <row r="278" s="278" customFormat="1" ht="14.25" customHeight="1" spans="1:8">
      <c r="A278" s="290" t="s">
        <v>4410</v>
      </c>
      <c r="B278" s="295" t="s">
        <v>4444</v>
      </c>
      <c r="C278" s="295">
        <v>4080</v>
      </c>
      <c r="D278" s="295">
        <v>4030</v>
      </c>
      <c r="E278" s="295">
        <v>4140</v>
      </c>
      <c r="F278" s="303">
        <v>850</v>
      </c>
      <c r="H278" s="310"/>
    </row>
    <row r="279" s="278" customFormat="1" ht="14.25" customHeight="1" spans="1:8">
      <c r="A279" s="290" t="s">
        <v>4410</v>
      </c>
      <c r="B279" s="295" t="s">
        <v>4445</v>
      </c>
      <c r="C279" s="295"/>
      <c r="D279" s="295"/>
      <c r="E279" s="295"/>
      <c r="F279" s="303">
        <v>760</v>
      </c>
      <c r="H279" s="310"/>
    </row>
    <row r="280" s="278" customFormat="1" ht="14.25" customHeight="1" spans="1:8">
      <c r="A280" s="290" t="s">
        <v>4410</v>
      </c>
      <c r="B280" s="295" t="s">
        <v>4446</v>
      </c>
      <c r="C280" s="295"/>
      <c r="D280" s="295"/>
      <c r="E280" s="295"/>
      <c r="F280" s="303">
        <v>760</v>
      </c>
      <c r="H280" s="310"/>
    </row>
    <row r="281" s="278" customFormat="1" ht="14.25" customHeight="1" spans="1:8">
      <c r="A281" s="290" t="s">
        <v>4410</v>
      </c>
      <c r="B281" s="295" t="s">
        <v>4447</v>
      </c>
      <c r="C281" s="295"/>
      <c r="D281" s="295"/>
      <c r="E281" s="295"/>
      <c r="F281" s="303">
        <v>780</v>
      </c>
      <c r="H281" s="310"/>
    </row>
    <row r="282" s="278" customFormat="1" ht="14.25" customHeight="1" spans="1:8">
      <c r="A282" s="290" t="s">
        <v>4410</v>
      </c>
      <c r="B282" s="295" t="s">
        <v>4448</v>
      </c>
      <c r="C282" s="295"/>
      <c r="D282" s="295"/>
      <c r="E282" s="295"/>
      <c r="F282" s="303">
        <v>730</v>
      </c>
      <c r="H282" s="310"/>
    </row>
    <row r="283" s="278" customFormat="1" ht="14.25" customHeight="1" spans="1:8">
      <c r="A283" s="290" t="s">
        <v>4410</v>
      </c>
      <c r="B283" s="295" t="s">
        <v>4449</v>
      </c>
      <c r="C283" s="295"/>
      <c r="D283" s="295"/>
      <c r="E283" s="295"/>
      <c r="F283" s="303">
        <v>770</v>
      </c>
      <c r="H283" s="310"/>
    </row>
    <row r="284" s="278" customFormat="1" ht="14.25" customHeight="1" spans="1:8">
      <c r="A284" s="290" t="s">
        <v>4410</v>
      </c>
      <c r="B284" s="295" t="s">
        <v>4450</v>
      </c>
      <c r="C284" s="295"/>
      <c r="D284" s="295"/>
      <c r="E284" s="295"/>
      <c r="F284" s="303">
        <v>640</v>
      </c>
      <c r="H284" s="310"/>
    </row>
    <row r="285" s="278" customFormat="1" ht="14.25" customHeight="1" spans="1:8">
      <c r="A285" s="290" t="s">
        <v>4410</v>
      </c>
      <c r="B285" s="295" t="s">
        <v>4451</v>
      </c>
      <c r="C285" s="295"/>
      <c r="D285" s="295"/>
      <c r="E285" s="295"/>
      <c r="F285" s="303">
        <v>640</v>
      </c>
      <c r="H285" s="310"/>
    </row>
    <row r="286" s="278" customFormat="1" ht="14.25" customHeight="1" spans="1:8">
      <c r="A286" s="290" t="s">
        <v>4410</v>
      </c>
      <c r="B286" s="295" t="s">
        <v>4452</v>
      </c>
      <c r="C286" s="295"/>
      <c r="D286" s="295"/>
      <c r="E286" s="295"/>
      <c r="F286" s="303">
        <v>850</v>
      </c>
      <c r="H286" s="310"/>
    </row>
    <row r="287" s="278" customFormat="1" ht="14.25" customHeight="1" spans="1:8">
      <c r="A287" s="290" t="s">
        <v>4410</v>
      </c>
      <c r="B287" s="295" t="s">
        <v>4453</v>
      </c>
      <c r="C287" s="295"/>
      <c r="D287" s="295"/>
      <c r="E287" s="295"/>
      <c r="F287" s="303">
        <v>760</v>
      </c>
      <c r="H287" s="310"/>
    </row>
    <row r="288" s="278" customFormat="1" ht="14.25" customHeight="1" spans="1:8">
      <c r="A288" s="290" t="s">
        <v>4410</v>
      </c>
      <c r="B288" s="295" t="s">
        <v>4454</v>
      </c>
      <c r="C288" s="295"/>
      <c r="D288" s="295"/>
      <c r="E288" s="295"/>
      <c r="F288" s="303">
        <v>830</v>
      </c>
      <c r="H288" s="310"/>
    </row>
    <row r="289" s="278" customFormat="1" ht="14.25" customHeight="1" spans="1:8">
      <c r="A289" s="290" t="s">
        <v>4410</v>
      </c>
      <c r="B289" s="301" t="s">
        <v>4455</v>
      </c>
      <c r="C289" s="301"/>
      <c r="D289" s="301"/>
      <c r="E289" s="301"/>
      <c r="F289" s="311">
        <v>680</v>
      </c>
      <c r="H289" s="310"/>
    </row>
    <row r="290" s="278" customFormat="1" ht="14.25" customHeight="1" spans="1:8">
      <c r="A290" s="290" t="s">
        <v>4456</v>
      </c>
      <c r="B290" s="291" t="s">
        <v>4457</v>
      </c>
      <c r="C290" s="291">
        <v>2770</v>
      </c>
      <c r="D290" s="291">
        <v>2740</v>
      </c>
      <c r="E290" s="291">
        <v>2720</v>
      </c>
      <c r="F290" s="316"/>
      <c r="H290" s="310"/>
    </row>
    <row r="291" s="278" customFormat="1" ht="14.25" customHeight="1" spans="1:8">
      <c r="A291" s="290" t="s">
        <v>4456</v>
      </c>
      <c r="B291" s="295" t="s">
        <v>4458</v>
      </c>
      <c r="C291" s="295">
        <v>2670</v>
      </c>
      <c r="D291" s="295">
        <v>2640</v>
      </c>
      <c r="E291" s="295">
        <v>2620</v>
      </c>
      <c r="F291" s="312"/>
      <c r="H291" s="310"/>
    </row>
    <row r="292" s="278" customFormat="1" ht="14.25" customHeight="1" spans="1:8">
      <c r="A292" s="290" t="s">
        <v>4456</v>
      </c>
      <c r="B292" s="295" t="s">
        <v>4459</v>
      </c>
      <c r="C292" s="295">
        <v>2180</v>
      </c>
      <c r="D292" s="295">
        <v>2140</v>
      </c>
      <c r="E292" s="295">
        <v>2120</v>
      </c>
      <c r="F292" s="303">
        <v>490</v>
      </c>
      <c r="H292" s="310"/>
    </row>
    <row r="293" s="278" customFormat="1" ht="14.25" customHeight="1" spans="1:8">
      <c r="A293" s="290" t="s">
        <v>4456</v>
      </c>
      <c r="B293" s="295" t="s">
        <v>4460</v>
      </c>
      <c r="C293" s="295"/>
      <c r="D293" s="295"/>
      <c r="E293" s="295"/>
      <c r="F293" s="303">
        <v>470</v>
      </c>
      <c r="H293" s="310"/>
    </row>
    <row r="294" s="278" customFormat="1" ht="14.25" customHeight="1" spans="1:8">
      <c r="A294" s="290" t="s">
        <v>4456</v>
      </c>
      <c r="B294" s="295" t="s">
        <v>4461</v>
      </c>
      <c r="C294" s="295">
        <v>2730</v>
      </c>
      <c r="D294" s="295">
        <v>2700</v>
      </c>
      <c r="E294" s="295">
        <v>2680</v>
      </c>
      <c r="F294" s="303">
        <v>490</v>
      </c>
      <c r="H294" s="310"/>
    </row>
    <row r="295" s="278" customFormat="1" ht="14.25" customHeight="1" spans="1:8">
      <c r="A295" s="290" t="s">
        <v>4456</v>
      </c>
      <c r="B295" s="295" t="s">
        <v>4462</v>
      </c>
      <c r="C295" s="295">
        <v>2380</v>
      </c>
      <c r="D295" s="295">
        <v>2350</v>
      </c>
      <c r="E295" s="295">
        <v>2330</v>
      </c>
      <c r="F295" s="303">
        <v>530</v>
      </c>
      <c r="H295" s="310"/>
    </row>
    <row r="296" s="278" customFormat="1" ht="14.25" customHeight="1" spans="1:8">
      <c r="A296" s="290" t="s">
        <v>4456</v>
      </c>
      <c r="B296" s="295" t="s">
        <v>4463</v>
      </c>
      <c r="C296" s="295">
        <v>2650</v>
      </c>
      <c r="D296" s="295">
        <v>2620</v>
      </c>
      <c r="E296" s="295">
        <v>2590</v>
      </c>
      <c r="F296" s="303">
        <v>590</v>
      </c>
      <c r="H296" s="310"/>
    </row>
    <row r="297" s="278" customFormat="1" ht="14.25" customHeight="1" spans="1:8">
      <c r="A297" s="290" t="s">
        <v>4456</v>
      </c>
      <c r="B297" s="295" t="s">
        <v>4464</v>
      </c>
      <c r="C297" s="295">
        <v>2700</v>
      </c>
      <c r="D297" s="295">
        <v>2670</v>
      </c>
      <c r="E297" s="295">
        <v>2650</v>
      </c>
      <c r="F297" s="303">
        <v>630</v>
      </c>
      <c r="H297" s="310"/>
    </row>
    <row r="298" s="278" customFormat="1" ht="14.25" customHeight="1" spans="1:8">
      <c r="A298" s="290" t="s">
        <v>4456</v>
      </c>
      <c r="B298" s="295" t="s">
        <v>4465</v>
      </c>
      <c r="C298" s="295">
        <v>2650</v>
      </c>
      <c r="D298" s="295">
        <v>2620</v>
      </c>
      <c r="E298" s="295">
        <v>2590</v>
      </c>
      <c r="F298" s="303">
        <v>640</v>
      </c>
      <c r="H298" s="310"/>
    </row>
    <row r="299" s="278" customFormat="1" ht="14.25" customHeight="1" spans="1:8">
      <c r="A299" s="290" t="s">
        <v>4456</v>
      </c>
      <c r="B299" s="295" t="s">
        <v>4466</v>
      </c>
      <c r="C299" s="295">
        <v>2500</v>
      </c>
      <c r="D299" s="295">
        <v>2480</v>
      </c>
      <c r="E299" s="295">
        <v>2460</v>
      </c>
      <c r="F299" s="312"/>
      <c r="H299" s="310"/>
    </row>
    <row r="300" s="278" customFormat="1" ht="14.25" customHeight="1" spans="1:8">
      <c r="A300" s="290" t="s">
        <v>4456</v>
      </c>
      <c r="B300" s="295" t="s">
        <v>4467</v>
      </c>
      <c r="C300" s="295">
        <v>2760</v>
      </c>
      <c r="D300" s="295">
        <v>2730</v>
      </c>
      <c r="E300" s="295">
        <v>2700</v>
      </c>
      <c r="F300" s="303">
        <v>630</v>
      </c>
      <c r="H300" s="310"/>
    </row>
    <row r="301" s="278" customFormat="1" ht="14.25" customHeight="1" spans="1:8">
      <c r="A301" s="290" t="s">
        <v>4456</v>
      </c>
      <c r="B301" s="295" t="s">
        <v>4468</v>
      </c>
      <c r="C301" s="295">
        <v>2510</v>
      </c>
      <c r="D301" s="295">
        <v>2480</v>
      </c>
      <c r="E301" s="295">
        <v>2460</v>
      </c>
      <c r="F301" s="312"/>
      <c r="H301" s="310"/>
    </row>
    <row r="302" s="278" customFormat="1" ht="14.25" customHeight="1" spans="1:8">
      <c r="A302" s="290" t="s">
        <v>4456</v>
      </c>
      <c r="B302" s="295" t="s">
        <v>4469</v>
      </c>
      <c r="C302" s="295">
        <v>2480</v>
      </c>
      <c r="D302" s="295">
        <v>2450</v>
      </c>
      <c r="E302" s="295">
        <v>2420</v>
      </c>
      <c r="F302" s="303">
        <v>600</v>
      </c>
      <c r="H302" s="310"/>
    </row>
    <row r="303" s="278" customFormat="1" ht="14.25" customHeight="1" spans="1:8">
      <c r="A303" s="290" t="s">
        <v>4456</v>
      </c>
      <c r="B303" s="295" t="s">
        <v>4470</v>
      </c>
      <c r="C303" s="295">
        <v>2270</v>
      </c>
      <c r="D303" s="295">
        <v>2240</v>
      </c>
      <c r="E303" s="295">
        <v>2210</v>
      </c>
      <c r="F303" s="303">
        <v>540</v>
      </c>
      <c r="H303" s="310"/>
    </row>
    <row r="304" s="278" customFormat="1" ht="14.25" customHeight="1" spans="1:8">
      <c r="A304" s="290" t="s">
        <v>4456</v>
      </c>
      <c r="B304" s="295" t="s">
        <v>4471</v>
      </c>
      <c r="C304" s="295">
        <v>2310</v>
      </c>
      <c r="D304" s="295">
        <v>2290</v>
      </c>
      <c r="E304" s="295">
        <v>2270</v>
      </c>
      <c r="F304" s="312"/>
      <c r="H304" s="310"/>
    </row>
    <row r="305" s="278" customFormat="1" ht="14.25" customHeight="1" spans="1:8">
      <c r="A305" s="290" t="s">
        <v>4456</v>
      </c>
      <c r="B305" s="295" t="s">
        <v>4472</v>
      </c>
      <c r="C305" s="295">
        <v>2490</v>
      </c>
      <c r="D305" s="295">
        <v>2470</v>
      </c>
      <c r="E305" s="295">
        <v>2440</v>
      </c>
      <c r="F305" s="303">
        <v>560</v>
      </c>
      <c r="H305" s="310"/>
    </row>
    <row r="306" s="278" customFormat="1" ht="14.25" customHeight="1" spans="1:8">
      <c r="A306" s="290" t="s">
        <v>4456</v>
      </c>
      <c r="B306" s="295" t="s">
        <v>4473</v>
      </c>
      <c r="C306" s="295">
        <v>2420</v>
      </c>
      <c r="D306" s="295">
        <v>2400</v>
      </c>
      <c r="E306" s="295">
        <v>2380</v>
      </c>
      <c r="F306" s="312"/>
      <c r="H306" s="310"/>
    </row>
    <row r="307" s="278" customFormat="1" ht="14.25" customHeight="1" spans="1:8">
      <c r="A307" s="290" t="s">
        <v>4456</v>
      </c>
      <c r="B307" s="295" t="s">
        <v>4474</v>
      </c>
      <c r="C307" s="295">
        <v>2770</v>
      </c>
      <c r="D307" s="295">
        <v>2740</v>
      </c>
      <c r="E307" s="295">
        <v>2710</v>
      </c>
      <c r="F307" s="303">
        <v>650</v>
      </c>
      <c r="H307" s="310"/>
    </row>
    <row r="308" s="278" customFormat="1" ht="14.25" customHeight="1" spans="1:8">
      <c r="A308" s="290" t="s">
        <v>4456</v>
      </c>
      <c r="B308" s="295" t="s">
        <v>4475</v>
      </c>
      <c r="C308" s="295">
        <v>2610</v>
      </c>
      <c r="D308" s="295">
        <v>2580</v>
      </c>
      <c r="E308" s="295">
        <v>2550</v>
      </c>
      <c r="F308" s="303">
        <v>580</v>
      </c>
      <c r="H308" s="310"/>
    </row>
    <row r="309" s="278" customFormat="1" ht="14.25" customHeight="1" spans="1:8">
      <c r="A309" s="290" t="s">
        <v>4456</v>
      </c>
      <c r="B309" s="295" t="s">
        <v>4476</v>
      </c>
      <c r="C309" s="295">
        <v>2690</v>
      </c>
      <c r="D309" s="295">
        <v>2670</v>
      </c>
      <c r="E309" s="295">
        <v>2650</v>
      </c>
      <c r="F309" s="312"/>
      <c r="H309" s="310"/>
    </row>
    <row r="310" s="278" customFormat="1" ht="14.25" customHeight="1" spans="1:8">
      <c r="A310" s="290" t="s">
        <v>4456</v>
      </c>
      <c r="B310" s="295" t="s">
        <v>4477</v>
      </c>
      <c r="C310" s="295">
        <v>2360</v>
      </c>
      <c r="D310" s="295">
        <v>2330</v>
      </c>
      <c r="E310" s="295">
        <v>2310</v>
      </c>
      <c r="F310" s="303">
        <v>560</v>
      </c>
      <c r="H310" s="310"/>
    </row>
    <row r="311" s="278" customFormat="1" ht="14.25" customHeight="1" spans="1:8">
      <c r="A311" s="290" t="s">
        <v>4456</v>
      </c>
      <c r="B311" s="295" t="s">
        <v>4478</v>
      </c>
      <c r="C311" s="295">
        <v>1970</v>
      </c>
      <c r="D311" s="295">
        <v>1950</v>
      </c>
      <c r="E311" s="295">
        <v>1920</v>
      </c>
      <c r="F311" s="303">
        <v>470</v>
      </c>
      <c r="H311" s="310"/>
    </row>
    <row r="312" s="278" customFormat="1" ht="14.25" customHeight="1" spans="1:8">
      <c r="A312" s="290" t="s">
        <v>4456</v>
      </c>
      <c r="B312" s="295" t="s">
        <v>4479</v>
      </c>
      <c r="C312" s="295">
        <v>2230</v>
      </c>
      <c r="D312" s="295">
        <v>2200</v>
      </c>
      <c r="E312" s="295">
        <v>2170</v>
      </c>
      <c r="F312" s="303">
        <v>460</v>
      </c>
      <c r="H312" s="310"/>
    </row>
    <row r="313" s="278" customFormat="1" ht="14.25" customHeight="1" spans="1:8">
      <c r="A313" s="290" t="s">
        <v>4456</v>
      </c>
      <c r="B313" s="295" t="s">
        <v>4480</v>
      </c>
      <c r="C313" s="295">
        <v>2770</v>
      </c>
      <c r="D313" s="295">
        <v>2740</v>
      </c>
      <c r="E313" s="295">
        <v>2710</v>
      </c>
      <c r="F313" s="303">
        <v>610</v>
      </c>
      <c r="H313" s="310"/>
    </row>
    <row r="314" s="278" customFormat="1" ht="14.25" customHeight="1" spans="1:8">
      <c r="A314" s="290" t="s">
        <v>4456</v>
      </c>
      <c r="B314" s="295" t="s">
        <v>4481</v>
      </c>
      <c r="C314" s="295"/>
      <c r="D314" s="295"/>
      <c r="E314" s="295"/>
      <c r="F314" s="303">
        <v>490</v>
      </c>
      <c r="H314" s="310"/>
    </row>
    <row r="315" s="278" customFormat="1" ht="14.25" customHeight="1" spans="1:8">
      <c r="A315" s="290" t="s">
        <v>4456</v>
      </c>
      <c r="B315" s="295" t="s">
        <v>4482</v>
      </c>
      <c r="C315" s="295"/>
      <c r="D315" s="295"/>
      <c r="E315" s="295"/>
      <c r="F315" s="303">
        <v>520</v>
      </c>
      <c r="H315" s="310"/>
    </row>
    <row r="316" s="278" customFormat="1" ht="14.25" customHeight="1" spans="1:8">
      <c r="A316" s="290" t="s">
        <v>4456</v>
      </c>
      <c r="B316" s="301" t="s">
        <v>4483</v>
      </c>
      <c r="C316" s="301"/>
      <c r="D316" s="301"/>
      <c r="E316" s="301"/>
      <c r="F316" s="311">
        <v>460</v>
      </c>
      <c r="H316" s="310"/>
    </row>
    <row r="317" s="278" customFormat="1" ht="14.25" customHeight="1" spans="1:8">
      <c r="A317" s="290" t="s">
        <v>4484</v>
      </c>
      <c r="B317" s="291" t="s">
        <v>4485</v>
      </c>
      <c r="C317" s="291">
        <v>1200</v>
      </c>
      <c r="D317" s="291">
        <v>1180</v>
      </c>
      <c r="E317" s="291">
        <v>1160</v>
      </c>
      <c r="F317" s="292">
        <v>370</v>
      </c>
      <c r="H317" s="280"/>
    </row>
    <row r="318" s="278" customFormat="1" ht="14.25" customHeight="1" spans="1:8">
      <c r="A318" s="290" t="s">
        <v>4484</v>
      </c>
      <c r="B318" s="295" t="s">
        <v>4486</v>
      </c>
      <c r="C318" s="295">
        <v>1090</v>
      </c>
      <c r="D318" s="295">
        <v>1060</v>
      </c>
      <c r="E318" s="295">
        <v>1040</v>
      </c>
      <c r="F318" s="312"/>
      <c r="H318" s="280"/>
    </row>
    <row r="319" s="278" customFormat="1" ht="14.25" customHeight="1" spans="1:8">
      <c r="A319" s="290" t="s">
        <v>4484</v>
      </c>
      <c r="B319" s="295" t="s">
        <v>4487</v>
      </c>
      <c r="C319" s="295">
        <v>1520</v>
      </c>
      <c r="D319" s="295">
        <v>1470</v>
      </c>
      <c r="E319" s="295">
        <v>1440</v>
      </c>
      <c r="F319" s="303">
        <v>370</v>
      </c>
      <c r="H319" s="280"/>
    </row>
    <row r="320" s="278" customFormat="1" ht="14.25" customHeight="1" spans="1:8">
      <c r="A320" s="290" t="s">
        <v>4484</v>
      </c>
      <c r="B320" s="295" t="s">
        <v>4488</v>
      </c>
      <c r="C320" s="295">
        <v>1360</v>
      </c>
      <c r="D320" s="295">
        <v>1300</v>
      </c>
      <c r="E320" s="295">
        <v>1270</v>
      </c>
      <c r="F320" s="312"/>
      <c r="H320" s="280"/>
    </row>
    <row r="321" s="278" customFormat="1" ht="14.25" customHeight="1" spans="1:8">
      <c r="A321" s="290" t="s">
        <v>4484</v>
      </c>
      <c r="B321" s="295" t="s">
        <v>4489</v>
      </c>
      <c r="C321" s="295">
        <v>1750</v>
      </c>
      <c r="D321" s="295">
        <v>1690</v>
      </c>
      <c r="E321" s="295">
        <v>1660</v>
      </c>
      <c r="F321" s="312"/>
      <c r="H321" s="280"/>
    </row>
    <row r="322" s="278" customFormat="1" ht="14.25" customHeight="1" spans="1:8">
      <c r="A322" s="290" t="s">
        <v>4484</v>
      </c>
      <c r="B322" s="295" t="s">
        <v>4490</v>
      </c>
      <c r="C322" s="295">
        <v>1650</v>
      </c>
      <c r="D322" s="295">
        <v>1610</v>
      </c>
      <c r="E322" s="295">
        <v>1580</v>
      </c>
      <c r="F322" s="303">
        <v>500</v>
      </c>
      <c r="H322" s="280"/>
    </row>
    <row r="323" s="278" customFormat="1" ht="14.25" customHeight="1" spans="1:8">
      <c r="A323" s="290" t="s">
        <v>4484</v>
      </c>
      <c r="B323" s="295" t="s">
        <v>4491</v>
      </c>
      <c r="C323" s="295">
        <v>1780</v>
      </c>
      <c r="D323" s="295">
        <v>1740</v>
      </c>
      <c r="E323" s="295">
        <v>1720</v>
      </c>
      <c r="F323" s="312"/>
      <c r="H323" s="280"/>
    </row>
    <row r="324" s="278" customFormat="1" ht="14.25" customHeight="1" spans="1:8">
      <c r="A324" s="290" t="s">
        <v>4484</v>
      </c>
      <c r="B324" s="295" t="s">
        <v>4492</v>
      </c>
      <c r="C324" s="295">
        <v>1650</v>
      </c>
      <c r="D324" s="295">
        <v>1610</v>
      </c>
      <c r="E324" s="295">
        <v>1580</v>
      </c>
      <c r="F324" s="312"/>
      <c r="H324" s="280"/>
    </row>
    <row r="325" s="278" customFormat="1" ht="14.25" customHeight="1" spans="1:8">
      <c r="A325" s="290" t="s">
        <v>4484</v>
      </c>
      <c r="B325" s="295" t="s">
        <v>4493</v>
      </c>
      <c r="C325" s="295">
        <v>1330</v>
      </c>
      <c r="D325" s="295">
        <v>1270</v>
      </c>
      <c r="E325" s="295">
        <v>1240</v>
      </c>
      <c r="F325" s="303">
        <v>430</v>
      </c>
      <c r="H325" s="280"/>
    </row>
    <row r="326" s="278" customFormat="1" ht="14.25" customHeight="1" spans="1:8">
      <c r="A326" s="290" t="s">
        <v>4484</v>
      </c>
      <c r="B326" s="295" t="s">
        <v>4494</v>
      </c>
      <c r="C326" s="295">
        <v>1470</v>
      </c>
      <c r="D326" s="295">
        <v>1430</v>
      </c>
      <c r="E326" s="295">
        <v>1400</v>
      </c>
      <c r="F326" s="312"/>
      <c r="H326" s="280"/>
    </row>
    <row r="327" s="278" customFormat="1" ht="14.25" customHeight="1" spans="1:8">
      <c r="A327" s="290" t="s">
        <v>4484</v>
      </c>
      <c r="B327" s="295" t="s">
        <v>4495</v>
      </c>
      <c r="C327" s="295">
        <v>1420</v>
      </c>
      <c r="D327" s="295">
        <v>1380</v>
      </c>
      <c r="E327" s="295">
        <v>1360</v>
      </c>
      <c r="F327" s="303">
        <v>420</v>
      </c>
      <c r="H327" s="280"/>
    </row>
    <row r="328" s="278" customFormat="1" ht="14.25" customHeight="1" spans="1:8">
      <c r="A328" s="290" t="s">
        <v>4484</v>
      </c>
      <c r="B328" s="295" t="s">
        <v>4496</v>
      </c>
      <c r="C328" s="295">
        <v>1400</v>
      </c>
      <c r="D328" s="295">
        <v>1360</v>
      </c>
      <c r="E328" s="295">
        <v>1330</v>
      </c>
      <c r="F328" s="303">
        <v>460</v>
      </c>
      <c r="H328" s="280"/>
    </row>
    <row r="329" s="278" customFormat="1" ht="14.25" customHeight="1" spans="1:8">
      <c r="A329" s="290" t="s">
        <v>4484</v>
      </c>
      <c r="B329" s="295" t="s">
        <v>4497</v>
      </c>
      <c r="C329" s="295">
        <v>1640</v>
      </c>
      <c r="D329" s="295">
        <v>1610</v>
      </c>
      <c r="E329" s="295">
        <v>1580</v>
      </c>
      <c r="F329" s="303">
        <v>410</v>
      </c>
      <c r="H329" s="280"/>
    </row>
    <row r="330" s="278" customFormat="1" ht="14.25" customHeight="1" spans="1:8">
      <c r="A330" s="290" t="s">
        <v>4484</v>
      </c>
      <c r="B330" s="295" t="s">
        <v>4498</v>
      </c>
      <c r="C330" s="295">
        <v>1260</v>
      </c>
      <c r="D330" s="295">
        <v>1220</v>
      </c>
      <c r="E330" s="295">
        <v>1200</v>
      </c>
      <c r="F330" s="312"/>
      <c r="H330" s="280"/>
    </row>
    <row r="331" s="278" customFormat="1" ht="14.25" customHeight="1" spans="1:8">
      <c r="A331" s="290" t="s">
        <v>4484</v>
      </c>
      <c r="B331" s="295" t="s">
        <v>4499</v>
      </c>
      <c r="C331" s="295">
        <v>1620</v>
      </c>
      <c r="D331" s="295">
        <v>1560</v>
      </c>
      <c r="E331" s="295">
        <v>1530</v>
      </c>
      <c r="F331" s="303">
        <v>490</v>
      </c>
      <c r="H331" s="280"/>
    </row>
    <row r="332" s="278" customFormat="1" ht="14.25" customHeight="1" spans="1:8">
      <c r="A332" s="290" t="s">
        <v>4484</v>
      </c>
      <c r="B332" s="295" t="s">
        <v>4500</v>
      </c>
      <c r="C332" s="295">
        <v>1520</v>
      </c>
      <c r="D332" s="295">
        <v>1470</v>
      </c>
      <c r="E332" s="295">
        <v>1440</v>
      </c>
      <c r="F332" s="303">
        <v>440</v>
      </c>
      <c r="H332" s="280"/>
    </row>
    <row r="333" s="278" customFormat="1" ht="14.25" customHeight="1" spans="1:8">
      <c r="A333" s="290" t="s">
        <v>4484</v>
      </c>
      <c r="B333" s="295" t="s">
        <v>4501</v>
      </c>
      <c r="C333" s="295">
        <v>1370</v>
      </c>
      <c r="D333" s="295">
        <v>1320</v>
      </c>
      <c r="E333" s="295">
        <v>1300</v>
      </c>
      <c r="F333" s="303">
        <v>460</v>
      </c>
      <c r="H333" s="280"/>
    </row>
    <row r="334" s="278" customFormat="1" ht="14.25" customHeight="1" spans="1:8">
      <c r="A334" s="290" t="s">
        <v>4484</v>
      </c>
      <c r="B334" s="295" t="s">
        <v>4502</v>
      </c>
      <c r="C334" s="295">
        <v>1410</v>
      </c>
      <c r="D334" s="295">
        <v>1340</v>
      </c>
      <c r="E334" s="295">
        <v>1310</v>
      </c>
      <c r="F334" s="303">
        <v>410</v>
      </c>
      <c r="H334" s="280"/>
    </row>
    <row r="335" s="278" customFormat="1" ht="14.25" customHeight="1" spans="1:8">
      <c r="A335" s="290" t="s">
        <v>4484</v>
      </c>
      <c r="B335" s="295" t="s">
        <v>4503</v>
      </c>
      <c r="C335" s="295">
        <v>1260</v>
      </c>
      <c r="D335" s="295">
        <v>1220</v>
      </c>
      <c r="E335" s="295">
        <v>1200</v>
      </c>
      <c r="F335" s="312"/>
      <c r="H335" s="280"/>
    </row>
    <row r="336" s="278" customFormat="1" ht="14.25" customHeight="1" spans="1:8">
      <c r="A336" s="290" t="s">
        <v>4484</v>
      </c>
      <c r="B336" s="295" t="s">
        <v>4504</v>
      </c>
      <c r="C336" s="295">
        <v>1160</v>
      </c>
      <c r="D336" s="295">
        <v>1140</v>
      </c>
      <c r="E336" s="295">
        <v>1120</v>
      </c>
      <c r="F336" s="303">
        <v>430</v>
      </c>
      <c r="H336" s="280"/>
    </row>
    <row r="337" s="278" customFormat="1" ht="14.25" customHeight="1" spans="1:8">
      <c r="A337" s="290" t="s">
        <v>4484</v>
      </c>
      <c r="B337" s="301" t="s">
        <v>4505</v>
      </c>
      <c r="C337" s="301"/>
      <c r="D337" s="301"/>
      <c r="E337" s="301"/>
      <c r="F337" s="311">
        <v>380</v>
      </c>
      <c r="H337" s="280"/>
    </row>
    <row r="338" s="278" customFormat="1" ht="14.25" customHeight="1" spans="1:8">
      <c r="A338" s="290" t="s">
        <v>4506</v>
      </c>
      <c r="B338" s="291" t="s">
        <v>4507</v>
      </c>
      <c r="C338" s="291">
        <v>880</v>
      </c>
      <c r="D338" s="291">
        <v>850</v>
      </c>
      <c r="E338" s="291">
        <v>830</v>
      </c>
      <c r="F338" s="316"/>
      <c r="H338" s="280"/>
    </row>
    <row r="339" s="278" customFormat="1" ht="14.25" customHeight="1" spans="1:8">
      <c r="A339" s="290" t="s">
        <v>4506</v>
      </c>
      <c r="B339" s="295" t="s">
        <v>4508</v>
      </c>
      <c r="C339" s="295">
        <v>830</v>
      </c>
      <c r="D339" s="295">
        <v>800</v>
      </c>
      <c r="E339" s="295">
        <v>780</v>
      </c>
      <c r="F339" s="312"/>
      <c r="H339" s="280"/>
    </row>
    <row r="340" s="278" customFormat="1" ht="14.25" customHeight="1" spans="1:8">
      <c r="A340" s="290" t="s">
        <v>4506</v>
      </c>
      <c r="B340" s="295" t="s">
        <v>4509</v>
      </c>
      <c r="C340" s="295">
        <v>980</v>
      </c>
      <c r="D340" s="295">
        <v>950</v>
      </c>
      <c r="E340" s="295">
        <v>920</v>
      </c>
      <c r="F340" s="312"/>
      <c r="H340" s="280"/>
    </row>
    <row r="341" s="278" customFormat="1" ht="14.25" customHeight="1" spans="1:8">
      <c r="A341" s="290" t="s">
        <v>4506</v>
      </c>
      <c r="B341" s="295" t="s">
        <v>4510</v>
      </c>
      <c r="C341" s="295">
        <v>760</v>
      </c>
      <c r="D341" s="295">
        <v>720</v>
      </c>
      <c r="E341" s="295">
        <v>690</v>
      </c>
      <c r="F341" s="303">
        <v>350</v>
      </c>
      <c r="H341" s="280"/>
    </row>
    <row r="342" s="278" customFormat="1" ht="14.25" customHeight="1" spans="1:8">
      <c r="A342" s="290" t="s">
        <v>4506</v>
      </c>
      <c r="B342" s="295" t="s">
        <v>4511</v>
      </c>
      <c r="C342" s="295">
        <v>910</v>
      </c>
      <c r="D342" s="295">
        <v>870</v>
      </c>
      <c r="E342" s="295">
        <v>850</v>
      </c>
      <c r="F342" s="303">
        <v>370</v>
      </c>
      <c r="H342" s="280"/>
    </row>
    <row r="343" s="278" customFormat="1" ht="14.25" customHeight="1" spans="1:8">
      <c r="A343" s="290" t="s">
        <v>4506</v>
      </c>
      <c r="B343" s="295" t="s">
        <v>4512</v>
      </c>
      <c r="C343" s="295">
        <v>800</v>
      </c>
      <c r="D343" s="295">
        <v>760</v>
      </c>
      <c r="E343" s="295">
        <v>730</v>
      </c>
      <c r="F343" s="303">
        <v>340</v>
      </c>
      <c r="H343" s="280"/>
    </row>
    <row r="344" s="278" customFormat="1" ht="14.25" customHeight="1" spans="1:8">
      <c r="A344" s="290" t="s">
        <v>4506</v>
      </c>
      <c r="B344" s="301" t="s">
        <v>4513</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4552</v>
      </c>
      <c r="B1" s="235" t="s">
        <v>4162</v>
      </c>
      <c r="C1" s="235" t="s">
        <v>4168</v>
      </c>
      <c r="D1" s="235" t="s">
        <v>4188</v>
      </c>
      <c r="E1" s="235" t="s">
        <v>4209</v>
      </c>
      <c r="F1" s="235" t="s">
        <v>4237</v>
      </c>
      <c r="G1" s="235" t="s">
        <v>4272</v>
      </c>
      <c r="H1" s="235" t="s">
        <v>4321</v>
      </c>
      <c r="I1" s="235" t="s">
        <v>4370</v>
      </c>
      <c r="J1" s="235" t="s">
        <v>4410</v>
      </c>
      <c r="K1" s="235" t="s">
        <v>4456</v>
      </c>
      <c r="L1" s="235" t="s">
        <v>4484</v>
      </c>
      <c r="M1" s="270" t="s">
        <v>4506</v>
      </c>
    </row>
    <row r="2" customHeight="1" spans="1:13">
      <c r="A2" s="236" t="s">
        <v>4157</v>
      </c>
      <c r="B2" s="237">
        <v>3.5</v>
      </c>
      <c r="C2" s="237">
        <v>3.5</v>
      </c>
      <c r="D2" s="238">
        <v>2.5</v>
      </c>
      <c r="E2" s="238">
        <v>2.5</v>
      </c>
      <c r="F2" s="238">
        <v>2.5</v>
      </c>
      <c r="G2" s="238">
        <v>2.5</v>
      </c>
      <c r="H2" s="238">
        <v>2.5</v>
      </c>
      <c r="I2" s="237">
        <v>2</v>
      </c>
      <c r="J2" s="237">
        <v>2</v>
      </c>
      <c r="K2" s="237">
        <v>2</v>
      </c>
      <c r="L2" s="237">
        <v>2</v>
      </c>
      <c r="M2" s="271">
        <v>2</v>
      </c>
    </row>
    <row r="3" customHeight="1" spans="1:13">
      <c r="A3" s="239" t="s">
        <v>4158</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4159</v>
      </c>
      <c r="B5" s="243">
        <v>1.5</v>
      </c>
      <c r="C5" s="243">
        <v>1.5</v>
      </c>
      <c r="D5" s="243">
        <v>1.5</v>
      </c>
      <c r="E5" s="243">
        <v>1.5</v>
      </c>
      <c r="F5" s="243">
        <v>1.5</v>
      </c>
      <c r="G5" s="244">
        <v>1.2</v>
      </c>
      <c r="H5" s="244">
        <v>1.2</v>
      </c>
      <c r="I5" s="244">
        <v>1</v>
      </c>
      <c r="J5" s="244">
        <v>1</v>
      </c>
      <c r="K5" s="244">
        <v>1</v>
      </c>
      <c r="L5" s="244">
        <v>1</v>
      </c>
      <c r="M5" s="273">
        <v>1</v>
      </c>
    </row>
    <row r="6" customHeight="1" spans="1:13">
      <c r="A6" s="245" t="s">
        <v>4553</v>
      </c>
      <c r="B6" s="246">
        <v>80</v>
      </c>
      <c r="C6" s="246">
        <v>80</v>
      </c>
      <c r="D6" s="246">
        <v>65</v>
      </c>
      <c r="E6" s="246">
        <v>65</v>
      </c>
      <c r="F6" s="246">
        <v>65</v>
      </c>
      <c r="G6" s="246">
        <v>65</v>
      </c>
      <c r="H6" s="246">
        <v>65</v>
      </c>
      <c r="I6" s="246">
        <v>50</v>
      </c>
      <c r="J6" s="246">
        <v>50</v>
      </c>
      <c r="K6" s="246">
        <v>50</v>
      </c>
      <c r="L6" s="246">
        <v>50</v>
      </c>
      <c r="M6" s="274">
        <v>50</v>
      </c>
    </row>
    <row r="7" customHeight="1" spans="1:13">
      <c r="A7" s="247" t="s">
        <v>4554</v>
      </c>
      <c r="B7" s="248">
        <v>70</v>
      </c>
      <c r="C7" s="248">
        <v>70</v>
      </c>
      <c r="D7" s="248">
        <v>55</v>
      </c>
      <c r="E7" s="248">
        <v>55</v>
      </c>
      <c r="F7" s="248">
        <v>55</v>
      </c>
      <c r="G7" s="248">
        <v>55</v>
      </c>
      <c r="H7" s="248">
        <v>55</v>
      </c>
      <c r="I7" s="248">
        <v>40</v>
      </c>
      <c r="J7" s="248">
        <v>40</v>
      </c>
      <c r="K7" s="248">
        <v>40</v>
      </c>
      <c r="L7" s="248">
        <v>40</v>
      </c>
      <c r="M7" s="275">
        <v>40</v>
      </c>
    </row>
    <row r="8" customHeight="1" spans="1:13">
      <c r="A8" s="247" t="s">
        <v>3303</v>
      </c>
      <c r="B8" s="248">
        <v>20</v>
      </c>
      <c r="C8" s="248">
        <v>20</v>
      </c>
      <c r="D8" s="248">
        <v>15</v>
      </c>
      <c r="E8" s="248">
        <v>15</v>
      </c>
      <c r="F8" s="248">
        <v>15</v>
      </c>
      <c r="G8" s="248">
        <v>15</v>
      </c>
      <c r="H8" s="248">
        <v>15</v>
      </c>
      <c r="I8" s="248">
        <v>10</v>
      </c>
      <c r="J8" s="248">
        <v>10</v>
      </c>
      <c r="K8" s="248">
        <v>10</v>
      </c>
      <c r="L8" s="248">
        <v>10</v>
      </c>
      <c r="M8" s="275">
        <v>10</v>
      </c>
    </row>
    <row r="9" customHeight="1" spans="1:13">
      <c r="A9" s="247" t="s">
        <v>4555</v>
      </c>
      <c r="B9" s="248">
        <v>30</v>
      </c>
      <c r="C9" s="248">
        <v>30</v>
      </c>
      <c r="D9" s="248">
        <v>25</v>
      </c>
      <c r="E9" s="248">
        <v>25</v>
      </c>
      <c r="F9" s="248">
        <v>25</v>
      </c>
      <c r="G9" s="248">
        <v>25</v>
      </c>
      <c r="H9" s="248">
        <v>25</v>
      </c>
      <c r="I9" s="248">
        <v>20</v>
      </c>
      <c r="J9" s="248">
        <v>20</v>
      </c>
      <c r="K9" s="248">
        <v>20</v>
      </c>
      <c r="L9" s="248">
        <v>20</v>
      </c>
      <c r="M9" s="275">
        <v>20</v>
      </c>
    </row>
    <row r="10" customHeight="1" spans="1:13">
      <c r="A10" s="247" t="s">
        <v>4556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4557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3302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4558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4559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4560</v>
      </c>
      <c r="B16" s="252"/>
      <c r="C16" s="253"/>
      <c r="D16" s="253"/>
      <c r="E16" s="252"/>
      <c r="F16" s="253"/>
      <c r="G16" s="253"/>
    </row>
    <row r="17" customHeight="1" spans="1:7">
      <c r="A17" s="248" t="s">
        <v>4561</v>
      </c>
      <c r="B17" s="254" t="s">
        <v>4562</v>
      </c>
      <c r="C17" s="254" t="s">
        <v>4563</v>
      </c>
      <c r="D17" s="255"/>
      <c r="E17" s="248" t="s">
        <v>4564</v>
      </c>
      <c r="F17" s="256"/>
      <c r="G17" s="256"/>
    </row>
    <row r="18" s="231" customFormat="1" customHeight="1" spans="1:9">
      <c r="A18" s="257" t="s">
        <v>4157</v>
      </c>
      <c r="B18" s="257" t="s">
        <v>4565</v>
      </c>
      <c r="C18" s="258" t="s">
        <v>4566</v>
      </c>
      <c r="D18" s="259"/>
      <c r="E18" s="257">
        <v>1</v>
      </c>
      <c r="F18" s="260" t="s">
        <v>4567</v>
      </c>
      <c r="G18" s="261"/>
      <c r="H18" s="232"/>
      <c r="I18" s="232"/>
    </row>
    <row r="19" s="231" customFormat="1" customHeight="1" spans="1:9">
      <c r="A19" s="257"/>
      <c r="B19" s="257" t="s">
        <v>4568</v>
      </c>
      <c r="C19" s="258" t="s">
        <v>4569</v>
      </c>
      <c r="D19" s="259"/>
      <c r="E19" s="257">
        <v>0.9</v>
      </c>
      <c r="F19" s="260" t="s">
        <v>4570</v>
      </c>
      <c r="G19" s="261"/>
      <c r="H19" s="232"/>
      <c r="I19" s="232"/>
    </row>
    <row r="20" s="231" customFormat="1" customHeight="1" spans="1:9">
      <c r="A20" s="257"/>
      <c r="B20" s="257"/>
      <c r="C20" s="258" t="s">
        <v>4571</v>
      </c>
      <c r="D20" s="259"/>
      <c r="E20" s="257">
        <v>1.1</v>
      </c>
      <c r="F20" s="260" t="s">
        <v>4572</v>
      </c>
      <c r="G20" s="261"/>
      <c r="H20" s="232"/>
      <c r="I20" s="232"/>
    </row>
    <row r="21" s="231" customFormat="1" customHeight="1" spans="1:9">
      <c r="A21" s="257"/>
      <c r="B21" s="257"/>
      <c r="C21" s="258" t="s">
        <v>4573</v>
      </c>
      <c r="D21" s="259"/>
      <c r="E21" s="257">
        <v>0.8</v>
      </c>
      <c r="F21" s="260" t="s">
        <v>4574</v>
      </c>
      <c r="G21" s="261"/>
      <c r="H21" s="232"/>
      <c r="I21" s="232"/>
    </row>
    <row r="22" s="231" customFormat="1" customHeight="1" spans="1:9">
      <c r="A22" s="257"/>
      <c r="B22" s="257"/>
      <c r="C22" s="258" t="s">
        <v>4575</v>
      </c>
      <c r="D22" s="259"/>
      <c r="E22" s="257">
        <v>0.5</v>
      </c>
      <c r="F22" s="260"/>
      <c r="G22" s="261"/>
      <c r="H22" s="232"/>
      <c r="I22" s="232"/>
    </row>
    <row r="23" s="231" customFormat="1" customHeight="1" spans="1:9">
      <c r="A23" s="257" t="s">
        <v>4158</v>
      </c>
      <c r="B23" s="257" t="s">
        <v>4565</v>
      </c>
      <c r="C23" s="258" t="s">
        <v>4576</v>
      </c>
      <c r="D23" s="259"/>
      <c r="E23" s="257">
        <v>1</v>
      </c>
      <c r="F23" s="260" t="s">
        <v>4577</v>
      </c>
      <c r="G23" s="261"/>
      <c r="H23" s="232"/>
      <c r="I23" s="232"/>
    </row>
    <row r="24" s="231" customFormat="1" customHeight="1" spans="1:9">
      <c r="A24" s="257"/>
      <c r="B24" s="257" t="s">
        <v>4568</v>
      </c>
      <c r="C24" s="258" t="s">
        <v>4578</v>
      </c>
      <c r="D24" s="259"/>
      <c r="E24" s="257">
        <v>0.5</v>
      </c>
      <c r="F24" s="260"/>
      <c r="G24" s="261"/>
      <c r="H24" s="232"/>
      <c r="I24" s="232"/>
    </row>
    <row r="25" s="231" customFormat="1" customHeight="1" spans="1:9">
      <c r="A25" s="257"/>
      <c r="B25" s="257"/>
      <c r="C25" s="258" t="s">
        <v>4579</v>
      </c>
      <c r="D25" s="259"/>
      <c r="E25" s="257">
        <v>1.1</v>
      </c>
      <c r="F25" s="260"/>
      <c r="G25" s="261"/>
      <c r="H25" s="232"/>
      <c r="I25" s="232"/>
    </row>
    <row r="26" s="231" customFormat="1" customHeight="1" spans="1:9">
      <c r="A26" s="257"/>
      <c r="B26" s="257"/>
      <c r="C26" s="258" t="s">
        <v>4580</v>
      </c>
      <c r="D26" s="259"/>
      <c r="E26" s="257">
        <v>1.1</v>
      </c>
      <c r="F26" s="260"/>
      <c r="G26" s="261"/>
      <c r="H26" s="232"/>
      <c r="I26" s="232"/>
    </row>
    <row r="27" s="231" customFormat="1" customHeight="1" spans="1:9">
      <c r="A27" s="257"/>
      <c r="B27" s="257"/>
      <c r="C27" s="258" t="s">
        <v>4581</v>
      </c>
      <c r="D27" s="259"/>
      <c r="E27" s="257">
        <v>0.9</v>
      </c>
      <c r="F27" s="260" t="s">
        <v>4582</v>
      </c>
      <c r="G27" s="261"/>
      <c r="H27" s="232"/>
      <c r="I27" s="232"/>
    </row>
    <row r="28" s="231" customFormat="1" customHeight="1" spans="1:9">
      <c r="A28" s="257"/>
      <c r="B28" s="257"/>
      <c r="C28" s="258" t="s">
        <v>4583</v>
      </c>
      <c r="D28" s="259"/>
      <c r="E28" s="257">
        <v>0.9</v>
      </c>
      <c r="F28" s="260" t="s">
        <v>4584</v>
      </c>
      <c r="G28" s="261"/>
      <c r="H28" s="232"/>
      <c r="I28" s="232"/>
    </row>
    <row r="29" s="231" customFormat="1" customHeight="1" spans="1:9">
      <c r="A29" s="257"/>
      <c r="B29" s="257"/>
      <c r="C29" s="258" t="s">
        <v>4585</v>
      </c>
      <c r="D29" s="259"/>
      <c r="E29" s="257">
        <v>0.9</v>
      </c>
      <c r="F29" s="260" t="s">
        <v>4586</v>
      </c>
      <c r="G29" s="261"/>
      <c r="H29" s="232"/>
      <c r="I29" s="232"/>
    </row>
    <row r="30" s="231" customFormat="1" customHeight="1" spans="1:9">
      <c r="A30" s="257"/>
      <c r="B30" s="257"/>
      <c r="C30" s="258" t="s">
        <v>4587</v>
      </c>
      <c r="D30" s="259"/>
      <c r="E30" s="257">
        <v>0.9</v>
      </c>
      <c r="F30" s="260" t="s">
        <v>4588</v>
      </c>
      <c r="G30" s="261"/>
      <c r="H30" s="232"/>
      <c r="I30" s="232"/>
    </row>
    <row r="31" s="231" customFormat="1" customHeight="1" spans="1:9">
      <c r="A31" s="257"/>
      <c r="B31" s="257"/>
      <c r="C31" s="258" t="s">
        <v>4589</v>
      </c>
      <c r="D31" s="259"/>
      <c r="E31" s="257">
        <v>0.8</v>
      </c>
      <c r="F31" s="260" t="s">
        <v>4590</v>
      </c>
      <c r="G31" s="261"/>
      <c r="H31" s="232"/>
      <c r="I31" s="232"/>
    </row>
    <row r="32" s="231" customFormat="1" customHeight="1" spans="1:9">
      <c r="A32" s="257"/>
      <c r="B32" s="257"/>
      <c r="C32" s="258" t="s">
        <v>4591</v>
      </c>
      <c r="D32" s="259"/>
      <c r="E32" s="257">
        <v>0.8</v>
      </c>
      <c r="F32" s="260" t="s">
        <v>4592</v>
      </c>
      <c r="G32" s="261"/>
      <c r="H32" s="232"/>
      <c r="I32" s="232"/>
    </row>
    <row r="33" s="231" customFormat="1" customHeight="1" spans="1:9">
      <c r="A33" s="257" t="s">
        <v>4593</v>
      </c>
      <c r="B33" s="257" t="s">
        <v>4565</v>
      </c>
      <c r="C33" s="258" t="s">
        <v>3983</v>
      </c>
      <c r="D33" s="259"/>
      <c r="E33" s="257">
        <v>1</v>
      </c>
      <c r="F33" s="260" t="s">
        <v>4594</v>
      </c>
      <c r="G33" s="261"/>
      <c r="H33" s="232"/>
      <c r="I33" s="232"/>
    </row>
    <row r="34" s="231" customFormat="1" customHeight="1" spans="1:9">
      <c r="A34" s="257"/>
      <c r="B34" s="257" t="s">
        <v>4568</v>
      </c>
      <c r="C34" s="258" t="s">
        <v>4595</v>
      </c>
      <c r="D34" s="259"/>
      <c r="E34" s="257">
        <v>1.5</v>
      </c>
      <c r="F34" s="260" t="s">
        <v>4596</v>
      </c>
      <c r="G34" s="261"/>
      <c r="H34" s="232"/>
      <c r="I34" s="232"/>
    </row>
    <row r="35" s="231" customFormat="1" customHeight="1" spans="1:9">
      <c r="A35" s="257" t="s">
        <v>4159</v>
      </c>
      <c r="B35" s="257" t="s">
        <v>4565</v>
      </c>
      <c r="C35" s="258" t="s">
        <v>4597</v>
      </c>
      <c r="D35" s="259"/>
      <c r="E35" s="257">
        <v>1</v>
      </c>
      <c r="F35" s="260" t="s">
        <v>4598</v>
      </c>
      <c r="G35" s="261"/>
      <c r="H35" s="232"/>
      <c r="I35" s="232"/>
    </row>
    <row r="36" s="231" customFormat="1" customHeight="1" spans="1:9">
      <c r="A36" s="257"/>
      <c r="B36" s="257" t="s">
        <v>4568</v>
      </c>
      <c r="C36" s="258" t="s">
        <v>4599</v>
      </c>
      <c r="D36" s="259"/>
      <c r="E36" s="257">
        <v>1</v>
      </c>
      <c r="F36" s="260" t="s">
        <v>4600</v>
      </c>
      <c r="G36" s="261"/>
      <c r="H36" s="232"/>
      <c r="I36" s="232"/>
    </row>
    <row r="37" s="231" customFormat="1" customHeight="1" spans="1:9">
      <c r="A37" s="257"/>
      <c r="B37" s="257"/>
      <c r="C37" s="258" t="s">
        <v>4601</v>
      </c>
      <c r="D37" s="259"/>
      <c r="E37" s="257">
        <v>1.5</v>
      </c>
      <c r="F37" s="260" t="s">
        <v>4602</v>
      </c>
      <c r="G37" s="261"/>
      <c r="H37" s="232"/>
      <c r="I37" s="232"/>
    </row>
    <row r="38" s="231" customFormat="1" customHeight="1" spans="1:9">
      <c r="A38" s="257"/>
      <c r="B38" s="257"/>
      <c r="C38" s="258" t="s">
        <v>4603</v>
      </c>
      <c r="D38" s="259"/>
      <c r="E38" s="257">
        <v>1</v>
      </c>
      <c r="F38" s="260" t="s">
        <v>4604</v>
      </c>
      <c r="G38" s="261"/>
      <c r="H38" s="232"/>
      <c r="I38" s="232"/>
    </row>
    <row r="39" s="231" customFormat="1" customHeight="1" spans="1:9">
      <c r="A39" s="257"/>
      <c r="B39" s="257"/>
      <c r="C39" s="258" t="s">
        <v>4605</v>
      </c>
      <c r="D39" s="259"/>
      <c r="E39" s="257">
        <v>1</v>
      </c>
      <c r="F39" s="260" t="s">
        <v>4606</v>
      </c>
      <c r="G39" s="261"/>
      <c r="H39" s="232"/>
      <c r="I39" s="232"/>
    </row>
    <row r="40" s="231" customFormat="1" customHeight="1" spans="1:9">
      <c r="A40" s="262" t="s">
        <v>4607</v>
      </c>
      <c r="B40" s="262"/>
      <c r="C40" s="262"/>
      <c r="D40" s="262"/>
      <c r="E40" s="262"/>
      <c r="F40" s="263"/>
      <c r="G40" s="263"/>
      <c r="H40" s="232"/>
      <c r="I40" s="232"/>
    </row>
    <row r="42" customHeight="1" spans="1:8">
      <c r="A42" s="264"/>
      <c r="B42" s="248" t="s">
        <v>4608</v>
      </c>
      <c r="C42" s="248" t="s">
        <v>4608</v>
      </c>
      <c r="D42" s="248" t="s">
        <v>4608</v>
      </c>
      <c r="E42" s="250" t="s">
        <v>4608</v>
      </c>
      <c r="F42" s="250" t="s">
        <v>4608</v>
      </c>
      <c r="G42" s="250" t="s">
        <v>4609</v>
      </c>
      <c r="H42" s="250" t="s">
        <v>4608</v>
      </c>
    </row>
    <row r="43" customHeight="1" spans="1:8">
      <c r="A43" s="265"/>
      <c r="B43" s="250" t="s">
        <v>4157</v>
      </c>
      <c r="C43" s="250" t="s">
        <v>4157</v>
      </c>
      <c r="D43" s="250" t="s">
        <v>4157</v>
      </c>
      <c r="E43" s="250" t="s">
        <v>4157</v>
      </c>
      <c r="F43" s="248" t="s">
        <v>4158</v>
      </c>
      <c r="G43" s="248" t="s">
        <v>4159</v>
      </c>
      <c r="H43" s="248" t="s">
        <v>4610</v>
      </c>
    </row>
    <row r="44" customHeight="1" spans="1:8">
      <c r="A44" s="266"/>
      <c r="B44" s="248">
        <v>1</v>
      </c>
      <c r="C44" s="248">
        <v>2</v>
      </c>
      <c r="D44" s="248">
        <v>3</v>
      </c>
      <c r="E44" s="250">
        <v>4</v>
      </c>
      <c r="F44" s="255" t="s">
        <v>4611</v>
      </c>
      <c r="G44" s="255" t="s">
        <v>4611</v>
      </c>
      <c r="H44" s="255" t="s">
        <v>4611</v>
      </c>
    </row>
    <row r="45" customHeight="1" spans="1:8">
      <c r="A45" s="267" t="s">
        <v>4162</v>
      </c>
      <c r="B45" s="248">
        <v>0.8</v>
      </c>
      <c r="C45" s="248">
        <v>0.5</v>
      </c>
      <c r="D45" s="248">
        <v>0.36</v>
      </c>
      <c r="E45" s="248">
        <v>0.3</v>
      </c>
      <c r="F45" s="255">
        <v>0.3</v>
      </c>
      <c r="G45" s="248">
        <v>0.3</v>
      </c>
      <c r="H45" s="248">
        <v>0.25</v>
      </c>
    </row>
    <row r="46" customHeight="1" spans="1:8">
      <c r="A46" s="267" t="s">
        <v>4168</v>
      </c>
      <c r="B46" s="248">
        <v>0.8</v>
      </c>
      <c r="C46" s="248">
        <v>0.5</v>
      </c>
      <c r="D46" s="248">
        <v>0.36</v>
      </c>
      <c r="E46" s="248">
        <v>0.3</v>
      </c>
      <c r="F46" s="248">
        <v>0.3</v>
      </c>
      <c r="G46" s="248">
        <v>0.3</v>
      </c>
      <c r="H46" s="248">
        <v>0.25</v>
      </c>
    </row>
    <row r="47" customHeight="1" spans="1:8">
      <c r="A47" s="267" t="s">
        <v>4188</v>
      </c>
      <c r="B47" s="248">
        <v>0.7</v>
      </c>
      <c r="C47" s="248">
        <v>0.4</v>
      </c>
      <c r="D47" s="248">
        <v>0.28</v>
      </c>
      <c r="E47" s="248">
        <v>0.25</v>
      </c>
      <c r="F47" s="248">
        <v>0.25</v>
      </c>
      <c r="G47" s="248">
        <v>0.25</v>
      </c>
      <c r="H47" s="248">
        <v>0.2</v>
      </c>
    </row>
    <row r="48" customHeight="1" spans="1:8">
      <c r="A48" s="267" t="s">
        <v>4209</v>
      </c>
      <c r="B48" s="248">
        <v>0.7</v>
      </c>
      <c r="C48" s="248">
        <v>0.4</v>
      </c>
      <c r="D48" s="248">
        <v>0.28</v>
      </c>
      <c r="E48" s="248">
        <v>0.25</v>
      </c>
      <c r="F48" s="248">
        <v>0.25</v>
      </c>
      <c r="G48" s="248">
        <v>0.25</v>
      </c>
      <c r="H48" s="248">
        <v>0.2</v>
      </c>
    </row>
    <row r="49" s="232" customFormat="1" customHeight="1" spans="1:8">
      <c r="A49" s="267" t="s">
        <v>4237</v>
      </c>
      <c r="B49" s="248">
        <v>0.7</v>
      </c>
      <c r="C49" s="248">
        <v>0.4</v>
      </c>
      <c r="D49" s="248">
        <v>0.28</v>
      </c>
      <c r="E49" s="248">
        <v>0.25</v>
      </c>
      <c r="F49" s="248">
        <v>0.25</v>
      </c>
      <c r="G49" s="248">
        <v>0.25</v>
      </c>
      <c r="H49" s="248">
        <v>0.2</v>
      </c>
    </row>
    <row r="50" s="232" customFormat="1" customHeight="1" spans="1:8">
      <c r="A50" s="267" t="s">
        <v>4272</v>
      </c>
      <c r="B50" s="248">
        <v>0.7</v>
      </c>
      <c r="C50" s="248">
        <v>0.4</v>
      </c>
      <c r="D50" s="248">
        <v>0.28</v>
      </c>
      <c r="E50" s="248">
        <v>0.25</v>
      </c>
      <c r="F50" s="248">
        <v>0.25</v>
      </c>
      <c r="G50" s="248">
        <v>0.25</v>
      </c>
      <c r="H50" s="248">
        <v>0.2</v>
      </c>
    </row>
    <row r="51" s="232" customFormat="1" customHeight="1" spans="1:8">
      <c r="A51" s="267" t="s">
        <v>4321</v>
      </c>
      <c r="B51" s="248">
        <v>0.7</v>
      </c>
      <c r="C51" s="248">
        <v>0.4</v>
      </c>
      <c r="D51" s="248">
        <v>0.28</v>
      </c>
      <c r="E51" s="248">
        <v>0.25</v>
      </c>
      <c r="F51" s="248">
        <v>0.25</v>
      </c>
      <c r="G51" s="248">
        <v>0.25</v>
      </c>
      <c r="H51" s="248">
        <v>0.2</v>
      </c>
    </row>
    <row r="52" s="232" customFormat="1" customHeight="1" spans="1:8">
      <c r="A52" s="267" t="s">
        <v>4370</v>
      </c>
      <c r="B52" s="248">
        <v>0.6</v>
      </c>
      <c r="C52" s="248">
        <v>0.3</v>
      </c>
      <c r="D52" s="248">
        <v>0.2</v>
      </c>
      <c r="E52" s="248">
        <v>0.2</v>
      </c>
      <c r="F52" s="248">
        <v>0.2</v>
      </c>
      <c r="G52" s="248">
        <v>0.2</v>
      </c>
      <c r="H52" s="248">
        <v>0.15</v>
      </c>
    </row>
    <row r="53" s="232" customFormat="1" customHeight="1" spans="1:8">
      <c r="A53" s="267" t="s">
        <v>4410</v>
      </c>
      <c r="B53" s="248">
        <v>0.6</v>
      </c>
      <c r="C53" s="248">
        <v>0.3</v>
      </c>
      <c r="D53" s="248">
        <v>0.2</v>
      </c>
      <c r="E53" s="248">
        <v>0.2</v>
      </c>
      <c r="F53" s="248">
        <v>0.2</v>
      </c>
      <c r="G53" s="248">
        <v>0.2</v>
      </c>
      <c r="H53" s="248">
        <v>0.15</v>
      </c>
    </row>
    <row r="54" s="232" customFormat="1" customHeight="1" spans="1:8">
      <c r="A54" s="267" t="s">
        <v>4456</v>
      </c>
      <c r="B54" s="248">
        <v>0.6</v>
      </c>
      <c r="C54" s="248">
        <v>0.3</v>
      </c>
      <c r="D54" s="248">
        <v>0.2</v>
      </c>
      <c r="E54" s="248">
        <v>0.2</v>
      </c>
      <c r="F54" s="248">
        <v>0.2</v>
      </c>
      <c r="G54" s="248">
        <v>0.2</v>
      </c>
      <c r="H54" s="248">
        <v>0.15</v>
      </c>
    </row>
    <row r="55" s="232" customFormat="1" customHeight="1" spans="1:8">
      <c r="A55" s="267" t="s">
        <v>4484</v>
      </c>
      <c r="B55" s="248">
        <v>0.6</v>
      </c>
      <c r="C55" s="248">
        <v>0.3</v>
      </c>
      <c r="D55" s="248">
        <v>0.2</v>
      </c>
      <c r="E55" s="248">
        <v>0.2</v>
      </c>
      <c r="F55" s="248">
        <v>0.2</v>
      </c>
      <c r="G55" s="248">
        <v>0.2</v>
      </c>
      <c r="H55" s="248">
        <v>0.15</v>
      </c>
    </row>
    <row r="56" s="232" customFormat="1" customHeight="1" spans="1:8">
      <c r="A56" s="267" t="s">
        <v>4506</v>
      </c>
      <c r="B56" s="248">
        <v>0.6</v>
      </c>
      <c r="C56" s="248">
        <v>0.3</v>
      </c>
      <c r="D56" s="248">
        <v>0.2</v>
      </c>
      <c r="E56" s="248">
        <v>0.2</v>
      </c>
      <c r="F56" s="248">
        <v>0.2</v>
      </c>
      <c r="G56" s="248">
        <v>0.2</v>
      </c>
      <c r="H56" s="248">
        <v>0.15</v>
      </c>
    </row>
    <row r="58" s="232" customFormat="1" customHeight="1" spans="1:6">
      <c r="A58" s="268"/>
      <c r="B58" s="252"/>
      <c r="C58" s="252"/>
      <c r="D58" s="252" t="s">
        <v>4612</v>
      </c>
      <c r="E58" s="252"/>
      <c r="F58" s="252"/>
    </row>
    <row r="59" s="232" customFormat="1" customHeight="1" spans="1:6">
      <c r="A59" s="257" t="s">
        <v>690</v>
      </c>
      <c r="B59" s="257" t="s">
        <v>4613</v>
      </c>
      <c r="C59" s="257" t="s">
        <v>4614</v>
      </c>
      <c r="D59" s="257" t="s">
        <v>4615</v>
      </c>
      <c r="E59" s="257" t="s">
        <v>4616</v>
      </c>
      <c r="F59" s="257" t="s">
        <v>4617</v>
      </c>
    </row>
    <row r="60" ht="13.5" spans="1:6">
      <c r="A60" s="257"/>
      <c r="B60" s="257"/>
      <c r="C60" s="257" t="s">
        <v>4618</v>
      </c>
      <c r="D60" s="257"/>
      <c r="E60" s="269" t="s">
        <v>121</v>
      </c>
      <c r="F60" s="257" t="s">
        <v>121</v>
      </c>
    </row>
    <row r="61" s="232" customFormat="1" ht="24" spans="1:6">
      <c r="A61" s="257">
        <v>1</v>
      </c>
      <c r="B61" s="257" t="s">
        <v>4619</v>
      </c>
      <c r="C61" s="248" t="s">
        <v>4620</v>
      </c>
      <c r="D61" s="248" t="s">
        <v>4621</v>
      </c>
      <c r="E61" s="269">
        <v>0.5</v>
      </c>
      <c r="F61" s="257">
        <v>80</v>
      </c>
    </row>
    <row r="62" s="232" customFormat="1" ht="24" spans="1:6">
      <c r="A62" s="257">
        <v>2</v>
      </c>
      <c r="B62" s="257"/>
      <c r="C62" s="248" t="s">
        <v>4622</v>
      </c>
      <c r="D62" s="248" t="s">
        <v>4623</v>
      </c>
      <c r="E62" s="269">
        <v>0.5</v>
      </c>
      <c r="F62" s="257">
        <v>80</v>
      </c>
    </row>
    <row r="63" s="232" customFormat="1" ht="36" spans="1:6">
      <c r="A63" s="257">
        <v>3</v>
      </c>
      <c r="B63" s="257"/>
      <c r="C63" s="248" t="s">
        <v>4624</v>
      </c>
      <c r="D63" s="248" t="s">
        <v>4625</v>
      </c>
      <c r="E63" s="269">
        <v>0.5</v>
      </c>
      <c r="F63" s="257">
        <v>80</v>
      </c>
    </row>
    <row r="64" s="232" customFormat="1" ht="36" spans="1:6">
      <c r="A64" s="257">
        <v>4</v>
      </c>
      <c r="B64" s="257"/>
      <c r="C64" s="248" t="s">
        <v>4626</v>
      </c>
      <c r="D64" s="248" t="s">
        <v>4627</v>
      </c>
      <c r="E64" s="269">
        <v>0.4</v>
      </c>
      <c r="F64" s="257">
        <v>60</v>
      </c>
    </row>
    <row r="65" s="232" customFormat="1" ht="36" spans="1:6">
      <c r="A65" s="257">
        <v>5</v>
      </c>
      <c r="B65" s="257"/>
      <c r="C65" s="248" t="s">
        <v>4628</v>
      </c>
      <c r="D65" s="248" t="s">
        <v>4629</v>
      </c>
      <c r="E65" s="269">
        <v>0.2</v>
      </c>
      <c r="F65" s="257">
        <v>30</v>
      </c>
    </row>
    <row r="66" s="232" customFormat="1" ht="36" spans="1:6">
      <c r="A66" s="257">
        <v>6</v>
      </c>
      <c r="B66" s="257"/>
      <c r="C66" s="248" t="s">
        <v>4630</v>
      </c>
      <c r="D66" s="248" t="s">
        <v>4631</v>
      </c>
      <c r="E66" s="269">
        <v>0.3</v>
      </c>
      <c r="F66" s="257">
        <v>50</v>
      </c>
    </row>
    <row r="67" s="232" customFormat="1" ht="36" spans="1:6">
      <c r="A67" s="257">
        <v>7</v>
      </c>
      <c r="B67" s="257"/>
      <c r="C67" s="248" t="s">
        <v>4632</v>
      </c>
      <c r="D67" s="248" t="s">
        <v>4633</v>
      </c>
      <c r="E67" s="269">
        <v>0.2</v>
      </c>
      <c r="F67" s="257">
        <v>30</v>
      </c>
    </row>
    <row r="68" s="232" customFormat="1" ht="36" spans="1:6">
      <c r="A68" s="257">
        <v>8</v>
      </c>
      <c r="B68" s="257"/>
      <c r="C68" s="248" t="s">
        <v>4634</v>
      </c>
      <c r="D68" s="248" t="s">
        <v>4635</v>
      </c>
      <c r="E68" s="269">
        <v>0.2</v>
      </c>
      <c r="F68" s="257">
        <v>30</v>
      </c>
    </row>
    <row r="69" s="232" customFormat="1" ht="36" spans="1:6">
      <c r="A69" s="257">
        <v>9</v>
      </c>
      <c r="B69" s="257"/>
      <c r="C69" s="248" t="s">
        <v>4636</v>
      </c>
      <c r="D69" s="248" t="s">
        <v>4637</v>
      </c>
      <c r="E69" s="269">
        <v>0.2</v>
      </c>
      <c r="F69" s="257">
        <v>30</v>
      </c>
    </row>
    <row r="70" s="232" customFormat="1" ht="48" spans="1:6">
      <c r="A70" s="257">
        <v>10</v>
      </c>
      <c r="B70" s="257"/>
      <c r="C70" s="248" t="s">
        <v>4638</v>
      </c>
      <c r="D70" s="248" t="s">
        <v>4639</v>
      </c>
      <c r="E70" s="269">
        <v>0.2</v>
      </c>
      <c r="F70" s="257">
        <v>30</v>
      </c>
    </row>
    <row r="71" s="232" customFormat="1" ht="48" spans="1:6">
      <c r="A71" s="257">
        <v>11</v>
      </c>
      <c r="B71" s="257"/>
      <c r="C71" s="248" t="s">
        <v>4640</v>
      </c>
      <c r="D71" s="248" t="s">
        <v>4641</v>
      </c>
      <c r="E71" s="269">
        <v>0.2</v>
      </c>
      <c r="F71" s="257">
        <v>30</v>
      </c>
    </row>
    <row r="72" s="232" customFormat="1" ht="36" spans="1:6">
      <c r="A72" s="257">
        <v>12</v>
      </c>
      <c r="B72" s="257"/>
      <c r="C72" s="248" t="s">
        <v>4642</v>
      </c>
      <c r="D72" s="248" t="s">
        <v>4643</v>
      </c>
      <c r="E72" s="269">
        <v>0.5</v>
      </c>
      <c r="F72" s="257">
        <v>80</v>
      </c>
    </row>
    <row r="73" s="232" customFormat="1" ht="36" spans="1:6">
      <c r="A73" s="257">
        <v>13</v>
      </c>
      <c r="B73" s="257"/>
      <c r="C73" s="248" t="s">
        <v>4644</v>
      </c>
      <c r="D73" s="248" t="s">
        <v>4645</v>
      </c>
      <c r="E73" s="269">
        <v>0.4</v>
      </c>
      <c r="F73" s="257">
        <v>60</v>
      </c>
    </row>
    <row r="74" s="232" customFormat="1" ht="36" spans="1:6">
      <c r="A74" s="257">
        <v>14</v>
      </c>
      <c r="B74" s="257"/>
      <c r="C74" s="248" t="s">
        <v>4646</v>
      </c>
      <c r="D74" s="248" t="s">
        <v>4647</v>
      </c>
      <c r="E74" s="269">
        <v>0.2</v>
      </c>
      <c r="F74" s="257">
        <v>30</v>
      </c>
    </row>
    <row r="75" s="232" customFormat="1" ht="36" spans="1:6">
      <c r="A75" s="257">
        <v>15</v>
      </c>
      <c r="B75" s="257"/>
      <c r="C75" s="248" t="s">
        <v>4648</v>
      </c>
      <c r="D75" s="248" t="s">
        <v>4649</v>
      </c>
      <c r="E75" s="269">
        <v>0.2</v>
      </c>
      <c r="F75" s="257">
        <v>30</v>
      </c>
    </row>
    <row r="76" s="232" customFormat="1" ht="24" spans="1:6">
      <c r="A76" s="257">
        <v>16</v>
      </c>
      <c r="B76" s="257" t="s">
        <v>4650</v>
      </c>
      <c r="C76" s="248" t="s">
        <v>4651</v>
      </c>
      <c r="D76" s="248" t="s">
        <v>4652</v>
      </c>
      <c r="E76" s="269">
        <v>0.5</v>
      </c>
      <c r="F76" s="257">
        <v>80</v>
      </c>
    </row>
    <row r="77" s="232" customFormat="1" ht="24" spans="1:6">
      <c r="A77" s="257">
        <v>17</v>
      </c>
      <c r="B77" s="257"/>
      <c r="C77" s="248" t="s">
        <v>4653</v>
      </c>
      <c r="D77" s="248" t="s">
        <v>4654</v>
      </c>
      <c r="E77" s="269">
        <v>0.5</v>
      </c>
      <c r="F77" s="257">
        <v>80</v>
      </c>
    </row>
    <row r="78" s="232" customFormat="1" ht="36" spans="1:6">
      <c r="A78" s="257">
        <v>18</v>
      </c>
      <c r="B78" s="257"/>
      <c r="C78" s="248" t="s">
        <v>4655</v>
      </c>
      <c r="D78" s="248" t="s">
        <v>4656</v>
      </c>
      <c r="E78" s="269">
        <v>0.2</v>
      </c>
      <c r="F78" s="257">
        <v>30</v>
      </c>
    </row>
    <row r="79" s="232" customFormat="1" ht="24" spans="1:6">
      <c r="A79" s="257">
        <v>19</v>
      </c>
      <c r="B79" s="257"/>
      <c r="C79" s="248" t="s">
        <v>4657</v>
      </c>
      <c r="D79" s="248" t="s">
        <v>4658</v>
      </c>
      <c r="E79" s="269">
        <v>0.5</v>
      </c>
      <c r="F79" s="257">
        <v>80</v>
      </c>
    </row>
    <row r="80" s="232" customFormat="1" ht="36" spans="1:6">
      <c r="A80" s="257">
        <v>20</v>
      </c>
      <c r="B80" s="257"/>
      <c r="C80" s="248" t="s">
        <v>4659</v>
      </c>
      <c r="D80" s="248" t="s">
        <v>4660</v>
      </c>
      <c r="E80" s="269">
        <v>0.2</v>
      </c>
      <c r="F80" s="257">
        <v>30</v>
      </c>
    </row>
    <row r="81" s="232" customFormat="1" ht="36" spans="1:6">
      <c r="A81" s="257">
        <v>21</v>
      </c>
      <c r="B81" s="257"/>
      <c r="C81" s="248" t="s">
        <v>4661</v>
      </c>
      <c r="D81" s="248" t="s">
        <v>4662</v>
      </c>
      <c r="E81" s="269">
        <v>0.2</v>
      </c>
      <c r="F81" s="257">
        <v>30</v>
      </c>
    </row>
    <row r="82" s="232" customFormat="1" ht="48" spans="1:6">
      <c r="A82" s="257">
        <v>22</v>
      </c>
      <c r="B82" s="257"/>
      <c r="C82" s="248" t="s">
        <v>4663</v>
      </c>
      <c r="D82" s="248" t="s">
        <v>4664</v>
      </c>
      <c r="E82" s="269">
        <v>0.2</v>
      </c>
      <c r="F82" s="257">
        <v>30</v>
      </c>
    </row>
    <row r="83" s="232" customFormat="1" ht="48" spans="1:6">
      <c r="A83" s="257">
        <v>23</v>
      </c>
      <c r="B83" s="257"/>
      <c r="C83" s="248" t="s">
        <v>4665</v>
      </c>
      <c r="D83" s="248" t="s">
        <v>4666</v>
      </c>
      <c r="E83" s="269">
        <v>0.2</v>
      </c>
      <c r="F83" s="257">
        <v>30</v>
      </c>
    </row>
    <row r="84" s="232" customFormat="1" ht="36" spans="1:6">
      <c r="A84" s="257">
        <v>24</v>
      </c>
      <c r="B84" s="257"/>
      <c r="C84" s="248" t="s">
        <v>4667</v>
      </c>
      <c r="D84" s="248" t="s">
        <v>4668</v>
      </c>
      <c r="E84" s="269">
        <v>0.2</v>
      </c>
      <c r="F84" s="257">
        <v>30</v>
      </c>
    </row>
    <row r="85" s="232" customFormat="1" ht="36" spans="1:6">
      <c r="A85" s="257">
        <v>25</v>
      </c>
      <c r="B85" s="257"/>
      <c r="C85" s="248" t="s">
        <v>4669</v>
      </c>
      <c r="D85" s="248" t="s">
        <v>4670</v>
      </c>
      <c r="E85" s="269">
        <v>0.5</v>
      </c>
      <c r="F85" s="257">
        <v>80</v>
      </c>
    </row>
    <row r="86" s="232" customFormat="1" ht="36" spans="1:6">
      <c r="A86" s="257">
        <v>26</v>
      </c>
      <c r="B86" s="257"/>
      <c r="C86" s="248" t="s">
        <v>4671</v>
      </c>
      <c r="D86" s="248" t="s">
        <v>4672</v>
      </c>
      <c r="E86" s="269">
        <v>0.2</v>
      </c>
      <c r="F86" s="257">
        <v>30</v>
      </c>
    </row>
    <row r="87" s="232" customFormat="1" ht="36" spans="1:6">
      <c r="A87" s="257">
        <v>27</v>
      </c>
      <c r="B87" s="257"/>
      <c r="C87" s="248" t="s">
        <v>4673</v>
      </c>
      <c r="D87" s="248" t="s">
        <v>4674</v>
      </c>
      <c r="E87" s="269">
        <v>0.2</v>
      </c>
      <c r="F87" s="257">
        <v>30</v>
      </c>
    </row>
    <row r="88" s="232" customFormat="1" ht="36" spans="1:6">
      <c r="A88" s="257">
        <v>28</v>
      </c>
      <c r="B88" s="257"/>
      <c r="C88" s="248" t="s">
        <v>4675</v>
      </c>
      <c r="D88" s="248" t="s">
        <v>4676</v>
      </c>
      <c r="E88" s="269">
        <v>0.2</v>
      </c>
      <c r="F88" s="257">
        <v>30</v>
      </c>
    </row>
    <row r="89" s="232" customFormat="1" ht="36" spans="1:6">
      <c r="A89" s="257">
        <v>29</v>
      </c>
      <c r="B89" s="257"/>
      <c r="C89" s="248" t="s">
        <v>4677</v>
      </c>
      <c r="D89" s="248" t="s">
        <v>4678</v>
      </c>
      <c r="E89" s="269">
        <v>0.2</v>
      </c>
      <c r="F89" s="257">
        <v>30</v>
      </c>
    </row>
    <row r="90" s="232" customFormat="1" ht="36" spans="1:6">
      <c r="A90" s="257">
        <v>30</v>
      </c>
      <c r="B90" s="257"/>
      <c r="C90" s="248" t="s">
        <v>4679</v>
      </c>
      <c r="D90" s="248" t="s">
        <v>4680</v>
      </c>
      <c r="E90" s="269">
        <v>0.2</v>
      </c>
      <c r="F90" s="257">
        <v>30</v>
      </c>
    </row>
    <row r="91" s="232" customFormat="1" ht="36" spans="1:6">
      <c r="A91" s="257">
        <v>31</v>
      </c>
      <c r="B91" s="257"/>
      <c r="C91" s="248" t="s">
        <v>4681</v>
      </c>
      <c r="D91" s="248" t="s">
        <v>4682</v>
      </c>
      <c r="E91" s="269">
        <v>0.2</v>
      </c>
      <c r="F91" s="257">
        <v>30</v>
      </c>
    </row>
    <row r="92" s="232" customFormat="1" ht="36" spans="1:6">
      <c r="A92" s="257">
        <v>32</v>
      </c>
      <c r="B92" s="257" t="s">
        <v>4683</v>
      </c>
      <c r="C92" s="257" t="s">
        <v>4684</v>
      </c>
      <c r="D92" s="248" t="s">
        <v>4685</v>
      </c>
      <c r="E92" s="269">
        <v>0.2</v>
      </c>
      <c r="F92" s="257">
        <v>30</v>
      </c>
    </row>
    <row r="93" s="232" customFormat="1" ht="36" spans="1:6">
      <c r="A93" s="257">
        <v>33</v>
      </c>
      <c r="B93" s="257"/>
      <c r="C93" s="257" t="s">
        <v>4686</v>
      </c>
      <c r="D93" s="248" t="s">
        <v>4687</v>
      </c>
      <c r="E93" s="269">
        <v>0.2</v>
      </c>
      <c r="F93" s="257">
        <v>30</v>
      </c>
    </row>
    <row r="94" s="232" customFormat="1" ht="48" spans="1:6">
      <c r="A94" s="257">
        <v>34</v>
      </c>
      <c r="B94" s="257"/>
      <c r="C94" s="257" t="s">
        <v>4688</v>
      </c>
      <c r="D94" s="248" t="s">
        <v>4689</v>
      </c>
      <c r="E94" s="269">
        <v>0.2</v>
      </c>
      <c r="F94" s="257">
        <v>30</v>
      </c>
    </row>
    <row r="95" s="232" customFormat="1" ht="36" spans="1:6">
      <c r="A95" s="257">
        <v>35</v>
      </c>
      <c r="B95" s="257"/>
      <c r="C95" s="257" t="s">
        <v>4690</v>
      </c>
      <c r="D95" s="248" t="s">
        <v>4691</v>
      </c>
      <c r="E95" s="269">
        <v>0.2</v>
      </c>
      <c r="F95" s="257">
        <v>30</v>
      </c>
    </row>
    <row r="96" s="232" customFormat="1" ht="48" spans="1:6">
      <c r="A96" s="257">
        <v>36</v>
      </c>
      <c r="B96" s="257"/>
      <c r="C96" s="248" t="s">
        <v>4692</v>
      </c>
      <c r="D96" s="248" t="s">
        <v>4693</v>
      </c>
      <c r="E96" s="269">
        <v>0.2</v>
      </c>
      <c r="F96" s="257">
        <v>30</v>
      </c>
    </row>
    <row r="97" s="232" customFormat="1" ht="36" spans="1:6">
      <c r="A97" s="257">
        <v>37</v>
      </c>
      <c r="B97" s="257"/>
      <c r="C97" s="257" t="s">
        <v>4694</v>
      </c>
      <c r="D97" s="248" t="s">
        <v>4695</v>
      </c>
      <c r="E97" s="269">
        <v>0.2</v>
      </c>
      <c r="F97" s="257">
        <v>30</v>
      </c>
    </row>
    <row r="98" s="232" customFormat="1" ht="36" spans="1:6">
      <c r="A98" s="257">
        <v>38</v>
      </c>
      <c r="B98" s="257"/>
      <c r="C98" s="257" t="s">
        <v>4696</v>
      </c>
      <c r="D98" s="248" t="s">
        <v>4697</v>
      </c>
      <c r="E98" s="269">
        <v>0.2</v>
      </c>
      <c r="F98" s="257">
        <v>30</v>
      </c>
    </row>
    <row r="99" s="232" customFormat="1" ht="36" spans="1:6">
      <c r="A99" s="257">
        <v>39</v>
      </c>
      <c r="B99" s="257" t="s">
        <v>1060</v>
      </c>
      <c r="C99" s="257" t="s">
        <v>4698</v>
      </c>
      <c r="D99" s="248" t="s">
        <v>4699</v>
      </c>
      <c r="E99" s="269">
        <v>0.3</v>
      </c>
      <c r="F99" s="257">
        <v>50</v>
      </c>
    </row>
    <row r="100" s="232" customFormat="1" ht="36" spans="1:6">
      <c r="A100" s="257">
        <v>40</v>
      </c>
      <c r="B100" s="257"/>
      <c r="C100" s="257" t="s">
        <v>4700</v>
      </c>
      <c r="D100" s="248" t="s">
        <v>4701</v>
      </c>
      <c r="E100" s="269">
        <v>0.2</v>
      </c>
      <c r="F100" s="257">
        <v>30</v>
      </c>
    </row>
    <row r="101" s="232" customFormat="1" ht="36" spans="1:6">
      <c r="A101" s="257">
        <v>41</v>
      </c>
      <c r="B101" s="257"/>
      <c r="C101" s="257" t="s">
        <v>4702</v>
      </c>
      <c r="D101" s="248" t="s">
        <v>4699</v>
      </c>
      <c r="E101" s="269">
        <v>0.2</v>
      </c>
      <c r="F101" s="257">
        <v>30</v>
      </c>
    </row>
    <row r="102" s="232" customFormat="1" ht="48" spans="1:6">
      <c r="A102" s="257">
        <v>42</v>
      </c>
      <c r="B102" s="257" t="s">
        <v>4703</v>
      </c>
      <c r="C102" s="248" t="s">
        <v>4704</v>
      </c>
      <c r="D102" s="248" t="s">
        <v>4705</v>
      </c>
      <c r="E102" s="269">
        <v>0.2</v>
      </c>
      <c r="F102" s="257">
        <v>30</v>
      </c>
    </row>
    <row r="103" s="232" customFormat="1" ht="36" spans="1:6">
      <c r="A103" s="257">
        <v>43</v>
      </c>
      <c r="B103" s="257" t="s">
        <v>4706</v>
      </c>
      <c r="C103" s="257" t="s">
        <v>4707</v>
      </c>
      <c r="D103" s="248" t="s">
        <v>4708</v>
      </c>
      <c r="E103" s="269">
        <v>0.2</v>
      </c>
      <c r="F103" s="257">
        <v>30</v>
      </c>
    </row>
    <row r="104" s="232" customFormat="1" ht="36" spans="1:6">
      <c r="A104" s="257">
        <v>44</v>
      </c>
      <c r="B104" s="257" t="s">
        <v>4709</v>
      </c>
      <c r="C104" s="257" t="s">
        <v>4710</v>
      </c>
      <c r="D104" s="248" t="s">
        <v>4711</v>
      </c>
      <c r="E104" s="269">
        <v>0.2</v>
      </c>
      <c r="F104" s="257">
        <v>30</v>
      </c>
    </row>
    <row r="105" s="232" customFormat="1" ht="36" spans="1:6">
      <c r="A105" s="257">
        <v>45</v>
      </c>
      <c r="B105" s="257" t="s">
        <v>4712</v>
      </c>
      <c r="C105" s="257" t="s">
        <v>4713</v>
      </c>
      <c r="D105" s="248" t="s">
        <v>4714</v>
      </c>
      <c r="E105" s="269">
        <v>0.2</v>
      </c>
      <c r="F105" s="257">
        <v>30</v>
      </c>
    </row>
    <row r="106" s="232" customFormat="1" ht="36" spans="1:6">
      <c r="A106" s="257">
        <v>46</v>
      </c>
      <c r="B106" s="257"/>
      <c r="C106" s="257" t="s">
        <v>4715</v>
      </c>
      <c r="D106" s="248" t="s">
        <v>4716</v>
      </c>
      <c r="E106" s="269">
        <v>0.2</v>
      </c>
      <c r="F106" s="257">
        <v>30</v>
      </c>
    </row>
    <row r="107" s="232" customFormat="1" ht="36" spans="1:6">
      <c r="A107" s="257">
        <v>47</v>
      </c>
      <c r="B107" s="257" t="s">
        <v>4717</v>
      </c>
      <c r="C107" s="257" t="s">
        <v>4718</v>
      </c>
      <c r="D107" s="248" t="s">
        <v>4719</v>
      </c>
      <c r="E107" s="269">
        <v>0.3</v>
      </c>
      <c r="F107" s="257">
        <v>50</v>
      </c>
    </row>
    <row r="108" s="232" customFormat="1" ht="36" spans="1:6">
      <c r="A108" s="257">
        <v>48</v>
      </c>
      <c r="B108" s="257"/>
      <c r="C108" s="257" t="s">
        <v>4720</v>
      </c>
      <c r="D108" s="248" t="s">
        <v>4721</v>
      </c>
      <c r="E108" s="269">
        <v>0.2</v>
      </c>
      <c r="F108" s="257">
        <v>30</v>
      </c>
    </row>
    <row r="109" s="232" customFormat="1" ht="36" spans="1:6">
      <c r="A109" s="257">
        <v>49</v>
      </c>
      <c r="B109" s="257" t="s">
        <v>4722</v>
      </c>
      <c r="C109" s="257" t="s">
        <v>4723</v>
      </c>
      <c r="D109" s="248" t="s">
        <v>4724</v>
      </c>
      <c r="E109" s="269">
        <v>0.2</v>
      </c>
      <c r="F109" s="257">
        <v>30</v>
      </c>
    </row>
    <row r="110" s="232" customFormat="1" ht="36" spans="1:6">
      <c r="A110" s="257">
        <v>50</v>
      </c>
      <c r="B110" s="257" t="s">
        <v>4725</v>
      </c>
      <c r="C110" s="257" t="s">
        <v>4726</v>
      </c>
      <c r="D110" s="248" t="s">
        <v>4727</v>
      </c>
      <c r="E110" s="269">
        <v>0.2</v>
      </c>
      <c r="F110" s="257">
        <v>30</v>
      </c>
    </row>
    <row r="111" s="232" customFormat="1" ht="36" spans="1:6">
      <c r="A111" s="257">
        <v>51</v>
      </c>
      <c r="B111" s="257" t="s">
        <v>4728</v>
      </c>
      <c r="C111" s="257" t="s">
        <v>4729</v>
      </c>
      <c r="D111" s="248" t="s">
        <v>4730</v>
      </c>
      <c r="E111" s="269">
        <v>0.2</v>
      </c>
      <c r="F111" s="257">
        <v>30</v>
      </c>
    </row>
    <row r="112" s="232" customFormat="1" ht="36" spans="1:6">
      <c r="A112" s="257">
        <v>52</v>
      </c>
      <c r="B112" s="257"/>
      <c r="C112" s="257" t="s">
        <v>4731</v>
      </c>
      <c r="D112" s="248" t="s">
        <v>4732</v>
      </c>
      <c r="E112" s="269">
        <v>0.2</v>
      </c>
      <c r="F112" s="257">
        <v>30</v>
      </c>
    </row>
    <row r="113" s="232" customFormat="1" ht="36" spans="1:6">
      <c r="A113" s="257">
        <v>53</v>
      </c>
      <c r="B113" s="257"/>
      <c r="C113" s="257" t="s">
        <v>4733</v>
      </c>
      <c r="D113" s="248" t="s">
        <v>4734</v>
      </c>
      <c r="E113" s="269">
        <v>0.2</v>
      </c>
      <c r="F113" s="257">
        <v>30</v>
      </c>
    </row>
    <row r="114" ht="36" spans="1:6">
      <c r="A114" s="257">
        <v>54</v>
      </c>
      <c r="B114" s="257" t="s">
        <v>4735</v>
      </c>
      <c r="C114" s="257" t="s">
        <v>4736</v>
      </c>
      <c r="D114" s="248" t="s">
        <v>4737</v>
      </c>
      <c r="E114" s="269">
        <v>0.2</v>
      </c>
      <c r="F114" s="257">
        <v>30</v>
      </c>
    </row>
    <row r="115" ht="36" spans="1:6">
      <c r="A115" s="257">
        <v>55</v>
      </c>
      <c r="B115" s="257" t="s">
        <v>4738</v>
      </c>
      <c r="C115" s="257" t="s">
        <v>4739</v>
      </c>
      <c r="D115" s="248" t="s">
        <v>4740</v>
      </c>
      <c r="E115" s="269">
        <v>0.2</v>
      </c>
      <c r="F115" s="257">
        <v>30</v>
      </c>
    </row>
    <row r="116" ht="36" spans="1:6">
      <c r="A116" s="257">
        <v>56</v>
      </c>
      <c r="B116" s="257" t="s">
        <v>4741</v>
      </c>
      <c r="C116" s="257" t="s">
        <v>4742</v>
      </c>
      <c r="D116" s="248" t="s">
        <v>4743</v>
      </c>
      <c r="E116" s="269">
        <v>0.2</v>
      </c>
      <c r="F116" s="257">
        <v>30</v>
      </c>
    </row>
    <row r="117" ht="36" spans="1:6">
      <c r="A117" s="257">
        <v>57</v>
      </c>
      <c r="B117" s="257"/>
      <c r="C117" s="257" t="s">
        <v>4744</v>
      </c>
      <c r="D117" s="248" t="s">
        <v>4745</v>
      </c>
      <c r="E117" s="269">
        <v>0.2</v>
      </c>
      <c r="F117" s="257">
        <v>30</v>
      </c>
    </row>
    <row r="118" ht="36" spans="1:6">
      <c r="A118" s="257">
        <v>58</v>
      </c>
      <c r="B118" s="257" t="s">
        <v>4746</v>
      </c>
      <c r="C118" s="257" t="s">
        <v>4747</v>
      </c>
      <c r="D118" s="248" t="s">
        <v>4748</v>
      </c>
      <c r="E118" s="269">
        <v>0.2</v>
      </c>
      <c r="F118" s="257">
        <v>30</v>
      </c>
    </row>
    <row r="119" ht="13.5" spans="1:6">
      <c r="A119" s="257"/>
      <c r="B119" s="257"/>
      <c r="C119" s="257" t="s">
        <v>4618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4749</v>
      </c>
      <c r="B1" s="223"/>
      <c r="C1" s="223"/>
      <c r="D1" s="223"/>
      <c r="E1" s="223"/>
      <c r="F1" s="223"/>
      <c r="G1" s="223"/>
      <c r="H1" s="223"/>
      <c r="I1" s="223"/>
      <c r="J1" s="223"/>
      <c r="K1" s="223"/>
      <c r="L1" s="223"/>
      <c r="M1" s="223"/>
      <c r="N1" s="223"/>
    </row>
    <row r="2" spans="1:13">
      <c r="A2" s="224" t="s">
        <v>4750</v>
      </c>
      <c r="B2" s="225" t="s">
        <v>4162</v>
      </c>
      <c r="C2" s="225" t="s">
        <v>4168</v>
      </c>
      <c r="D2" s="225" t="s">
        <v>4188</v>
      </c>
      <c r="E2" s="225" t="s">
        <v>4209</v>
      </c>
      <c r="F2" s="225" t="s">
        <v>4237</v>
      </c>
      <c r="G2" s="225" t="s">
        <v>4272</v>
      </c>
      <c r="H2" s="226" t="s">
        <v>4321</v>
      </c>
      <c r="I2" s="226" t="s">
        <v>4370</v>
      </c>
      <c r="J2" s="229" t="s">
        <v>4410</v>
      </c>
      <c r="K2" s="229" t="s">
        <v>4456</v>
      </c>
      <c r="L2" s="229" t="s">
        <v>4484</v>
      </c>
      <c r="M2" s="229" t="s">
        <v>4506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4751</v>
      </c>
      <c r="B103" s="223"/>
      <c r="C103" s="223"/>
      <c r="D103" s="223"/>
      <c r="E103" s="223"/>
      <c r="F103" s="223"/>
      <c r="G103" s="223"/>
      <c r="H103" s="223"/>
      <c r="I103" s="223"/>
      <c r="J103" s="223"/>
      <c r="K103" s="223"/>
      <c r="L103" s="223"/>
      <c r="M103" s="223"/>
      <c r="N103" s="223"/>
    </row>
    <row r="104" ht="14.25" spans="1:14">
      <c r="A104" s="224" t="s">
        <v>4750</v>
      </c>
      <c r="B104" s="225" t="s">
        <v>4162</v>
      </c>
      <c r="C104" s="225" t="s">
        <v>4168</v>
      </c>
      <c r="D104" s="225" t="s">
        <v>4188</v>
      </c>
      <c r="E104" s="225" t="s">
        <v>4209</v>
      </c>
      <c r="F104" s="225" t="s">
        <v>4237</v>
      </c>
      <c r="G104" s="225" t="s">
        <v>4272</v>
      </c>
      <c r="H104" s="226" t="s">
        <v>4321</v>
      </c>
      <c r="I104" s="226" t="s">
        <v>4370</v>
      </c>
      <c r="J104" s="229" t="s">
        <v>4410</v>
      </c>
      <c r="K104" s="229" t="s">
        <v>4456</v>
      </c>
      <c r="L104" s="229" t="s">
        <v>4484</v>
      </c>
      <c r="M104" s="229" t="s">
        <v>4506</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4752</v>
      </c>
      <c r="B205" s="223"/>
      <c r="C205" s="223"/>
      <c r="D205" s="223"/>
      <c r="E205" s="223"/>
      <c r="F205" s="223"/>
      <c r="G205" s="223"/>
      <c r="H205" s="223"/>
      <c r="I205" s="223"/>
      <c r="J205" s="223"/>
      <c r="K205" s="223"/>
      <c r="L205" s="223"/>
      <c r="M205" s="223"/>
    </row>
    <row r="206" spans="1:13">
      <c r="A206" s="224" t="s">
        <v>4750</v>
      </c>
      <c r="B206" s="225" t="s">
        <v>4162</v>
      </c>
      <c r="C206" s="225" t="s">
        <v>4168</v>
      </c>
      <c r="D206" s="225" t="s">
        <v>4188</v>
      </c>
      <c r="E206" s="225" t="s">
        <v>4209</v>
      </c>
      <c r="F206" s="225" t="s">
        <v>4237</v>
      </c>
      <c r="G206" s="225" t="s">
        <v>4272</v>
      </c>
      <c r="H206" s="226" t="s">
        <v>4321</v>
      </c>
      <c r="I206" s="226" t="s">
        <v>4370</v>
      </c>
      <c r="J206" s="229" t="s">
        <v>4410</v>
      </c>
      <c r="K206" s="229" t="s">
        <v>4456</v>
      </c>
      <c r="L206" s="229" t="s">
        <v>4484</v>
      </c>
      <c r="M206" s="229" t="s">
        <v>4506</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4753</v>
      </c>
      <c r="B307" s="223"/>
      <c r="C307" s="223"/>
      <c r="D307" s="223"/>
      <c r="E307" s="223"/>
      <c r="F307" s="223"/>
      <c r="G307" s="223"/>
      <c r="H307" s="223"/>
      <c r="I307" s="223"/>
      <c r="J307" s="223"/>
      <c r="K307" s="223"/>
      <c r="L307" s="223"/>
      <c r="M307" s="223"/>
    </row>
    <row r="308" spans="1:13">
      <c r="A308" s="224" t="s">
        <v>4750</v>
      </c>
      <c r="B308" s="225" t="s">
        <v>4162</v>
      </c>
      <c r="C308" s="225" t="s">
        <v>4168</v>
      </c>
      <c r="D308" s="225" t="s">
        <v>4188</v>
      </c>
      <c r="E308" s="225" t="s">
        <v>4209</v>
      </c>
      <c r="F308" s="225" t="s">
        <v>4237</v>
      </c>
      <c r="G308" s="225" t="s">
        <v>4272</v>
      </c>
      <c r="H308" s="226" t="s">
        <v>4321</v>
      </c>
      <c r="I308" s="226" t="s">
        <v>4370</v>
      </c>
      <c r="J308" s="229" t="s">
        <v>4410</v>
      </c>
      <c r="K308" s="229" t="s">
        <v>4456</v>
      </c>
      <c r="L308" s="229" t="s">
        <v>4484</v>
      </c>
      <c r="M308" s="229" t="s">
        <v>4506</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4754</v>
      </c>
      <c r="C1" s="84"/>
      <c r="D1" s="84"/>
      <c r="E1" s="84"/>
      <c r="F1" s="84"/>
      <c r="G1" s="72" t="s">
        <v>4755</v>
      </c>
      <c r="N1" s="72" t="s">
        <v>4756</v>
      </c>
      <c r="S1" s="72" t="s">
        <v>4757</v>
      </c>
      <c r="X1" s="166" t="s">
        <v>4758</v>
      </c>
      <c r="AD1" s="166" t="s">
        <v>4759</v>
      </c>
    </row>
    <row r="2" s="73" customFormat="1" ht="14.25" spans="2:34">
      <c r="B2" s="85" t="s">
        <v>4760</v>
      </c>
      <c r="C2" s="85" t="s">
        <v>4761</v>
      </c>
      <c r="D2" s="86" t="s">
        <v>4158</v>
      </c>
      <c r="E2" s="86" t="s">
        <v>461</v>
      </c>
      <c r="F2" s="85" t="s">
        <v>4762</v>
      </c>
      <c r="G2" s="87"/>
      <c r="I2" s="85" t="s">
        <v>4760</v>
      </c>
      <c r="J2" s="86" t="s">
        <v>4763</v>
      </c>
      <c r="K2" s="86" t="s">
        <v>461</v>
      </c>
      <c r="L2" s="85" t="s">
        <v>4762</v>
      </c>
      <c r="N2" s="85" t="s">
        <v>4760</v>
      </c>
      <c r="O2" s="86" t="s">
        <v>4763</v>
      </c>
      <c r="P2" s="86" t="s">
        <v>461</v>
      </c>
      <c r="Q2" s="85" t="s">
        <v>4762</v>
      </c>
      <c r="S2" s="85" t="s">
        <v>4760</v>
      </c>
      <c r="T2" s="86" t="s">
        <v>4763</v>
      </c>
      <c r="U2" s="86" t="s">
        <v>461</v>
      </c>
      <c r="V2" s="85" t="s">
        <v>4762</v>
      </c>
      <c r="X2" s="85" t="s">
        <v>4760</v>
      </c>
      <c r="Y2" s="85" t="s">
        <v>4761</v>
      </c>
      <c r="Z2" s="86" t="s">
        <v>4158</v>
      </c>
      <c r="AA2" s="86" t="s">
        <v>461</v>
      </c>
      <c r="AB2" s="85" t="s">
        <v>4762</v>
      </c>
      <c r="AD2" s="85" t="s">
        <v>4760</v>
      </c>
      <c r="AE2" s="85" t="s">
        <v>4761</v>
      </c>
      <c r="AF2" s="86" t="s">
        <v>4158</v>
      </c>
      <c r="AG2" s="86" t="s">
        <v>461</v>
      </c>
      <c r="AH2" s="85" t="s">
        <v>4762</v>
      </c>
    </row>
    <row r="3" s="74" customFormat="1" ht="14.25" spans="1:34">
      <c r="A3" s="88" t="s">
        <v>4764</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4765</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4766</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4767</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4768</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4769</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4770</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4771</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4772</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4773</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4774</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4775</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4776</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4777</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4778</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4779</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4780</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4781</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4782</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4783</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4784</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4785</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4786</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4787</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4788</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4789</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4790</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4791</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4792</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4793</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4794</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4795</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4796</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4797</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4798</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4799</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4800</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4801</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4802</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4803</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4804</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4805</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4806</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4807</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4808</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4809</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4810</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4811</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4812</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4813</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4814</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4815</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4816</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4817</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4818</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4819</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4820</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4821</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4822</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4823</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4824</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4825</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4826</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4827</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4828</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4829</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4830</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4831</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4832</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4833</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4834</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4835</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4836</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4837</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4838</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4839</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4840</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4841</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4842</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4843</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4844</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4845</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4846</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4847</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4848</v>
      </c>
      <c r="G88" s="199"/>
      <c r="N88" s="199"/>
      <c r="S88" s="199"/>
    </row>
    <row r="89" s="81" customFormat="1" spans="1:19">
      <c r="A89" s="81" t="s">
        <v>4849</v>
      </c>
      <c r="G89" s="199"/>
      <c r="N89" s="199"/>
      <c r="S89" s="199"/>
    </row>
    <row r="90" s="81" customFormat="1" spans="1:22">
      <c r="A90" s="81" t="s">
        <v>4850</v>
      </c>
      <c r="G90" s="199"/>
      <c r="I90" s="208"/>
      <c r="J90" s="208"/>
      <c r="K90" s="208"/>
      <c r="L90" s="208"/>
      <c r="N90" s="209"/>
      <c r="O90" s="208"/>
      <c r="P90" s="208"/>
      <c r="Q90" s="208"/>
      <c r="S90" s="209"/>
      <c r="T90" s="208"/>
      <c r="U90" s="208"/>
      <c r="V90" s="208"/>
    </row>
    <row r="91" s="81" customFormat="1" spans="1:19">
      <c r="A91" s="81" t="s">
        <v>4851</v>
      </c>
      <c r="G91" s="199"/>
      <c r="N91" s="199"/>
      <c r="S91" s="199"/>
    </row>
    <row r="98" ht="13.5"/>
    <row r="99" spans="7:22">
      <c r="G99" s="82"/>
      <c r="S99" s="212" t="s">
        <v>4852</v>
      </c>
      <c r="T99" s="213" t="s">
        <v>4853</v>
      </c>
      <c r="U99" s="213" t="s">
        <v>4854</v>
      </c>
      <c r="V99" s="213" t="s">
        <v>4855</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topLeftCell="A18" workbookViewId="0">
      <selection activeCell="F47" sqref="F4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38443</v>
      </c>
      <c r="D1" s="7" t="s">
        <v>4856</v>
      </c>
      <c r="E1" s="9">
        <f>'数据-取费表'!B24</f>
        <v>1</v>
      </c>
      <c r="F1" s="7" t="s">
        <v>4857</v>
      </c>
      <c r="G1" s="10">
        <f ca="1">INDIRECT("d"&amp;$K$1)/100</f>
        <v>0.0558</v>
      </c>
      <c r="H1" s="7" t="s">
        <v>4858</v>
      </c>
      <c r="I1" s="10">
        <f ca="1">F4/100</f>
        <v>0.0225</v>
      </c>
      <c r="J1" s="56">
        <f>IF(C1&gt;C13,0,MATCH(C1,C$13:C$107,-1))+IF(SUMIF(C13:C107,C1,D13:D107)=0,13,12)</f>
        <v>47</v>
      </c>
      <c r="K1" s="56">
        <f ca="1">MATCH(E1,C3:C7,1)+IF(SUMIF(C3:C7,E1,D3:D7)=0,2,1)</f>
        <v>4</v>
      </c>
      <c r="L1" s="56">
        <f>IF(C1&gt;M13,0,MATCH(C1,M$13:M$100,-1))+IF(SUMIF(M13:M100,C1,N13:N100)=0,13,12)</f>
        <v>38</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4857</v>
      </c>
      <c r="E2" s="11"/>
      <c r="F2" s="11" t="s">
        <v>4859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4860</v>
      </c>
      <c r="C3" s="14">
        <v>0</v>
      </c>
      <c r="D3" s="15">
        <f ca="1">INDIRECT("d"&amp;$J$1)</f>
        <v>5.22</v>
      </c>
      <c r="E3" s="16">
        <v>0.5</v>
      </c>
      <c r="F3" s="17">
        <f ca="1">INDIRECT("p"&amp;$L$1)</f>
        <v>2.07</v>
      </c>
      <c r="G3" s="3"/>
      <c r="H3" s="3"/>
      <c r="I3" s="3"/>
      <c r="J3" s="3"/>
      <c r="L3" s="3"/>
      <c r="M3" s="3"/>
      <c r="N3" s="3"/>
      <c r="O3" s="3"/>
      <c r="P3" s="3"/>
      <c r="Q3" s="3"/>
      <c r="R3" s="3"/>
      <c r="S3" s="3"/>
      <c r="T3" s="3"/>
      <c r="U3" s="3"/>
      <c r="V3" s="3"/>
      <c r="W3" s="3"/>
      <c r="X3" s="3"/>
      <c r="Y3" s="3"/>
      <c r="Z3" s="3"/>
    </row>
    <row r="4" spans="2:26">
      <c r="B4" s="18" t="s">
        <v>4861</v>
      </c>
      <c r="C4" s="19">
        <v>0.5</v>
      </c>
      <c r="D4" s="20">
        <f ca="1">INDIRECT("e"&amp;$J$1)</f>
        <v>5.58</v>
      </c>
      <c r="E4" s="21">
        <v>1</v>
      </c>
      <c r="F4" s="22">
        <f ca="1">INDIRECT("q"&amp;$L$1)</f>
        <v>2.25</v>
      </c>
      <c r="G4" s="3"/>
      <c r="H4" s="3"/>
      <c r="I4" s="3"/>
      <c r="J4" s="3"/>
      <c r="L4" s="3"/>
      <c r="M4" s="3"/>
      <c r="N4" s="3"/>
      <c r="O4" s="3"/>
      <c r="P4" s="3"/>
      <c r="Q4" s="3"/>
      <c r="R4" s="3"/>
      <c r="S4" s="3"/>
      <c r="T4" s="3"/>
      <c r="U4" s="3"/>
      <c r="V4" s="3"/>
      <c r="W4" s="3"/>
      <c r="X4" s="3"/>
      <c r="Y4" s="3"/>
      <c r="Z4" s="3"/>
    </row>
    <row r="5" spans="2:26">
      <c r="B5" s="18" t="s">
        <v>4862</v>
      </c>
      <c r="C5" s="19">
        <v>1</v>
      </c>
      <c r="D5" s="20">
        <f ca="1">INDIRECT("f"&amp;$J$1)</f>
        <v>5.76</v>
      </c>
      <c r="E5" s="21">
        <v>2</v>
      </c>
      <c r="F5" s="22">
        <f ca="1">INDIRECT("r"&amp;$L$1)</f>
        <v>2.7</v>
      </c>
      <c r="G5" s="3"/>
      <c r="H5" s="3"/>
      <c r="I5" s="3"/>
      <c r="J5" s="3"/>
      <c r="L5" s="3"/>
      <c r="M5" s="3"/>
      <c r="N5" s="3"/>
      <c r="O5" s="3"/>
      <c r="P5" s="3"/>
      <c r="Q5" s="3"/>
      <c r="R5" s="3"/>
      <c r="S5" s="3"/>
      <c r="T5" s="3"/>
      <c r="U5" s="3"/>
      <c r="V5" s="3"/>
      <c r="W5" s="3"/>
      <c r="X5" s="3"/>
      <c r="Y5" s="3"/>
      <c r="Z5" s="3"/>
    </row>
    <row r="6" spans="2:26">
      <c r="B6" s="18" t="s">
        <v>4863</v>
      </c>
      <c r="C6" s="19">
        <v>3</v>
      </c>
      <c r="D6" s="20">
        <f ca="1">INDIRECT("g"&amp;$J$1)</f>
        <v>5.85</v>
      </c>
      <c r="E6" s="21">
        <v>3</v>
      </c>
      <c r="F6" s="22">
        <f ca="1">INDIRECT("s"&amp;$L$1)</f>
        <v>3.24</v>
      </c>
      <c r="G6" s="3"/>
      <c r="H6" s="3"/>
      <c r="I6" s="3"/>
      <c r="J6" s="3"/>
      <c r="L6" s="3"/>
      <c r="M6" s="3"/>
      <c r="N6" s="3"/>
      <c r="O6" s="3"/>
      <c r="P6" s="3"/>
      <c r="Q6" s="3"/>
      <c r="R6" s="3"/>
      <c r="S6" s="3"/>
      <c r="T6" s="3"/>
      <c r="U6" s="3"/>
      <c r="V6" s="3"/>
      <c r="W6" s="3"/>
      <c r="X6" s="3"/>
      <c r="Y6" s="3"/>
      <c r="Z6" s="3"/>
    </row>
    <row r="7" ht="14.25" spans="2:26">
      <c r="B7" s="23" t="s">
        <v>4864</v>
      </c>
      <c r="C7" s="24">
        <v>5</v>
      </c>
      <c r="D7" s="25">
        <f ca="1">INDIRECT("h"&amp;$J$1)</f>
        <v>6.12</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4865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4866</v>
      </c>
      <c r="C10" s="35"/>
      <c r="D10" s="35"/>
      <c r="E10" s="35"/>
      <c r="F10" s="35"/>
      <c r="G10" s="35"/>
      <c r="H10" s="35"/>
      <c r="I10" s="3"/>
      <c r="J10" s="3"/>
      <c r="K10" s="35"/>
      <c r="L10" s="36" t="s">
        <v>4867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4868</v>
      </c>
      <c r="C11" s="39" t="s">
        <v>4869</v>
      </c>
      <c r="D11" s="40" t="s">
        <v>4870</v>
      </c>
      <c r="E11" s="41"/>
      <c r="F11" s="40" t="s">
        <v>4871</v>
      </c>
      <c r="G11" s="42"/>
      <c r="H11" s="41"/>
      <c r="I11" s="40" t="s">
        <v>4872</v>
      </c>
      <c r="J11" s="41"/>
      <c r="K11" s="37"/>
      <c r="L11" s="38" t="s">
        <v>4868</v>
      </c>
      <c r="M11" s="39" t="s">
        <v>4869</v>
      </c>
      <c r="N11" s="38" t="s">
        <v>4873</v>
      </c>
      <c r="O11" s="40" t="s">
        <v>4874</v>
      </c>
      <c r="P11" s="42"/>
      <c r="Q11" s="42"/>
      <c r="R11" s="42"/>
      <c r="S11" s="42"/>
      <c r="T11" s="41"/>
      <c r="U11" s="40" t="s">
        <v>4875</v>
      </c>
      <c r="V11" s="42"/>
      <c r="W11" s="41"/>
      <c r="X11" s="38" t="s">
        <v>4876</v>
      </c>
      <c r="Y11" s="38" t="s">
        <v>4877</v>
      </c>
      <c r="Z11" s="38" t="s">
        <v>4878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4879</v>
      </c>
      <c r="E12" s="46" t="s">
        <v>4861</v>
      </c>
      <c r="F12" s="46" t="s">
        <v>4862</v>
      </c>
      <c r="G12" s="46" t="s">
        <v>4863</v>
      </c>
      <c r="H12" s="46" t="s">
        <v>4864</v>
      </c>
      <c r="I12" s="57" t="s">
        <v>4880</v>
      </c>
      <c r="J12" s="57" t="s">
        <v>4880</v>
      </c>
      <c r="K12" s="43"/>
      <c r="L12" s="44"/>
      <c r="M12" s="45"/>
      <c r="N12" s="44"/>
      <c r="O12" s="57" t="s">
        <v>4881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4882</v>
      </c>
      <c r="C13" s="49">
        <v>44581</v>
      </c>
      <c r="D13" s="50">
        <v>3.7</v>
      </c>
      <c r="E13" s="50">
        <f t="shared" ref="E13:E19" si="0">D13</f>
        <v>3.7</v>
      </c>
      <c r="F13" s="50">
        <f t="shared" ref="F13:F19" si="1">D13</f>
        <v>3.7</v>
      </c>
      <c r="G13" s="50">
        <f t="shared" ref="G13:G19" si="2">D13</f>
        <v>3.7</v>
      </c>
      <c r="H13" s="50">
        <v>4.6</v>
      </c>
      <c r="I13" s="50"/>
      <c r="J13" s="50"/>
      <c r="K13" s="47"/>
      <c r="L13" s="48" t="s">
        <v>4882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4883</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4884</v>
      </c>
      <c r="Y42" s="51" t="s">
        <v>4884</v>
      </c>
      <c r="Z42" s="51" t="s">
        <v>4884</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4884</v>
      </c>
      <c r="Y43" s="51" t="s">
        <v>4884</v>
      </c>
      <c r="Z43" s="51" t="s">
        <v>4884</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4884</v>
      </c>
      <c r="Y44" s="51" t="s">
        <v>4884</v>
      </c>
      <c r="Z44" s="51" t="s">
        <v>4884</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4884</v>
      </c>
      <c r="Y45" s="51" t="s">
        <v>4884</v>
      </c>
      <c r="Z45" s="51" t="s">
        <v>4884</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4884</v>
      </c>
      <c r="Y46" s="51" t="s">
        <v>4884</v>
      </c>
      <c r="Z46" s="51" t="s">
        <v>4884</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4884</v>
      </c>
      <c r="Y47" s="51" t="s">
        <v>4884</v>
      </c>
      <c r="Z47" s="51" t="s">
        <v>4884</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4884</v>
      </c>
      <c r="Y48" s="51" t="s">
        <v>4884</v>
      </c>
      <c r="Z48" s="51" t="s">
        <v>4884</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4884</v>
      </c>
      <c r="Y49" s="51" t="s">
        <v>4884</v>
      </c>
      <c r="Z49" s="51" t="s">
        <v>4884</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4884</v>
      </c>
      <c r="Y50" s="51" t="s">
        <v>4884</v>
      </c>
      <c r="Z50" s="51" t="s">
        <v>4884</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4884</v>
      </c>
      <c r="V51" s="51" t="s">
        <v>4884</v>
      </c>
      <c r="W51" s="51" t="s">
        <v>4884</v>
      </c>
      <c r="X51" s="51" t="s">
        <v>4884</v>
      </c>
      <c r="Y51" s="51" t="s">
        <v>4884</v>
      </c>
      <c r="Z51" s="51" t="s">
        <v>4884</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4884</v>
      </c>
      <c r="J62" s="51" t="s">
        <v>4884</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923" customWidth="1"/>
    <col min="2" max="2" width="37.875" style="3923" customWidth="1"/>
    <col min="3" max="3" width="16.125" style="3923" customWidth="1"/>
    <col min="4" max="4" width="22.25" style="3923" customWidth="1"/>
    <col min="5" max="5" width="4.125" style="3923" customWidth="1"/>
    <col min="6" max="7" width="13" style="3923" customWidth="1"/>
    <col min="8" max="16384" width="9" style="3923"/>
  </cols>
  <sheetData>
    <row r="1" ht="18.75" spans="1:5">
      <c r="A1" s="3924" t="s">
        <v>86</v>
      </c>
      <c r="B1" s="3925"/>
      <c r="C1" s="3925"/>
      <c r="D1" s="3925"/>
      <c r="E1" s="3925"/>
    </row>
    <row r="2" ht="78.75" customHeight="1" spans="1:5">
      <c r="A2" s="39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926"/>
      <c r="C2" s="3926"/>
      <c r="D2" s="3926"/>
      <c r="E2" s="3926"/>
    </row>
    <row r="3" customHeight="1" spans="1:5">
      <c r="A3" s="3927"/>
      <c r="B3" s="3927"/>
      <c r="C3" s="3927"/>
      <c r="D3" s="3927"/>
      <c r="E3" s="3927"/>
    </row>
    <row r="4" ht="19.5" spans="1:5">
      <c r="A4" s="3928" t="str">
        <f>IF(项目基本情况!D5="房地产市场价值","估价结果一览表（市场价值不需本页表格)","估价结果一览表")</f>
        <v>估价结果一览表</v>
      </c>
      <c r="B4" s="3928"/>
      <c r="C4" s="3928"/>
      <c r="D4" s="3928"/>
      <c r="E4" s="3928"/>
    </row>
    <row r="5" ht="14.25" customHeight="1" spans="1:5">
      <c r="A5" s="3925"/>
      <c r="B5" s="3929" t="s">
        <v>87</v>
      </c>
      <c r="C5" s="3930" t="s">
        <v>88</v>
      </c>
      <c r="D5" s="3931"/>
      <c r="E5" s="3925"/>
    </row>
    <row r="6" ht="14.25" spans="1:5">
      <c r="A6" s="3925"/>
      <c r="B6" s="3932" t="str">
        <f>项目基本情况!I1</f>
        <v>北京市房地产</v>
      </c>
      <c r="C6" s="3933">
        <f>项目基本情况!C12</f>
        <v>118.67</v>
      </c>
      <c r="D6" s="3933"/>
      <c r="E6" s="3925"/>
    </row>
    <row r="7" ht="14.25" spans="1:5">
      <c r="A7" s="3925"/>
      <c r="B7" s="3934" t="s">
        <v>89</v>
      </c>
      <c r="C7" s="3935" t="str">
        <f>IF('数据-取费表'!B3="万元","总价（万元）","总价（元）")</f>
        <v>总价（元）</v>
      </c>
      <c r="D7" s="3933">
        <f ca="1">IF('数据-取费表'!E3="否",结果表!I102,'结果表 (1修多)'!I104)</f>
        <v>657550</v>
      </c>
      <c r="E7" s="3925"/>
    </row>
    <row r="8" ht="28.5" spans="1:5">
      <c r="A8" s="3925"/>
      <c r="B8" s="3934"/>
      <c r="C8" s="3936" t="s">
        <v>90</v>
      </c>
      <c r="D8" s="3937" t="str">
        <f ca="1">IF('数据-取费表'!B3="万元",NUMBERSTRING(INT(D7*10000),2)&amp;"元整",NUMBERSTRING(INT(D7),2)&amp;"元整")</f>
        <v>陆拾伍万柒仟伍佰伍拾元整</v>
      </c>
      <c r="E8" s="3925"/>
    </row>
    <row r="9" ht="14.25" spans="1:5">
      <c r="A9" s="3925"/>
      <c r="B9" s="3934"/>
      <c r="C9" s="3938" t="s">
        <v>91</v>
      </c>
      <c r="D9" s="3933">
        <f ca="1">IF('数据-取费表'!E3="否",结果表!I103,'结果表 (1修多)'!I105)</f>
        <v>5541</v>
      </c>
      <c r="E9" s="3925"/>
    </row>
    <row r="10" ht="14.25" spans="1:5">
      <c r="A10" s="3925"/>
      <c r="B10" s="3932" t="str">
        <f>IF('数据-取费表'!E3="否",结果表!F105,'结果表 (1修多)'!F107)</f>
        <v>2.估价师所知悉的法定优先受偿款</v>
      </c>
      <c r="C10" s="3939" t="str">
        <f>IF('数据-取费表'!B3="万元","总额（万元）","总额（元）")</f>
        <v>总额（元）</v>
      </c>
      <c r="D10" s="3933">
        <f>IF('数据-取费表'!E3="否",结果表!I105,'结果表 (1修多)'!I107)</f>
        <v>0</v>
      </c>
      <c r="E10" s="3925"/>
    </row>
    <row r="11" ht="14.25" spans="1:5">
      <c r="A11" s="3925"/>
      <c r="B11" s="3932"/>
      <c r="C11" s="3936" t="s">
        <v>90</v>
      </c>
      <c r="D11" s="3937" t="str">
        <f>IF('数据-取费表'!B3="万元",NUMBERSTRING(INT(D10*10000),2)&amp;"元整",NUMBERSTRING(INT(D10),2)&amp;"元整")</f>
        <v>零元整</v>
      </c>
      <c r="E11" s="3925"/>
    </row>
    <row r="12" ht="14.25" spans="1:5">
      <c r="A12" s="3925"/>
      <c r="B12" s="3940" t="s">
        <v>92</v>
      </c>
      <c r="C12" s="3941" t="str">
        <f>C10</f>
        <v>总额（元）</v>
      </c>
      <c r="D12" s="3942">
        <f>IF('数据-取费表'!E3="否",结果表!I106,'结果表 (1修多)'!I108)</f>
        <v>0</v>
      </c>
      <c r="E12" s="3925"/>
    </row>
    <row r="13" ht="14.25" spans="1:5">
      <c r="A13" s="3925"/>
      <c r="B13" s="3940" t="s">
        <v>93</v>
      </c>
      <c r="C13" s="3941" t="str">
        <f>C10</f>
        <v>总额（元）</v>
      </c>
      <c r="D13" s="3942">
        <f>IF('数据-取费表'!E3="否",结果表!I107,'结果表 (1修多)'!I109)</f>
        <v>0</v>
      </c>
      <c r="E13" s="3925"/>
    </row>
    <row r="14" ht="14.25" spans="1:5">
      <c r="A14" s="3925"/>
      <c r="B14" s="3940" t="s">
        <v>94</v>
      </c>
      <c r="C14" s="3941" t="str">
        <f>C10</f>
        <v>总额（元）</v>
      </c>
      <c r="D14" s="3942">
        <f>IF('数据-取费表'!E3="否",结果表!I108,'结果表 (1修多)'!I110)</f>
        <v>0</v>
      </c>
      <c r="E14" s="3925"/>
    </row>
    <row r="15" ht="14.25" spans="1:5">
      <c r="A15" s="3925"/>
      <c r="B15" s="3932" t="str">
        <f>IF('数据-取费表'!E3="否",结果表!F110,'结果表 (1修多)'!F112)</f>
        <v>3.房地产抵押价值</v>
      </c>
      <c r="C15" s="3943" t="str">
        <f>C7</f>
        <v>总价（元）</v>
      </c>
      <c r="D15" s="3933">
        <f ca="1">IF('数据-取费表'!E3="否",结果表!I110,'结果表 (1修多)'!I112)</f>
        <v>657550</v>
      </c>
      <c r="E15" s="3925"/>
    </row>
    <row r="16" ht="28.5" spans="1:5">
      <c r="A16" s="3925"/>
      <c r="B16" s="3932"/>
      <c r="C16" s="3936" t="s">
        <v>90</v>
      </c>
      <c r="D16" s="3933" t="str">
        <f ca="1">IF('数据-取费表'!B3="万元",NUMBERSTRING(INT(D15*10000),2)&amp;"元整",NUMBERSTRING(INT(D15),2)&amp;"元整")</f>
        <v>陆拾伍万柒仟伍佰伍拾元整</v>
      </c>
      <c r="E16" s="3925"/>
    </row>
    <row r="17" ht="14.25" spans="1:5">
      <c r="A17" s="3925"/>
      <c r="B17" s="3932"/>
      <c r="C17" s="3938" t="s">
        <v>91</v>
      </c>
      <c r="D17" s="3933">
        <f ca="1">IF('数据-取费表'!E3="否",结果表!I111,'结果表 (1修多)'!I113)</f>
        <v>5541</v>
      </c>
      <c r="E17" s="3925"/>
    </row>
    <row r="18" ht="14.25" spans="1:5">
      <c r="A18" s="3925"/>
      <c r="B18" s="3932" t="str">
        <f>IF('数据-取费表'!E3="否",结果表!F112,'结果表 (1修多)'!F114)</f>
        <v>——</v>
      </c>
      <c r="C18" s="3943" t="str">
        <f>C7</f>
        <v>总价（元）</v>
      </c>
      <c r="D18" s="3933" t="str">
        <f ca="1">IF('数据-取费表'!E3="否",结果表!I112,'结果表 (1修多)'!I114)</f>
        <v>——</v>
      </c>
      <c r="E18" s="3925"/>
    </row>
    <row r="19" ht="14.25" spans="1:5">
      <c r="A19" s="3925"/>
      <c r="B19" s="3932"/>
      <c r="C19" s="3936" t="s">
        <v>90</v>
      </c>
      <c r="D19" s="3933" t="e">
        <f ca="1">IF('数据-取费表'!B3="万元",NUMBERSTRING(INT(D18*10000),2)&amp;"元整",NUMBERSTRING(INT(D18),2)&amp;"元整")</f>
        <v>#VALUE!</v>
      </c>
      <c r="E19" s="3925"/>
    </row>
    <row r="20" ht="14.25" spans="1:5">
      <c r="A20" s="3925"/>
      <c r="B20" s="3932"/>
      <c r="C20" s="3938" t="s">
        <v>91</v>
      </c>
      <c r="D20" s="3933" t="str">
        <f ca="1">IF('数据-取费表'!E3="否",结果表!I113,'结果表 (1修多)'!I115)</f>
        <v>——</v>
      </c>
      <c r="E20" s="3925"/>
    </row>
    <row r="21" ht="14.25" spans="1:5">
      <c r="A21" s="3925"/>
      <c r="B21" s="3934" t="str">
        <f>IF('数据-取费表'!E3="否",结果表!F114,'结果表 (1修多)'!F116)</f>
        <v>——</v>
      </c>
      <c r="C21" s="3935" t="str">
        <f>C7</f>
        <v>总价（元）</v>
      </c>
      <c r="D21" s="3933" t="str">
        <f ca="1">IF('数据-取费表'!E3="否",结果表!I114,'结果表 (1修多)'!I116)</f>
        <v>——</v>
      </c>
      <c r="E21" s="3925"/>
    </row>
    <row r="22" ht="14.25" spans="1:5">
      <c r="A22" s="3925"/>
      <c r="B22" s="3934"/>
      <c r="C22" s="3936" t="s">
        <v>90</v>
      </c>
      <c r="D22" s="3937" t="e">
        <f ca="1">IF('数据-取费表'!B3="万元",NUMBERSTRING(INT(D21*10000),2)&amp;"元整",NUMBERSTRING(INT(D21),2)&amp;"元整")</f>
        <v>#VALUE!</v>
      </c>
      <c r="E22" s="3925"/>
    </row>
    <row r="23" ht="15" spans="1:5">
      <c r="A23" s="3925"/>
      <c r="B23" s="3944"/>
      <c r="C23" s="3945" t="s">
        <v>91</v>
      </c>
      <c r="D23" s="3946" t="str">
        <f ca="1">IF('数据-取费表'!E3="否",结果表!I115,'结果表 (1修多)'!I117)</f>
        <v>——</v>
      </c>
      <c r="E23" s="3925"/>
    </row>
    <row r="24" ht="14.25" spans="1:5">
      <c r="A24" s="3925"/>
      <c r="B24" s="3925"/>
      <c r="C24" s="3925"/>
      <c r="D24" s="3925"/>
      <c r="E24" s="3925"/>
    </row>
    <row r="25" ht="18.75" customHeight="1" spans="1:5">
      <c r="A25" s="3925"/>
      <c r="B25" s="3947" t="s">
        <v>95</v>
      </c>
      <c r="C25" s="3947"/>
      <c r="D25" s="3947"/>
      <c r="E25" s="3925"/>
    </row>
    <row r="26" ht="18.75" customHeight="1" spans="1:5">
      <c r="A26" s="3925"/>
      <c r="B26" s="3948" t="s">
        <v>96</v>
      </c>
      <c r="C26" s="3949"/>
      <c r="D26" s="3950" t="s">
        <v>97</v>
      </c>
      <c r="E26" s="3925"/>
    </row>
    <row r="27" ht="18.75" customHeight="1" spans="1:5">
      <c r="A27" s="3925"/>
      <c r="B27" s="3951"/>
      <c r="C27" s="3952"/>
      <c r="D27" s="3953"/>
      <c r="E27" s="3925"/>
    </row>
    <row r="28" ht="14.25" spans="1:5">
      <c r="A28" s="3925"/>
      <c r="B28" s="3954" t="s">
        <v>89</v>
      </c>
      <c r="C28" s="3955" t="s">
        <v>98</v>
      </c>
      <c r="D28" s="3956">
        <f ca="1">IF('数据-取费表'!E3="否",结果表!I102,'结果表 (1修多)'!I104)</f>
        <v>657550</v>
      </c>
      <c r="E28" s="3925"/>
    </row>
    <row r="29" ht="28.5" spans="1:5">
      <c r="A29" s="3925"/>
      <c r="B29" s="3957"/>
      <c r="C29" s="3958" t="s">
        <v>90</v>
      </c>
      <c r="D29" s="3959" t="str">
        <f ca="1">IF('数据-取费表'!B3="万元",NUMBERSTRING(INT(D28*10000),2)&amp;"元整",NUMBERSTRING(INT(D28),2)&amp;"元整")</f>
        <v>陆拾伍万柒仟伍佰伍拾元整</v>
      </c>
      <c r="E29" s="3925"/>
    </row>
    <row r="30" ht="14.25" spans="1:5">
      <c r="A30" s="3925"/>
      <c r="B30" s="3960"/>
      <c r="C30" s="3938" t="s">
        <v>99</v>
      </c>
      <c r="D30" s="3961">
        <f ca="1">IF('数据-取费表'!E3="否",结果表!I103,'结果表 (1修多)'!I105)</f>
        <v>5541</v>
      </c>
      <c r="E30" s="3925"/>
    </row>
    <row r="31" ht="14.25" spans="1:5">
      <c r="A31" s="3925"/>
      <c r="B31" s="3962" t="str">
        <f>B10</f>
        <v>2.估价师所知悉的法定优先受偿款</v>
      </c>
      <c r="C31" s="3963" t="s">
        <v>100</v>
      </c>
      <c r="D31" s="3953">
        <f>IF('数据-取费表'!E3="否",结果表!I105,'结果表 (1修多)'!I107)</f>
        <v>0</v>
      </c>
      <c r="E31" s="3925"/>
    </row>
    <row r="32" ht="14.25" spans="1:5">
      <c r="A32" s="3925"/>
      <c r="B32" s="3955"/>
      <c r="C32" s="3958" t="s">
        <v>90</v>
      </c>
      <c r="D32" s="3964" t="str">
        <f>IF('数据-取费表'!B3="万元",NUMBERSTRING(INT(D31*10000),2)&amp;"元整",NUMBERSTRING(INT(D31),2)&amp;"元整")</f>
        <v>零元整</v>
      </c>
      <c r="E32" s="3925"/>
    </row>
    <row r="33" ht="14.25" spans="1:5">
      <c r="A33" s="3925"/>
      <c r="B33" s="3936" t="s">
        <v>92</v>
      </c>
      <c r="C33" s="3936" t="str">
        <f>C31</f>
        <v>总额</v>
      </c>
      <c r="D33" s="3961">
        <f>IF('数据-取费表'!E3="否",结果表!I106,'结果表 (1修多)'!I108)</f>
        <v>0</v>
      </c>
      <c r="E33" s="3925"/>
    </row>
    <row r="34" ht="14.25" spans="1:5">
      <c r="A34" s="3925"/>
      <c r="B34" s="3936" t="s">
        <v>93</v>
      </c>
      <c r="C34" s="3936" t="str">
        <f>C31</f>
        <v>总额</v>
      </c>
      <c r="D34" s="3961">
        <f>IF('数据-取费表'!E3="否",结果表!I107,'结果表 (1修多)'!I109)</f>
        <v>0</v>
      </c>
      <c r="E34" s="3925"/>
    </row>
    <row r="35" ht="14.25" spans="1:5">
      <c r="A35" s="3925"/>
      <c r="B35" s="3936" t="s">
        <v>94</v>
      </c>
      <c r="C35" s="3936" t="str">
        <f>C31</f>
        <v>总额</v>
      </c>
      <c r="D35" s="3961">
        <f>IF('数据-取费表'!E3="否",结果表!I108,'结果表 (1修多)'!I110)</f>
        <v>0</v>
      </c>
      <c r="E35" s="3925"/>
    </row>
    <row r="36" ht="14.25" spans="1:5">
      <c r="A36" s="3925"/>
      <c r="B36" s="3963" t="str">
        <f>B15</f>
        <v>3.房地产抵押价值</v>
      </c>
      <c r="C36" s="3963" t="str">
        <f>C28</f>
        <v>总价</v>
      </c>
      <c r="D36" s="3953">
        <f ca="1">IF('数据-取费表'!E3="否",结果表!I110,'结果表 (1修多)'!I112)</f>
        <v>657550</v>
      </c>
      <c r="E36" s="3925"/>
    </row>
    <row r="37" ht="28.5" spans="1:5">
      <c r="A37" s="3925"/>
      <c r="B37" s="3963"/>
      <c r="C37" s="3958" t="s">
        <v>90</v>
      </c>
      <c r="D37" s="3964" t="str">
        <f ca="1">IF('数据-取费表'!B3="万元",NUMBERSTRING(INT(D36*10000),2)&amp;"元整",NUMBERSTRING(INT(D36),2)&amp;"元整")</f>
        <v>陆拾伍万柒仟伍佰伍拾元整</v>
      </c>
      <c r="E37" s="3925"/>
    </row>
    <row r="38" ht="14.25" spans="1:5">
      <c r="A38" s="3925"/>
      <c r="B38" s="3963"/>
      <c r="C38" s="3938" t="s">
        <v>99</v>
      </c>
      <c r="D38" s="3961">
        <f ca="1">IF('数据-取费表'!E3="否",结果表!D113,'结果表 (1修多)'!D117)</f>
        <v>5541</v>
      </c>
      <c r="E38" s="3925"/>
    </row>
    <row r="39" ht="14.25" spans="1:5">
      <c r="A39" s="3925"/>
      <c r="B39" s="3965" t="str">
        <f>B18</f>
        <v>——</v>
      </c>
      <c r="C39" s="3963" t="str">
        <f>C28</f>
        <v>总价</v>
      </c>
      <c r="D39" s="3953" t="str">
        <f ca="1">IF('数据-取费表'!E3="否",结果表!I112,'结果表 (1修多)'!I114)</f>
        <v>——</v>
      </c>
      <c r="E39" s="3925"/>
    </row>
    <row r="40" ht="14.25" spans="1:5">
      <c r="A40" s="3925"/>
      <c r="B40" s="3965"/>
      <c r="C40" s="3958" t="s">
        <v>90</v>
      </c>
      <c r="D40" s="3964" t="e">
        <f ca="1">IF('数据-取费表'!B3="万元",NUMBERSTRING(INT(D39*10000),2)&amp;"元整",NUMBERSTRING(INT(D39),2)&amp;"元整")</f>
        <v>#VALUE!</v>
      </c>
      <c r="E40" s="3925"/>
    </row>
    <row r="41" ht="14.25" spans="1:5">
      <c r="A41" s="3925"/>
      <c r="B41" s="3965"/>
      <c r="C41" s="3938" t="s">
        <v>99</v>
      </c>
      <c r="D41" s="3961" t="str">
        <f ca="1">IF('数据-取费表'!E3="否",结果表!D115,'结果表 (1修多)'!D119)</f>
        <v>——</v>
      </c>
      <c r="E41" s="3925"/>
    </row>
    <row r="42" ht="14.25" spans="1:5">
      <c r="A42" s="3925"/>
      <c r="B42" s="3963" t="str">
        <f>B21</f>
        <v>——</v>
      </c>
      <c r="C42" s="3963" t="str">
        <f>C28</f>
        <v>总价</v>
      </c>
      <c r="D42" s="3953" t="str">
        <f ca="1">IF('数据-取费表'!E3="否",结果表!I114,'结果表 (1修多)'!I116)</f>
        <v>——</v>
      </c>
      <c r="E42" s="3925"/>
    </row>
    <row r="43" ht="14.25" spans="1:5">
      <c r="A43" s="3925"/>
      <c r="B43" s="3962"/>
      <c r="C43" s="3958" t="s">
        <v>90</v>
      </c>
      <c r="D43" s="3966" t="e">
        <f ca="1">IF('数据-取费表'!B3="万元",NUMBERSTRING(INT(D42*10000),2)&amp;"元整",NUMBERSTRING(INT(D42),2)&amp;"元整")</f>
        <v>#VALUE!</v>
      </c>
      <c r="E43" s="3925"/>
    </row>
    <row r="44" ht="15" spans="1:5">
      <c r="A44" s="3925"/>
      <c r="B44" s="3967"/>
      <c r="C44" s="3945" t="s">
        <v>99</v>
      </c>
      <c r="D44" s="3968" t="str">
        <f ca="1">IF('数据-取费表'!E3="否",结果表!D117,'结果表 (1修多)'!D121)</f>
        <v>——</v>
      </c>
      <c r="E44" s="3925"/>
    </row>
    <row r="45" ht="14.25" spans="1:5">
      <c r="A45" s="3925"/>
      <c r="B45" s="3925" t="str">
        <f>IF('数据-取费表'!B3="元","单位：元、元/平方米（单位：人民币）","单位：万元、元/平方米（单位：人民币）")</f>
        <v>单位：元、元/平方米（单位：人民币）</v>
      </c>
      <c r="C45" s="3925"/>
      <c r="D45" s="3925"/>
      <c r="E45" s="3925"/>
    </row>
    <row r="46" ht="18.75" spans="2:2">
      <c r="B46" s="396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893" customWidth="1"/>
    <col min="2" max="9" width="12.25" style="3893" customWidth="1"/>
    <col min="10" max="16384" width="9" style="3893"/>
  </cols>
  <sheetData>
    <row r="1" ht="16.5" spans="1:9">
      <c r="A1" s="3912" t="str">
        <f>IF(项目基本情况!D5="房地产市场价值","估价结果一览表","结果表-2")</f>
        <v>结果表-2</v>
      </c>
      <c r="B1" s="3912"/>
      <c r="C1" s="3912"/>
      <c r="D1" s="3912"/>
      <c r="E1" s="3912"/>
      <c r="F1" s="3912"/>
      <c r="G1" s="3912"/>
      <c r="H1" s="3912"/>
      <c r="I1" s="3912"/>
    </row>
    <row r="2" ht="30" customHeight="1" spans="1:9">
      <c r="A2" s="3913" t="s">
        <v>102</v>
      </c>
      <c r="B2" s="3913" t="s">
        <v>103</v>
      </c>
      <c r="C2" s="3913" t="s">
        <v>104</v>
      </c>
      <c r="D2" s="3913" t="str">
        <f>IF('数据-取费表'!E3="否",结果表!D119,'结果表 (1修多)'!D123)</f>
        <v>出让国有建设用地使用权价值</v>
      </c>
      <c r="E2" s="3913"/>
      <c r="F2" s="3913" t="s">
        <v>105</v>
      </c>
      <c r="G2" s="3913"/>
      <c r="H2" s="3913" t="s">
        <v>106</v>
      </c>
      <c r="I2" s="3913"/>
    </row>
    <row r="3" ht="15" spans="1:9">
      <c r="A3" s="3914"/>
      <c r="B3" s="3914"/>
      <c r="C3" s="3914"/>
      <c r="D3" s="3914" t="s">
        <v>107</v>
      </c>
      <c r="E3" s="3914" t="s">
        <v>108</v>
      </c>
      <c r="F3" s="3914" t="s">
        <v>107</v>
      </c>
      <c r="G3" s="3914" t="s">
        <v>108</v>
      </c>
      <c r="H3" s="3914" t="s">
        <v>107</v>
      </c>
      <c r="I3" s="3914" t="s">
        <v>108</v>
      </c>
    </row>
    <row r="4" ht="46.5" customHeight="1" spans="1:9">
      <c r="A4" s="3914" t="str">
        <f>项目基本情况!I1</f>
        <v>北京市房地产</v>
      </c>
      <c r="B4" s="3914">
        <f>结果表!B121</f>
        <v>118.67</v>
      </c>
      <c r="C4" s="3914">
        <f>结果表!C121</f>
        <v>0</v>
      </c>
      <c r="D4" s="3914" t="e">
        <f ca="1">IF('数据-取费表'!E3="否",结果表!D121,'结果表 (1修多)'!D125)</f>
        <v>#DIV/0!</v>
      </c>
      <c r="E4" s="3914" t="e">
        <f ca="1">IF('数据-取费表'!E3="否",结果表!E121,'结果表 (1修多)'!E125)</f>
        <v>#DIV/0!</v>
      </c>
      <c r="F4" s="3914" t="e">
        <f ca="1">IF('数据-取费表'!E3="否",结果表!F121,'结果表 (1修多)'!F125)</f>
        <v>#DIV/0!</v>
      </c>
      <c r="G4" s="3914" t="e">
        <f ca="1">IF('数据-取费表'!E3="否",结果表!G121,'结果表 (1修多)'!G125)</f>
        <v>#DIV/0!</v>
      </c>
      <c r="H4" s="3914">
        <f ca="1">IF('数据-取费表'!E3="否",结果表!H121,'结果表 (1修多)'!H125)</f>
        <v>657550</v>
      </c>
      <c r="I4" s="3914">
        <f ca="1">IF('数据-取费表'!E3="否",结果表!I121,'结果表 (1修多)'!I125)</f>
        <v>5541</v>
      </c>
    </row>
    <row r="5" ht="15" spans="1:9">
      <c r="A5" s="3914" t="s">
        <v>109</v>
      </c>
      <c r="B5" s="3914"/>
      <c r="C5" s="3914"/>
      <c r="D5" s="3915" t="e">
        <f ca="1">IF('数据-取费表'!E3="否",结果表!D122,'结果表 (1修多)'!D126)</f>
        <v>#DIV/0!</v>
      </c>
      <c r="E5" s="3915"/>
      <c r="F5" s="3915" t="e">
        <f ca="1">IF('数据-取费表'!E3="否",结果表!F122,'结果表 (1修多)'!F126)</f>
        <v>#DIV/0!</v>
      </c>
      <c r="G5" s="3915"/>
      <c r="H5" s="3915" t="str">
        <f ca="1">IF('数据-取费表'!E3="否",结果表!H122,'结果表 (1修多)'!H126)</f>
        <v>陆拾伍万柒仟伍佰伍拾元整</v>
      </c>
      <c r="I5" s="3915"/>
    </row>
    <row r="6" ht="15.75" spans="1:9">
      <c r="A6" s="3916" t="str">
        <f>IF('数据-取费表'!E3="否",结果表!A123,'结果表 (1修多)'!A127)</f>
        <v>估价师所知悉的法定优先受偿款</v>
      </c>
      <c r="B6" s="3916"/>
      <c r="C6" s="3916"/>
      <c r="D6" s="3916">
        <f>IF('数据-取费表'!E3="否",结果表!D123,'结果表 (1修多)'!D127)</f>
        <v>0</v>
      </c>
      <c r="E6" s="3916"/>
      <c r="F6" s="3916"/>
      <c r="G6" s="3916"/>
      <c r="H6" s="3916"/>
      <c r="I6" s="3916"/>
    </row>
    <row r="7" ht="15" spans="1:9">
      <c r="A7" s="3914" t="s">
        <v>109</v>
      </c>
      <c r="B7" s="3914"/>
      <c r="C7" s="3914"/>
      <c r="D7" s="3917">
        <f>IF('数据-取费表'!E3="否",结果表!D124,'结果表 (1修多)'!D128)</f>
        <v>0</v>
      </c>
      <c r="E7" s="3918"/>
      <c r="F7" s="3918"/>
      <c r="G7" s="3918"/>
      <c r="H7" s="3918"/>
      <c r="I7" s="3922"/>
    </row>
    <row r="8" ht="15.75" spans="1:9">
      <c r="A8" s="3916" t="str">
        <f>IF('数据-取费表'!E3="否",结果表!A125,'结果表 (1修多)'!A129)</f>
        <v>房地产抵押价值</v>
      </c>
      <c r="B8" s="3916"/>
      <c r="C8" s="3916"/>
      <c r="D8" s="3916">
        <f ca="1">IF('数据-取费表'!E3="否",结果表!D125,'结果表 (1修多)'!D129)</f>
        <v>657550</v>
      </c>
      <c r="E8" s="3916"/>
      <c r="F8" s="3916"/>
      <c r="G8" s="3916"/>
      <c r="H8" s="3916"/>
      <c r="I8" s="3916"/>
    </row>
    <row r="9" ht="15" spans="1:9">
      <c r="A9" s="3914" t="s">
        <v>109</v>
      </c>
      <c r="B9" s="3914"/>
      <c r="C9" s="3914"/>
      <c r="D9" s="3915">
        <f ca="1">IF('数据-取费表'!E3="否",结果表!D126,'结果表 (1修多)'!D130)</f>
        <v>5541</v>
      </c>
      <c r="E9" s="3915"/>
      <c r="F9" s="3915"/>
      <c r="G9" s="3915"/>
      <c r="H9" s="3915"/>
      <c r="I9" s="3915"/>
    </row>
    <row r="10" ht="15.75" spans="1:9">
      <c r="A10" s="3916" t="str">
        <f>IF('数据-取费表'!E3="否",结果表!A127,'结果表 (1修多)'!A131)</f>
        <v/>
      </c>
      <c r="B10" s="3916"/>
      <c r="C10" s="3916"/>
      <c r="D10" s="3916" t="str">
        <f ca="1">IF('数据-取费表'!E3="否",结果表!D127,'结果表 (1修多)'!D130)</f>
        <v>——</v>
      </c>
      <c r="E10" s="3916"/>
      <c r="F10" s="3916"/>
      <c r="G10" s="3916"/>
      <c r="H10" s="3916"/>
      <c r="I10" s="3916"/>
    </row>
    <row r="11" ht="15" spans="1:9">
      <c r="A11" s="3914" t="s">
        <v>109</v>
      </c>
      <c r="B11" s="3914"/>
      <c r="C11" s="3914"/>
      <c r="D11" s="3915" t="str">
        <f ca="1">IF('数据-取费表'!E3="否",结果表!D128,'结果表 (1修多)'!D132)</f>
        <v>——</v>
      </c>
      <c r="E11" s="3915"/>
      <c r="F11" s="3915"/>
      <c r="G11" s="3915"/>
      <c r="H11" s="3915"/>
      <c r="I11" s="3915"/>
    </row>
    <row r="12" ht="15.75" spans="1:9">
      <c r="A12" s="3916" t="str">
        <f>IF('数据-取费表'!E3="否",结果表!A129,'结果表 (1修多)'!A133)</f>
        <v/>
      </c>
      <c r="B12" s="3916"/>
      <c r="C12" s="3916"/>
      <c r="D12" s="3916" t="str">
        <f ca="1">IF('数据-取费表'!E3="否",结果表!D129,'结果表 (1修多)'!D133)</f>
        <v>——</v>
      </c>
      <c r="E12" s="3916"/>
      <c r="F12" s="3916"/>
      <c r="G12" s="3916"/>
      <c r="H12" s="3916"/>
      <c r="I12" s="3916"/>
    </row>
    <row r="13" ht="15.75" spans="1:9">
      <c r="A13" s="3919" t="s">
        <v>109</v>
      </c>
      <c r="B13" s="3919"/>
      <c r="C13" s="3919"/>
      <c r="D13" s="3920">
        <f>IF('数据-取费表'!E3="否",结果表!D130,'结果表 (1修多)'!D134)</f>
        <v>0</v>
      </c>
      <c r="E13" s="3920"/>
      <c r="F13" s="3920"/>
      <c r="G13" s="3920"/>
      <c r="H13" s="3920"/>
      <c r="I13" s="3920"/>
    </row>
    <row r="14" spans="1:9">
      <c r="A14" s="3921" t="str">
        <f>IF('数据-取费表'!E3="否",结果表!A131,'结果表 (1修多)'!A135)</f>
        <v>单位：平方米、元、元/平方米（币种：人民币）</v>
      </c>
      <c r="B14" s="3921"/>
      <c r="C14" s="3921"/>
      <c r="D14" s="3921"/>
      <c r="E14" s="3921"/>
      <c r="F14" s="3921"/>
      <c r="G14" s="3921"/>
      <c r="H14" s="3921"/>
      <c r="I14" s="3921"/>
    </row>
    <row r="15" spans="1:9">
      <c r="A15" s="3822"/>
      <c r="B15" s="3822"/>
      <c r="C15" s="3822"/>
      <c r="D15" s="3822"/>
      <c r="E15" s="3822"/>
      <c r="F15" s="3822"/>
      <c r="G15" s="3822"/>
      <c r="H15" s="3822"/>
      <c r="I15" s="3822"/>
    </row>
    <row r="16" ht="18.75" spans="1:9">
      <c r="A16" s="3870" t="s">
        <v>110</v>
      </c>
      <c r="B16" s="3822"/>
      <c r="C16" s="3822"/>
      <c r="D16" s="3822"/>
      <c r="E16" s="3822"/>
      <c r="F16" s="3822"/>
      <c r="G16" s="3822"/>
      <c r="H16" s="3822"/>
      <c r="I16" s="3822"/>
    </row>
    <row r="17" spans="1:9">
      <c r="A17" s="3822"/>
      <c r="B17" s="3822"/>
      <c r="C17" s="3822"/>
      <c r="D17" s="3822"/>
      <c r="E17" s="3822"/>
      <c r="F17" s="3822"/>
      <c r="G17" s="3822"/>
      <c r="H17" s="3822"/>
      <c r="I17" s="3822"/>
    </row>
    <row r="18" spans="1:9">
      <c r="A18" s="3822"/>
      <c r="B18" s="3822"/>
      <c r="C18" s="3822"/>
      <c r="D18" s="3822"/>
      <c r="E18" s="3822"/>
      <c r="F18" s="3822"/>
      <c r="G18" s="3822"/>
      <c r="H18" s="3822"/>
      <c r="I18" s="3822"/>
    </row>
    <row r="19" spans="1:9">
      <c r="A19" s="3822"/>
      <c r="B19" s="3822"/>
      <c r="C19" s="3822"/>
      <c r="D19" s="3822"/>
      <c r="E19" s="3822"/>
      <c r="F19" s="3822"/>
      <c r="G19" s="3822"/>
      <c r="H19" s="3822"/>
      <c r="I19" s="3822"/>
    </row>
    <row r="20" spans="1:9">
      <c r="A20" s="3822"/>
      <c r="B20" s="3822"/>
      <c r="C20" s="3822"/>
      <c r="D20" s="3822"/>
      <c r="E20" s="3822"/>
      <c r="F20" s="3822"/>
      <c r="G20" s="3822"/>
      <c r="H20" s="3822"/>
      <c r="I20" s="3822"/>
    </row>
    <row r="21" spans="1:9">
      <c r="A21" s="3822"/>
      <c r="B21" s="3822"/>
      <c r="C21" s="3822"/>
      <c r="D21" s="3822"/>
      <c r="E21" s="3822"/>
      <c r="F21" s="3822"/>
      <c r="G21" s="3822"/>
      <c r="H21" s="3822"/>
      <c r="I21" s="3822"/>
    </row>
    <row r="22" spans="1:9">
      <c r="A22" s="3822"/>
      <c r="B22" s="3822"/>
      <c r="C22" s="3822"/>
      <c r="D22" s="3822"/>
      <c r="E22" s="3822"/>
      <c r="F22" s="3822"/>
      <c r="G22" s="3822"/>
      <c r="H22" s="3822"/>
      <c r="I22" s="3822"/>
    </row>
    <row r="23" spans="1:9">
      <c r="A23" s="3822"/>
      <c r="B23" s="3822"/>
      <c r="C23" s="3822"/>
      <c r="D23" s="3822"/>
      <c r="E23" s="3822"/>
      <c r="F23" s="3822"/>
      <c r="G23" s="3822"/>
      <c r="H23" s="3822"/>
      <c r="I23" s="3822"/>
    </row>
    <row r="24" spans="1:9">
      <c r="A24" s="3822"/>
      <c r="B24" s="3822"/>
      <c r="C24" s="3822"/>
      <c r="D24" s="3822"/>
      <c r="E24" s="3822"/>
      <c r="F24" s="3822"/>
      <c r="G24" s="3822"/>
      <c r="H24" s="3822"/>
      <c r="I24" s="3822"/>
    </row>
    <row r="25" spans="1:9">
      <c r="A25" s="3822"/>
      <c r="B25" s="3822"/>
      <c r="C25" s="3822"/>
      <c r="D25" s="3822"/>
      <c r="E25" s="3822"/>
      <c r="F25" s="3822"/>
      <c r="G25" s="3822"/>
      <c r="H25" s="3822"/>
      <c r="I25" s="3822"/>
    </row>
    <row r="26" spans="1:9">
      <c r="A26" s="3822"/>
      <c r="B26" s="3822"/>
      <c r="C26" s="3822"/>
      <c r="D26" s="3822"/>
      <c r="E26" s="3822"/>
      <c r="F26" s="3822"/>
      <c r="G26" s="3822"/>
      <c r="H26" s="3822"/>
      <c r="I26" s="382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893" customWidth="1"/>
    <col min="2" max="2" width="24" style="3893" customWidth="1"/>
    <col min="3" max="3" width="23.25" style="3893" customWidth="1"/>
    <col min="4" max="4" width="21" style="3893" customWidth="1"/>
    <col min="5" max="16384" width="9" style="3893"/>
  </cols>
  <sheetData>
    <row r="1" ht="18.75" spans="1:4">
      <c r="A1" s="3894" t="s">
        <v>111</v>
      </c>
      <c r="B1" s="3894"/>
      <c r="C1" s="3894"/>
      <c r="D1" s="3894"/>
    </row>
    <row r="2" ht="18" spans="1:4">
      <c r="A2" s="3895" t="s">
        <v>112</v>
      </c>
      <c r="B2" s="3895"/>
      <c r="C2" s="3895"/>
      <c r="D2" s="3895"/>
    </row>
    <row r="3" ht="18.75" spans="1:4">
      <c r="A3" s="3896" t="s">
        <v>113</v>
      </c>
      <c r="B3" s="3896" t="s">
        <v>114</v>
      </c>
      <c r="C3" s="3896" t="s">
        <v>115</v>
      </c>
      <c r="D3" s="3896" t="s">
        <v>116</v>
      </c>
    </row>
    <row r="4" ht="56.25" customHeight="1" spans="1:4">
      <c r="A4" s="3897" t="str">
        <f>项目基本情况!B3</f>
        <v>陈颖</v>
      </c>
      <c r="B4" s="3898">
        <f ca="1">项目基本情况!C3</f>
        <v>0</v>
      </c>
      <c r="C4" s="3899"/>
      <c r="D4" s="3900" t="s">
        <v>117</v>
      </c>
    </row>
    <row r="5" ht="56.25" customHeight="1" spans="1:4">
      <c r="A5" s="3897">
        <f>项目基本情况!D3</f>
        <v>0</v>
      </c>
      <c r="B5" s="3898">
        <f ca="1">项目基本情况!E3</f>
        <v>0</v>
      </c>
      <c r="C5" s="3901"/>
      <c r="D5" s="3900" t="s">
        <v>117</v>
      </c>
    </row>
    <row r="6" ht="12" customHeight="1" spans="1:4">
      <c r="A6" s="3897"/>
      <c r="B6" s="3898"/>
      <c r="C6" s="3902"/>
      <c r="D6" s="3900"/>
    </row>
    <row r="7" ht="18" spans="1:4">
      <c r="A7" s="3895" t="s">
        <v>118</v>
      </c>
      <c r="B7" s="3895"/>
      <c r="C7" s="3895"/>
      <c r="D7" s="3895"/>
    </row>
    <row r="8" ht="18.75" spans="1:4">
      <c r="A8" s="3896" t="s">
        <v>113</v>
      </c>
      <c r="B8" s="3898" t="s">
        <v>119</v>
      </c>
      <c r="C8" s="3896" t="s">
        <v>115</v>
      </c>
      <c r="D8" s="3896" t="s">
        <v>116</v>
      </c>
    </row>
    <row r="9" ht="56.25" customHeight="1" spans="1:4">
      <c r="A9" s="3903" t="s">
        <v>120</v>
      </c>
      <c r="B9" s="3903" t="s">
        <v>121</v>
      </c>
      <c r="C9" s="3899"/>
      <c r="D9" s="3900" t="s">
        <v>117</v>
      </c>
    </row>
    <row r="11" ht="18.75" spans="1:1">
      <c r="A11" s="3894" t="s">
        <v>122</v>
      </c>
    </row>
    <row r="12" ht="30" customHeight="1" spans="1:4">
      <c r="A12" s="3904" t="s">
        <v>123</v>
      </c>
      <c r="B12" s="3905"/>
      <c r="C12" s="3905"/>
      <c r="D12" s="3905"/>
    </row>
    <row r="13" ht="15" spans="1:4">
      <c r="A13" s="39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905"/>
      <c r="C13" s="3905"/>
      <c r="D13" s="3905"/>
    </row>
    <row r="14" ht="30" customHeight="1" spans="1:4">
      <c r="A14" s="3904" t="str">
        <f>IF(项目基本情况!D4="抵押","3.抵押双方在办理抵押登记手续时，应使用本公司出具的正式《不动产估价报告书》，特提醒报告使用者注意。","——")</f>
        <v>——</v>
      </c>
      <c r="B14" s="3905"/>
      <c r="C14" s="3905"/>
      <c r="D14" s="3905"/>
    </row>
    <row r="15" ht="15.75" customHeight="1" spans="1:4">
      <c r="A15" s="3904" t="str">
        <f>IF(项目基本情况!D4="抵押","4.本次评估估价师所知悉的法定优先受偿款情况说明如下：","——")</f>
        <v>——</v>
      </c>
      <c r="B15" s="3905"/>
      <c r="C15" s="3905"/>
      <c r="D15" s="3905"/>
    </row>
    <row r="16" ht="75" customHeight="1" spans="1:4">
      <c r="A16" s="3904" t="str">
        <f>IF(项目基本情况!D4="抵押",CONCATENATE(项目基本情况!J13,项目基本情况!J14,项目基本情况!J15),"——")</f>
        <v>——</v>
      </c>
      <c r="B16" s="3904"/>
      <c r="C16" s="3904"/>
      <c r="D16" s="3904"/>
    </row>
    <row r="17" ht="63.75" customHeight="1" spans="1:4">
      <c r="A17" s="3906" t="s">
        <v>124</v>
      </c>
      <c r="B17" s="3906"/>
      <c r="C17" s="3906"/>
      <c r="D17" s="3906"/>
    </row>
    <row r="18" ht="15.75" customHeight="1" spans="1:4">
      <c r="A18" s="3904" t="str">
        <f>IF(项目基本情况!D4="抵押",结果表!L106,"——")</f>
        <v>——</v>
      </c>
      <c r="B18" s="3904"/>
      <c r="C18" s="3904"/>
      <c r="D18" s="3904"/>
    </row>
    <row r="19" ht="46.5" customHeight="1" spans="1:4">
      <c r="A19" s="39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904"/>
      <c r="C19" s="3904"/>
      <c r="D19" s="3904"/>
    </row>
    <row r="20" ht="15" spans="1:4">
      <c r="A20" s="3906" t="s">
        <v>125</v>
      </c>
      <c r="B20" s="3906"/>
      <c r="C20" s="3906"/>
      <c r="D20" s="3906"/>
    </row>
    <row r="21" spans="1:4">
      <c r="A21" s="3907"/>
      <c r="B21" s="322"/>
      <c r="C21" s="322"/>
      <c r="D21" s="322"/>
    </row>
    <row r="22" spans="1:4">
      <c r="A22" s="3907"/>
      <c r="B22" s="322"/>
      <c r="C22" s="322"/>
      <c r="D22" s="322"/>
    </row>
    <row r="23" ht="18.75" spans="1:1">
      <c r="A23" s="3908" t="s">
        <v>126</v>
      </c>
    </row>
    <row r="24" ht="18" spans="1:1">
      <c r="A24" s="3908"/>
    </row>
    <row r="25" ht="18.75" spans="1:1">
      <c r="A25" s="3908" t="s">
        <v>127</v>
      </c>
    </row>
    <row r="28" ht="21" customHeight="1" spans="4:4">
      <c r="D28" s="3909" t="s">
        <v>128</v>
      </c>
    </row>
    <row r="29" ht="21" customHeight="1" spans="3:4">
      <c r="C29" s="3910"/>
      <c r="D29" s="391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871" customWidth="1"/>
    <col min="2" max="16384" width="14.5" style="3822"/>
  </cols>
  <sheetData>
    <row r="1" s="3870" customFormat="1" ht="18.75" spans="1:1">
      <c r="A1" s="3872" t="s">
        <v>129</v>
      </c>
    </row>
    <row r="3" ht="14.25" spans="1:7">
      <c r="A3" s="3873" t="s">
        <v>130</v>
      </c>
      <c r="B3" s="3822" t="s">
        <v>131</v>
      </c>
      <c r="G3" s="3874"/>
    </row>
    <row r="4" spans="7:7">
      <c r="G4" s="3874"/>
    </row>
    <row r="5" ht="14.25" spans="1:7">
      <c r="A5" s="3875" t="s">
        <v>132</v>
      </c>
      <c r="B5" s="3822" t="s">
        <v>133</v>
      </c>
      <c r="G5" s="3874"/>
    </row>
    <row r="6" spans="7:7">
      <c r="G6" s="3874"/>
    </row>
    <row r="7" ht="14.25" spans="1:7">
      <c r="A7" s="3876" t="s">
        <v>134</v>
      </c>
      <c r="B7" s="3822" t="s">
        <v>135</v>
      </c>
      <c r="G7" s="3874"/>
    </row>
    <row r="8" spans="7:7">
      <c r="G8" s="3874"/>
    </row>
    <row r="9" ht="14.25" spans="1:2">
      <c r="A9" s="3877" t="s">
        <v>136</v>
      </c>
      <c r="B9" s="3822" t="s">
        <v>137</v>
      </c>
    </row>
    <row r="11" ht="14.25" spans="1:2">
      <c r="A11" s="3878" t="s">
        <v>138</v>
      </c>
      <c r="B11" s="3879" t="s">
        <v>139</v>
      </c>
    </row>
    <row r="13" ht="14.25" spans="1:1">
      <c r="A13" s="3880" t="s">
        <v>140</v>
      </c>
    </row>
    <row r="15" ht="13.5" spans="1:3">
      <c r="A15" s="3881" t="s">
        <v>141</v>
      </c>
      <c r="B15" s="3882" t="s">
        <v>142</v>
      </c>
      <c r="C15" s="3883"/>
    </row>
    <row r="16" ht="13.5" spans="1:3">
      <c r="A16" s="3884"/>
      <c r="B16" s="3882" t="s">
        <v>143</v>
      </c>
      <c r="C16" s="3883"/>
    </row>
    <row r="17" ht="14.25" spans="1:3">
      <c r="A17" s="3884"/>
      <c r="B17" s="3882" t="s">
        <v>144</v>
      </c>
      <c r="C17" s="3883"/>
    </row>
    <row r="18" ht="13.5" spans="1:3">
      <c r="A18" s="3885"/>
      <c r="B18" s="3886" t="s">
        <v>145</v>
      </c>
      <c r="C18" s="3883"/>
    </row>
    <row r="19" ht="14.25" spans="1:3">
      <c r="A19" s="3887" t="s">
        <v>146</v>
      </c>
      <c r="B19" s="3888"/>
      <c r="C19" s="3889"/>
    </row>
    <row r="20" ht="13.5" spans="1:3">
      <c r="A20" s="3890" t="s">
        <v>147</v>
      </c>
      <c r="B20" s="3886" t="s">
        <v>148</v>
      </c>
      <c r="C20" s="3883"/>
    </row>
    <row r="21" ht="13.5" spans="1:3">
      <c r="A21" s="3890"/>
      <c r="B21" s="3886" t="s">
        <v>149</v>
      </c>
      <c r="C21" s="3883"/>
    </row>
    <row r="22" ht="13.5" spans="1:3">
      <c r="A22" s="3890"/>
      <c r="B22" s="3886" t="s">
        <v>150</v>
      </c>
      <c r="C22" s="3883"/>
    </row>
    <row r="23" ht="13.5" spans="1:3">
      <c r="A23" s="3890"/>
      <c r="B23" s="3891" t="s">
        <v>151</v>
      </c>
      <c r="C23" s="3891" t="s">
        <v>152</v>
      </c>
    </row>
    <row r="24" ht="13.5" spans="1:3">
      <c r="A24" s="3890"/>
      <c r="B24" s="3891"/>
      <c r="C24" s="3891" t="s">
        <v>153</v>
      </c>
    </row>
    <row r="25" ht="13.5" spans="1:3">
      <c r="A25" s="3890"/>
      <c r="B25" s="3891"/>
      <c r="C25" s="3891" t="s">
        <v>154</v>
      </c>
    </row>
    <row r="26" ht="13.5" spans="1:3">
      <c r="A26" s="3890"/>
      <c r="B26" s="3891"/>
      <c r="C26" s="3891" t="s">
        <v>155</v>
      </c>
    </row>
    <row r="27" ht="13.5" spans="1:3">
      <c r="A27" s="3890"/>
      <c r="B27" s="3891"/>
      <c r="C27" s="3891" t="s">
        <v>156</v>
      </c>
    </row>
    <row r="28" ht="13.5" spans="1:3">
      <c r="A28" s="3890"/>
      <c r="B28" s="3891"/>
      <c r="C28" s="3891" t="s">
        <v>157</v>
      </c>
    </row>
    <row r="29" ht="14.25" spans="1:3">
      <c r="A29" s="3890"/>
      <c r="B29" s="3891"/>
      <c r="C29" s="3891" t="s">
        <v>158</v>
      </c>
    </row>
    <row r="30" ht="14.25" spans="1:3">
      <c r="A30" s="3890"/>
      <c r="B30" s="3891"/>
      <c r="C30" s="3891" t="s">
        <v>159</v>
      </c>
    </row>
    <row r="31" ht="13.5" spans="1:3">
      <c r="A31" s="3890"/>
      <c r="B31" s="3891"/>
      <c r="C31" s="3891" t="s">
        <v>160</v>
      </c>
    </row>
    <row r="32" spans="1:1">
      <c r="A32" s="389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838" customWidth="1"/>
    <col min="2" max="2" width="38.625" style="3838" customWidth="1"/>
    <col min="3" max="3" width="26" style="3838" customWidth="1"/>
    <col min="4" max="4" width="35" style="3838" hidden="1" customWidth="1"/>
    <col min="5" max="5" width="30.125" style="3838" customWidth="1"/>
    <col min="6" max="6" width="35.5" style="3838" customWidth="1"/>
    <col min="7" max="7" width="31" style="3838" customWidth="1"/>
    <col min="8" max="8" width="37.5" style="3838" hidden="1" customWidth="1"/>
    <col min="9" max="16384" width="22.625" style="3838"/>
  </cols>
  <sheetData>
    <row r="1" customHeight="1" spans="1:8">
      <c r="A1" s="3839"/>
      <c r="B1" s="3839"/>
      <c r="C1" s="3839"/>
      <c r="D1" s="3839"/>
      <c r="E1" s="3839"/>
      <c r="F1" s="3839"/>
      <c r="G1" s="3839"/>
      <c r="H1" s="3839"/>
    </row>
    <row r="2" customHeight="1" spans="1:8">
      <c r="A2" s="3840" t="s">
        <v>162</v>
      </c>
      <c r="B2" s="3841">
        <f ca="1">TODAY()</f>
        <v>44624</v>
      </c>
      <c r="C2" s="3842" t="s">
        <v>163</v>
      </c>
      <c r="D2" s="3842"/>
      <c r="E2" s="3842"/>
      <c r="F2" s="3839"/>
      <c r="G2" s="3839"/>
      <c r="H2" s="3839"/>
    </row>
    <row r="3" customHeight="1" spans="1:8">
      <c r="A3" s="3843" t="s">
        <v>164</v>
      </c>
      <c r="B3" s="3844" t="s">
        <v>165</v>
      </c>
      <c r="C3" s="3844" t="s">
        <v>166</v>
      </c>
      <c r="D3" s="3845" t="s">
        <v>167</v>
      </c>
      <c r="E3" s="3846" t="s">
        <v>168</v>
      </c>
      <c r="F3" s="3847" t="s">
        <v>169</v>
      </c>
      <c r="G3" s="3844" t="s">
        <v>166</v>
      </c>
      <c r="H3" s="3845" t="s">
        <v>170</v>
      </c>
    </row>
    <row r="4" customHeight="1" spans="1:8">
      <c r="A4" s="3847" t="s">
        <v>171</v>
      </c>
      <c r="B4" s="3847">
        <f ca="1">IF(C4&lt;B2,"已过期",1119970066)</f>
        <v>1119970066</v>
      </c>
      <c r="C4" s="3848">
        <v>44876</v>
      </c>
      <c r="D4" s="3849" t="str">
        <f ca="1">A4&amp;"（注册号："&amp;B4&amp;"）"</f>
        <v>梁津（注册号：1119970066）</v>
      </c>
      <c r="E4" s="3850" t="s">
        <v>171</v>
      </c>
      <c r="F4" s="3847">
        <f ca="1">IF(G4&lt;B2,"已过期",96010014)</f>
        <v>96010014</v>
      </c>
      <c r="G4" s="3851">
        <v>47118</v>
      </c>
      <c r="H4" s="3852" t="str">
        <f ca="1">E4&amp;"（注册号："&amp;F4&amp;"）"</f>
        <v>梁津（注册号：96010014）</v>
      </c>
    </row>
    <row r="5" customHeight="1" spans="1:8">
      <c r="A5" s="3847" t="s">
        <v>172</v>
      </c>
      <c r="B5" s="3847">
        <f ca="1">IF(C5&lt;B2,"已过期",1119970111)</f>
        <v>1119970111</v>
      </c>
      <c r="C5" s="3848">
        <v>44876</v>
      </c>
      <c r="D5" s="3849" t="str">
        <f ca="1" t="shared" ref="D5:D14" si="0">A5&amp;"（注册号："&amp;B5&amp;"）"</f>
        <v>叶凌（注册号：1119970111）</v>
      </c>
      <c r="E5" s="3850" t="s">
        <v>172</v>
      </c>
      <c r="F5" s="3847">
        <f ca="1">IF(G5&lt;B2,"已过期",94010078)</f>
        <v>94010078</v>
      </c>
      <c r="G5" s="3851">
        <v>46387</v>
      </c>
      <c r="H5" s="3852" t="str">
        <f ca="1" t="shared" ref="H5:H16" si="1">E5&amp;"（注册号："&amp;F5&amp;"）"</f>
        <v>叶凌（注册号：94010078）</v>
      </c>
    </row>
    <row r="6" customHeight="1" spans="1:8">
      <c r="A6" s="3847" t="s">
        <v>173</v>
      </c>
      <c r="B6" s="3847" t="str">
        <f ca="1">IF(C6&lt;B2,"已过期",1120050019)</f>
        <v>已过期</v>
      </c>
      <c r="C6" s="3848">
        <v>44395</v>
      </c>
      <c r="D6" s="3849" t="str">
        <f ca="1" t="shared" si="0"/>
        <v>王鹏（注册号：已过期）</v>
      </c>
      <c r="E6" s="3850" t="s">
        <v>173</v>
      </c>
      <c r="F6" s="3847">
        <f ca="1">IF(G6&lt;B2,"已过期",2002110030)</f>
        <v>2002110030</v>
      </c>
      <c r="G6" s="3851">
        <v>46387</v>
      </c>
      <c r="H6" s="3852" t="str">
        <f ca="1" t="shared" si="1"/>
        <v>王鹏（注册号：2002110030）</v>
      </c>
    </row>
    <row r="7" customHeight="1" spans="1:8">
      <c r="A7" s="3847" t="s">
        <v>174</v>
      </c>
      <c r="B7" s="3847">
        <f ca="1">IF(C7&lt;B2,"已过期",1120000080)</f>
        <v>1120000080</v>
      </c>
      <c r="C7" s="3848">
        <v>44876</v>
      </c>
      <c r="D7" s="3849" t="str">
        <f ca="1" t="shared" si="0"/>
        <v>欧红伟（注册号：1120000080）</v>
      </c>
      <c r="E7" s="3850" t="s">
        <v>174</v>
      </c>
      <c r="F7" s="3847">
        <f ca="1">IF(G7&lt;B2,"已过期",2000110082)</f>
        <v>2000110082</v>
      </c>
      <c r="G7" s="3851">
        <v>46387</v>
      </c>
      <c r="H7" s="3852" t="str">
        <f ca="1" t="shared" si="1"/>
        <v>欧红伟（注册号：2000110082）</v>
      </c>
    </row>
    <row r="8" customHeight="1" spans="1:8">
      <c r="A8" s="3847" t="s">
        <v>175</v>
      </c>
      <c r="B8" s="3847">
        <f ca="1">IF(C8&lt;B2,"已过期",1419970001)</f>
        <v>1419970001</v>
      </c>
      <c r="C8" s="3848">
        <v>44899</v>
      </c>
      <c r="D8" s="3849" t="str">
        <f ca="1" t="shared" si="0"/>
        <v>吴薇（注册号：1419970001）</v>
      </c>
      <c r="E8" s="3850" t="s">
        <v>175</v>
      </c>
      <c r="F8" s="3847">
        <f ca="1">IF(G8&lt;B2,"已过期",2002110125)</f>
        <v>2002110125</v>
      </c>
      <c r="G8" s="3851">
        <v>47118</v>
      </c>
      <c r="H8" s="3852" t="str">
        <f ca="1" t="shared" si="1"/>
        <v>吴薇（注册号：2002110125）</v>
      </c>
    </row>
    <row r="9" customHeight="1" spans="1:8">
      <c r="A9" s="3847" t="s">
        <v>176</v>
      </c>
      <c r="B9" s="3847" t="str">
        <f ca="1">IF(C9&lt;B2,"已过期",1120060040)</f>
        <v>已过期</v>
      </c>
      <c r="C9" s="3853">
        <v>44554</v>
      </c>
      <c r="D9" s="3849" t="str">
        <f ca="1" t="shared" si="0"/>
        <v>陈颖（注册号：已过期）</v>
      </c>
      <c r="E9" s="3850" t="s">
        <v>176</v>
      </c>
      <c r="F9" s="3847">
        <f ca="1">IF(G9&lt;B2,"已过期",2004110096)</f>
        <v>2004110096</v>
      </c>
      <c r="G9" s="3851">
        <v>47118</v>
      </c>
      <c r="H9" s="3852" t="str">
        <f ca="1" t="shared" si="1"/>
        <v>陈颖（注册号：2004110096）</v>
      </c>
    </row>
    <row r="10" customHeight="1" spans="1:8">
      <c r="A10" s="3847" t="s">
        <v>177</v>
      </c>
      <c r="B10" s="3847">
        <f ca="1">IF(C10&lt;B2,"已过期",1120100036)</f>
        <v>1120100036</v>
      </c>
      <c r="C10" s="3853">
        <v>44675</v>
      </c>
      <c r="D10" s="3849" t="str">
        <f ca="1" t="shared" si="0"/>
        <v>崔锴（注册号：1120100036）</v>
      </c>
      <c r="E10" s="3850" t="s">
        <v>177</v>
      </c>
      <c r="F10" s="3847">
        <f ca="1">IF(G10&lt;B2,"已过期",2010110070)</f>
        <v>2010110070</v>
      </c>
      <c r="G10" s="3851">
        <v>47907</v>
      </c>
      <c r="H10" s="3852" t="str">
        <f ca="1" t="shared" si="1"/>
        <v>崔锴（注册号：2010110070）</v>
      </c>
    </row>
    <row r="11" customHeight="1" spans="1:8">
      <c r="A11" s="3847" t="s">
        <v>178</v>
      </c>
      <c r="B11" s="3847">
        <f ca="1">IF(C11&lt;B2,"已过期",1120070131)</f>
        <v>1120070131</v>
      </c>
      <c r="C11" s="3848">
        <v>44849</v>
      </c>
      <c r="D11" s="3849" t="str">
        <f ca="1" t="shared" si="0"/>
        <v>郑燚（注册号：1120070131）</v>
      </c>
      <c r="E11" s="3850" t="s">
        <v>178</v>
      </c>
      <c r="F11" s="3847">
        <f ca="1">IF(G11&lt;B2,"已过期",2014110011)</f>
        <v>2014110011</v>
      </c>
      <c r="G11" s="3851">
        <v>49302</v>
      </c>
      <c r="H11" s="3852" t="str">
        <f ca="1" t="shared" si="1"/>
        <v>郑燚（注册号：2014110011）</v>
      </c>
    </row>
    <row r="12" customHeight="1" spans="1:8">
      <c r="A12" s="3847" t="s">
        <v>179</v>
      </c>
      <c r="B12" s="3847">
        <f ca="1">IF(C12&lt;B2,"已过期",1120040230)</f>
        <v>1120040230</v>
      </c>
      <c r="C12" s="3853">
        <v>44864</v>
      </c>
      <c r="D12" s="3849" t="str">
        <f ca="1" t="shared" si="0"/>
        <v>苏海（注册号：1120040230）</v>
      </c>
      <c r="E12" s="3850" t="s">
        <v>179</v>
      </c>
      <c r="F12" s="3847">
        <f ca="1">IF(G12&lt;B2,"已过期",98030020)</f>
        <v>98030020</v>
      </c>
      <c r="G12" s="3851">
        <v>47118</v>
      </c>
      <c r="H12" s="3852" t="str">
        <f ca="1" t="shared" si="1"/>
        <v>苏海（注册号：98030020）</v>
      </c>
    </row>
    <row r="13" customHeight="1" spans="1:8">
      <c r="A13" s="3847" t="s">
        <v>180</v>
      </c>
      <c r="B13" s="3847" t="str">
        <f ca="1">IF(C13&lt;B2,"已过期",1120020033)</f>
        <v>已过期</v>
      </c>
      <c r="C13" s="3848">
        <v>44339</v>
      </c>
      <c r="D13" s="3849" t="str">
        <f ca="1" t="shared" si="0"/>
        <v>刘敬东（注册号：已过期）</v>
      </c>
      <c r="E13" s="3850" t="s">
        <v>180</v>
      </c>
      <c r="F13" s="3847">
        <f ca="1">IF(G13&lt;B2,"已过期",2000110137)</f>
        <v>2000110137</v>
      </c>
      <c r="G13" s="3851">
        <v>46387</v>
      </c>
      <c r="H13" s="3852" t="str">
        <f ca="1" t="shared" si="1"/>
        <v>刘敬东（注册号：2000110137）</v>
      </c>
    </row>
    <row r="14" customHeight="1" spans="1:8">
      <c r="A14" s="3847" t="s">
        <v>181</v>
      </c>
      <c r="B14" s="3847">
        <f ca="1">IF(C14&lt;B2,"已过期",1119980106)</f>
        <v>1119980106</v>
      </c>
      <c r="C14" s="3853">
        <v>44969</v>
      </c>
      <c r="D14" s="3849" t="str">
        <f ca="1" t="shared" si="0"/>
        <v>刘俊财（注册号：1119980106）</v>
      </c>
      <c r="E14" s="3850" t="s">
        <v>181</v>
      </c>
      <c r="F14" s="3847">
        <f ca="1">IF(G14&lt;B2,"已过期",96010063)</f>
        <v>96010063</v>
      </c>
      <c r="G14" s="3851">
        <v>47483</v>
      </c>
      <c r="H14" s="3852" t="str">
        <f ca="1" t="shared" si="1"/>
        <v>刘俊财（注册号：96010063）</v>
      </c>
    </row>
    <row r="15" customHeight="1" spans="1:8">
      <c r="A15" s="3847"/>
      <c r="B15" s="3847"/>
      <c r="C15" s="3853"/>
      <c r="D15" s="3849" t="str">
        <f t="shared" ref="D15:D16" si="2">A15&amp;"（注册号："&amp;B15&amp;"）"</f>
        <v>（注册号：）</v>
      </c>
      <c r="E15" s="3850" t="s">
        <v>182</v>
      </c>
      <c r="F15" s="3847">
        <f ca="1">IF(G15&lt;B2,"已过期",2011110090)</f>
        <v>2011110090</v>
      </c>
      <c r="G15" s="3851">
        <v>48302</v>
      </c>
      <c r="H15" s="3852" t="str">
        <f ca="1" t="shared" ref="H15" si="3">E15&amp;"（注册号："&amp;F15&amp;"）"</f>
        <v>赵雯（注册号：2011110090）</v>
      </c>
    </row>
    <row r="16" s="3836" customFormat="1" customHeight="1" spans="1:8">
      <c r="A16" s="3847"/>
      <c r="B16" s="3847"/>
      <c r="C16" s="3847"/>
      <c r="D16" s="3849" t="str">
        <f t="shared" si="2"/>
        <v>（注册号：）</v>
      </c>
      <c r="E16" s="3850"/>
      <c r="F16" s="3847"/>
      <c r="G16" s="3847"/>
      <c r="H16" s="3854" t="str">
        <f t="shared" si="1"/>
        <v>（注册号：）</v>
      </c>
    </row>
    <row r="17" customHeight="1" spans="1:8">
      <c r="A17" s="3855" t="s">
        <v>183</v>
      </c>
      <c r="B17" s="3855"/>
      <c r="C17" s="3855"/>
      <c r="D17" s="3855"/>
      <c r="E17" s="3855"/>
      <c r="F17" s="3855"/>
      <c r="G17" s="3855"/>
      <c r="H17" s="3855"/>
    </row>
    <row r="18" customHeight="1" spans="1:7">
      <c r="A18" s="3844" t="s">
        <v>184</v>
      </c>
      <c r="B18" s="3844"/>
      <c r="C18" s="3844"/>
      <c r="D18" s="3845"/>
      <c r="E18" s="3856" t="s">
        <v>185</v>
      </c>
      <c r="F18" s="3844"/>
      <c r="G18" s="3844"/>
    </row>
    <row r="19" s="3837" customFormat="1" customHeight="1" spans="1:7">
      <c r="A19" s="3857" t="s">
        <v>186</v>
      </c>
      <c r="B19" s="3844" t="s">
        <v>187</v>
      </c>
      <c r="C19" s="3844" t="s">
        <v>166</v>
      </c>
      <c r="D19" s="3845"/>
      <c r="E19" s="3850" t="s">
        <v>186</v>
      </c>
      <c r="F19" s="3844" t="s">
        <v>187</v>
      </c>
      <c r="G19" s="3844" t="s">
        <v>166</v>
      </c>
    </row>
    <row r="20" s="3837" customFormat="1" customHeight="1" spans="1:7">
      <c r="A20" s="3858" t="s">
        <v>188</v>
      </c>
      <c r="B20" s="3858" t="s">
        <v>189</v>
      </c>
      <c r="C20" s="3851">
        <v>44820</v>
      </c>
      <c r="D20" s="3859"/>
      <c r="E20" s="3860" t="s">
        <v>190</v>
      </c>
      <c r="F20" s="3858" t="s">
        <v>191</v>
      </c>
      <c r="G20" s="3861">
        <v>44377</v>
      </c>
    </row>
    <row r="21" s="3837" customFormat="1" customHeight="1" spans="1:7">
      <c r="A21" s="3858"/>
      <c r="B21" s="3858"/>
      <c r="C21" s="3862"/>
      <c r="D21" s="3863"/>
      <c r="E21" s="3860" t="s">
        <v>192</v>
      </c>
      <c r="F21" s="3864" t="s">
        <v>193</v>
      </c>
      <c r="G21" s="3865">
        <v>44012</v>
      </c>
    </row>
    <row r="22" customHeight="1" spans="3:7">
      <c r="C22" s="3866"/>
      <c r="D22" s="3866"/>
      <c r="E22" s="3867"/>
      <c r="F22" s="3868"/>
      <c r="G22" s="386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821" customWidth="1"/>
    <col min="2" max="2" width="22.5" style="3822" customWidth="1"/>
    <col min="3" max="3" width="13" style="3319" hidden="1" customWidth="1"/>
    <col min="4" max="4" width="5.75" style="3823" hidden="1" customWidth="1"/>
    <col min="5" max="5" width="7.125" style="3823" hidden="1" customWidth="1"/>
    <col min="6" max="6" width="10.625" style="3823" hidden="1" customWidth="1"/>
    <col min="7" max="7" width="7.5" style="3823" hidden="1" customWidth="1"/>
    <col min="8" max="8" width="9" style="3319" hidden="1" customWidth="1"/>
    <col min="9" max="9" width="11.625" style="3319" hidden="1" customWidth="1"/>
    <col min="10" max="10" width="9" style="3319" hidden="1" customWidth="1"/>
    <col min="11" max="19" width="9" style="3823" hidden="1" customWidth="1"/>
    <col min="20" max="24" width="9" style="3319" hidden="1" customWidth="1"/>
    <col min="25" max="25" width="9" style="3319" customWidth="1"/>
    <col min="26" max="26" width="15.875" style="3822" customWidth="1"/>
    <col min="27" max="16384" width="9" style="3822"/>
  </cols>
  <sheetData>
    <row r="1" s="3820" customFormat="1" ht="27" spans="1:25">
      <c r="A1" s="3824" t="s">
        <v>195</v>
      </c>
      <c r="B1" s="3825" t="s">
        <v>196</v>
      </c>
      <c r="C1" s="3826" t="s">
        <v>197</v>
      </c>
      <c r="D1" s="3827" t="s">
        <v>198</v>
      </c>
      <c r="E1" s="3827" t="s">
        <v>199</v>
      </c>
      <c r="F1" s="3827" t="s">
        <v>200</v>
      </c>
      <c r="G1" s="3827" t="s">
        <v>201</v>
      </c>
      <c r="H1" s="3827" t="s">
        <v>202</v>
      </c>
      <c r="I1" s="3827" t="s">
        <v>203</v>
      </c>
      <c r="J1" s="3827" t="s">
        <v>204</v>
      </c>
      <c r="K1" s="3827" t="s">
        <v>205</v>
      </c>
      <c r="L1" s="3827" t="s">
        <v>206</v>
      </c>
      <c r="M1" s="3827" t="s">
        <v>207</v>
      </c>
      <c r="N1" s="3827" t="s">
        <v>208</v>
      </c>
      <c r="O1" s="3827" t="s">
        <v>209</v>
      </c>
      <c r="P1" s="3834" t="s">
        <v>210</v>
      </c>
      <c r="Q1" s="3834" t="s">
        <v>211</v>
      </c>
      <c r="R1" s="3834" t="s">
        <v>212</v>
      </c>
      <c r="S1" s="3827" t="s">
        <v>213</v>
      </c>
      <c r="T1" s="3835" t="s">
        <v>214</v>
      </c>
      <c r="U1" s="3827" t="s">
        <v>215</v>
      </c>
      <c r="V1" s="3827" t="s">
        <v>216</v>
      </c>
      <c r="W1" s="3827" t="s">
        <v>217</v>
      </c>
      <c r="X1" s="3827" t="s">
        <v>218</v>
      </c>
      <c r="Y1" s="3827" t="s">
        <v>219</v>
      </c>
    </row>
    <row r="2" spans="1:25">
      <c r="A2" s="2979" t="s">
        <v>121</v>
      </c>
      <c r="B2" s="2979" t="s">
        <v>220</v>
      </c>
      <c r="C2" s="3828" t="s">
        <v>221</v>
      </c>
      <c r="D2" s="3823" t="s">
        <v>222</v>
      </c>
      <c r="E2" s="3823" t="s">
        <v>223</v>
      </c>
      <c r="F2" s="3823" t="s">
        <v>152</v>
      </c>
      <c r="G2" s="3823">
        <v>40</v>
      </c>
      <c r="H2" s="3823" t="s">
        <v>152</v>
      </c>
      <c r="I2" s="3823" t="s">
        <v>224</v>
      </c>
      <c r="J2" s="3823" t="s">
        <v>225</v>
      </c>
      <c r="K2" s="3823" t="s">
        <v>226</v>
      </c>
      <c r="L2" s="3823" t="s">
        <v>226</v>
      </c>
      <c r="M2" s="3823" t="s">
        <v>226</v>
      </c>
      <c r="N2" s="3823" t="s">
        <v>226</v>
      </c>
      <c r="O2" s="3823" t="s">
        <v>226</v>
      </c>
      <c r="P2" s="3823" t="s">
        <v>226</v>
      </c>
      <c r="Q2" s="3823" t="s">
        <v>226</v>
      </c>
      <c r="R2" s="3823" t="s">
        <v>227</v>
      </c>
      <c r="S2" s="3823" t="s">
        <v>226</v>
      </c>
      <c r="T2" s="3823" t="s">
        <v>228</v>
      </c>
      <c r="U2" s="3823" t="s">
        <v>226</v>
      </c>
      <c r="V2" s="3823" t="s">
        <v>229</v>
      </c>
      <c r="W2" s="3823" t="s">
        <v>226</v>
      </c>
      <c r="X2" s="3823" t="s">
        <v>230</v>
      </c>
      <c r="Y2" s="3823" t="s">
        <v>231</v>
      </c>
    </row>
    <row r="3" spans="1:25">
      <c r="A3" s="2979" t="s">
        <v>232</v>
      </c>
      <c r="B3" s="3013" t="s">
        <v>233</v>
      </c>
      <c r="C3" s="328" t="s">
        <v>234</v>
      </c>
      <c r="D3" s="3823" t="s">
        <v>235</v>
      </c>
      <c r="E3" s="3823" t="s">
        <v>121</v>
      </c>
      <c r="F3" s="3823" t="s">
        <v>153</v>
      </c>
      <c r="G3" s="3823">
        <v>50</v>
      </c>
      <c r="H3" s="3823" t="s">
        <v>153</v>
      </c>
      <c r="I3" s="3823" t="s">
        <v>236</v>
      </c>
      <c r="J3" s="3823" t="s">
        <v>237</v>
      </c>
      <c r="K3" s="3823" t="s">
        <v>238</v>
      </c>
      <c r="L3" s="3823" t="s">
        <v>238</v>
      </c>
      <c r="M3" s="3823" t="s">
        <v>238</v>
      </c>
      <c r="N3" s="3823" t="s">
        <v>238</v>
      </c>
      <c r="O3" s="3823" t="s">
        <v>238</v>
      </c>
      <c r="P3" s="3823" t="s">
        <v>238</v>
      </c>
      <c r="Q3" s="3823" t="s">
        <v>238</v>
      </c>
      <c r="R3" s="3823" t="s">
        <v>239</v>
      </c>
      <c r="S3" s="3823" t="s">
        <v>238</v>
      </c>
      <c r="T3" s="3823" t="s">
        <v>240</v>
      </c>
      <c r="U3" s="3823" t="s">
        <v>238</v>
      </c>
      <c r="V3" s="3823" t="s">
        <v>241</v>
      </c>
      <c r="W3" s="3823" t="s">
        <v>238</v>
      </c>
      <c r="X3" s="3823" t="s">
        <v>242</v>
      </c>
      <c r="Y3" s="3823" t="s">
        <v>243</v>
      </c>
    </row>
    <row r="4" spans="1:25">
      <c r="A4" s="2979" t="s">
        <v>244</v>
      </c>
      <c r="B4" s="3013" t="s">
        <v>245</v>
      </c>
      <c r="C4" s="3828" t="s">
        <v>246</v>
      </c>
      <c r="D4" s="3823" t="s">
        <v>121</v>
      </c>
      <c r="E4" s="3823" t="s">
        <v>247</v>
      </c>
      <c r="F4" s="3823" t="s">
        <v>154</v>
      </c>
      <c r="G4" s="3823">
        <v>70</v>
      </c>
      <c r="H4" s="3823" t="s">
        <v>154</v>
      </c>
      <c r="I4" s="3823" t="s">
        <v>248</v>
      </c>
      <c r="K4" s="3823" t="s">
        <v>249</v>
      </c>
      <c r="L4" s="3823" t="s">
        <v>249</v>
      </c>
      <c r="M4" s="3823" t="s">
        <v>249</v>
      </c>
      <c r="N4" s="3823" t="s">
        <v>249</v>
      </c>
      <c r="O4" s="3823" t="s">
        <v>249</v>
      </c>
      <c r="P4" s="3823" t="s">
        <v>249</v>
      </c>
      <c r="Q4" s="3823" t="s">
        <v>249</v>
      </c>
      <c r="R4" s="3823" t="s">
        <v>250</v>
      </c>
      <c r="S4" s="3823" t="s">
        <v>249</v>
      </c>
      <c r="T4" s="3823" t="s">
        <v>251</v>
      </c>
      <c r="U4" s="3823" t="s">
        <v>249</v>
      </c>
      <c r="W4" s="3823" t="s">
        <v>249</v>
      </c>
      <c r="X4" s="3823" t="s">
        <v>252</v>
      </c>
      <c r="Y4" s="3823" t="s">
        <v>253</v>
      </c>
    </row>
    <row r="5" spans="1:24">
      <c r="A5" s="2979" t="s">
        <v>254</v>
      </c>
      <c r="B5" s="2979" t="s">
        <v>255</v>
      </c>
      <c r="C5" s="3828" t="s">
        <v>256</v>
      </c>
      <c r="F5" s="3823" t="s">
        <v>155</v>
      </c>
      <c r="H5" s="3823" t="s">
        <v>257</v>
      </c>
      <c r="I5" s="3823" t="s">
        <v>258</v>
      </c>
      <c r="K5" s="3823" t="s">
        <v>259</v>
      </c>
      <c r="L5" s="3823" t="s">
        <v>259</v>
      </c>
      <c r="M5" s="3823" t="s">
        <v>259</v>
      </c>
      <c r="N5" s="3823" t="s">
        <v>259</v>
      </c>
      <c r="O5" s="3823" t="s">
        <v>259</v>
      </c>
      <c r="P5" s="3823" t="s">
        <v>259</v>
      </c>
      <c r="Q5" s="3823" t="s">
        <v>259</v>
      </c>
      <c r="R5" s="3823" t="s">
        <v>260</v>
      </c>
      <c r="S5" s="3823" t="s">
        <v>259</v>
      </c>
      <c r="T5" s="3823" t="s">
        <v>261</v>
      </c>
      <c r="U5" s="3823" t="s">
        <v>259</v>
      </c>
      <c r="W5" s="3823" t="s">
        <v>259</v>
      </c>
      <c r="X5" s="3832"/>
    </row>
    <row r="6" spans="1:24">
      <c r="A6" s="2979" t="s">
        <v>262</v>
      </c>
      <c r="B6" s="2979" t="s">
        <v>263</v>
      </c>
      <c r="C6" s="3829" t="s">
        <v>264</v>
      </c>
      <c r="F6" s="3823" t="s">
        <v>257</v>
      </c>
      <c r="H6" s="3823" t="s">
        <v>157</v>
      </c>
      <c r="I6" s="3823" t="s">
        <v>265</v>
      </c>
      <c r="K6" s="3823" t="s">
        <v>266</v>
      </c>
      <c r="L6" s="3823" t="s">
        <v>266</v>
      </c>
      <c r="M6" s="3823" t="s">
        <v>266</v>
      </c>
      <c r="N6" s="3823" t="s">
        <v>266</v>
      </c>
      <c r="O6" s="3823" t="s">
        <v>266</v>
      </c>
      <c r="P6" s="3823" t="s">
        <v>266</v>
      </c>
      <c r="Q6" s="3823" t="s">
        <v>266</v>
      </c>
      <c r="R6" s="3823" t="s">
        <v>267</v>
      </c>
      <c r="S6" s="3823" t="s">
        <v>266</v>
      </c>
      <c r="T6" s="3823"/>
      <c r="U6" s="3823" t="s">
        <v>266</v>
      </c>
      <c r="W6" s="3823" t="s">
        <v>266</v>
      </c>
      <c r="X6" s="3832"/>
    </row>
    <row r="7" spans="1:24">
      <c r="A7" s="2979" t="s">
        <v>268</v>
      </c>
      <c r="B7" s="3013" t="s">
        <v>269</v>
      </c>
      <c r="C7" s="3828" t="s">
        <v>270</v>
      </c>
      <c r="F7" s="3823" t="s">
        <v>271</v>
      </c>
      <c r="H7" s="3823" t="s">
        <v>155</v>
      </c>
      <c r="I7" s="3823" t="s">
        <v>272</v>
      </c>
      <c r="X7" s="3832"/>
    </row>
    <row r="8" spans="1:24">
      <c r="A8" s="2979" t="s">
        <v>273</v>
      </c>
      <c r="B8" s="3013" t="s">
        <v>274</v>
      </c>
      <c r="C8" s="3828" t="s">
        <v>275</v>
      </c>
      <c r="F8" s="3823" t="s">
        <v>276</v>
      </c>
      <c r="H8" s="3823" t="s">
        <v>277</v>
      </c>
      <c r="I8" s="3823" t="s">
        <v>278</v>
      </c>
      <c r="X8" s="3832"/>
    </row>
    <row r="9" spans="1:8">
      <c r="A9" s="2979" t="s">
        <v>279</v>
      </c>
      <c r="B9" s="2979" t="s">
        <v>280</v>
      </c>
      <c r="C9" s="3828" t="s">
        <v>281</v>
      </c>
      <c r="F9" s="3823" t="s">
        <v>157</v>
      </c>
      <c r="H9" s="3823" t="s">
        <v>282</v>
      </c>
    </row>
    <row r="10" spans="1:6">
      <c r="A10" s="2979" t="s">
        <v>283</v>
      </c>
      <c r="B10" s="2979" t="s">
        <v>284</v>
      </c>
      <c r="C10" s="3828" t="s">
        <v>285</v>
      </c>
      <c r="F10" s="3823" t="s">
        <v>121</v>
      </c>
    </row>
    <row r="11" spans="1:3">
      <c r="A11" s="2979" t="s">
        <v>286</v>
      </c>
      <c r="B11" s="2979" t="s">
        <v>287</v>
      </c>
      <c r="C11" s="3828" t="s">
        <v>288</v>
      </c>
    </row>
    <row r="12" spans="1:3">
      <c r="A12" s="2979" t="s">
        <v>289</v>
      </c>
      <c r="B12" s="2979" t="s">
        <v>290</v>
      </c>
      <c r="C12" s="3828" t="s">
        <v>291</v>
      </c>
    </row>
    <row r="13" spans="1:3">
      <c r="A13" s="2979" t="s">
        <v>292</v>
      </c>
      <c r="B13" s="2979" t="s">
        <v>293</v>
      </c>
      <c r="C13" s="3828" t="s">
        <v>294</v>
      </c>
    </row>
    <row r="14" spans="1:3">
      <c r="A14" s="2979" t="s">
        <v>295</v>
      </c>
      <c r="B14" s="2979" t="s">
        <v>296</v>
      </c>
      <c r="C14" s="3828"/>
    </row>
    <row r="15" spans="1:3">
      <c r="A15" s="2979" t="s">
        <v>297</v>
      </c>
      <c r="B15" s="2979" t="s">
        <v>298</v>
      </c>
      <c r="C15" s="3828"/>
    </row>
    <row r="16" spans="1:3">
      <c r="A16" s="2979" t="s">
        <v>299</v>
      </c>
      <c r="B16" s="2979" t="s">
        <v>300</v>
      </c>
      <c r="C16" s="3828"/>
    </row>
    <row r="17" spans="1:3">
      <c r="A17" s="2979" t="s">
        <v>301</v>
      </c>
      <c r="B17" s="2979" t="s">
        <v>302</v>
      </c>
      <c r="C17" s="3828"/>
    </row>
    <row r="18" spans="1:3">
      <c r="A18" s="2979" t="s">
        <v>303</v>
      </c>
      <c r="B18" s="2979" t="s">
        <v>304</v>
      </c>
      <c r="C18" s="3828"/>
    </row>
    <row r="19" spans="1:3">
      <c r="A19" s="2979" t="s">
        <v>305</v>
      </c>
      <c r="B19" s="2979" t="s">
        <v>306</v>
      </c>
      <c r="C19" s="3828"/>
    </row>
    <row r="20" spans="1:3">
      <c r="A20" s="2979" t="s">
        <v>307</v>
      </c>
      <c r="B20" s="2979" t="s">
        <v>308</v>
      </c>
      <c r="C20" s="3828"/>
    </row>
    <row r="21" spans="1:3">
      <c r="A21" s="2979" t="s">
        <v>257</v>
      </c>
      <c r="B21" s="2979" t="s">
        <v>309</v>
      </c>
      <c r="C21" s="3828"/>
    </row>
    <row r="22" spans="1:3">
      <c r="A22" s="2979" t="s">
        <v>310</v>
      </c>
      <c r="B22" s="2979" t="s">
        <v>309</v>
      </c>
      <c r="C22" s="3828"/>
    </row>
    <row r="23" spans="1:3">
      <c r="A23" s="2979" t="s">
        <v>311</v>
      </c>
      <c r="B23" s="2979" t="s">
        <v>309</v>
      </c>
      <c r="C23" s="3828"/>
    </row>
    <row r="24" spans="1:3">
      <c r="A24" s="2979" t="s">
        <v>312</v>
      </c>
      <c r="B24" s="2979" t="s">
        <v>309</v>
      </c>
      <c r="C24" s="3828"/>
    </row>
    <row r="25" spans="1:3">
      <c r="A25" s="2979" t="s">
        <v>313</v>
      </c>
      <c r="B25" s="2979" t="s">
        <v>309</v>
      </c>
      <c r="C25" s="3828"/>
    </row>
    <row r="26" spans="1:3">
      <c r="A26" s="2979" t="s">
        <v>314</v>
      </c>
      <c r="B26" s="2979" t="s">
        <v>309</v>
      </c>
      <c r="C26" s="3828"/>
    </row>
    <row r="27" spans="1:3">
      <c r="A27" s="2979" t="s">
        <v>309</v>
      </c>
      <c r="B27" s="2979" t="s">
        <v>309</v>
      </c>
      <c r="C27" s="3828"/>
    </row>
    <row r="28" spans="1:3">
      <c r="A28" s="2979" t="s">
        <v>309</v>
      </c>
      <c r="B28" s="2979" t="s">
        <v>309</v>
      </c>
      <c r="C28" s="3828"/>
    </row>
    <row r="29" spans="1:3">
      <c r="A29" s="2979" t="s">
        <v>309</v>
      </c>
      <c r="B29" s="2979" t="s">
        <v>309</v>
      </c>
      <c r="C29" s="3828"/>
    </row>
    <row r="30" spans="1:3">
      <c r="A30" s="2979" t="s">
        <v>309</v>
      </c>
      <c r="B30" s="2979" t="s">
        <v>309</v>
      </c>
      <c r="C30" s="3828"/>
    </row>
    <row r="31" spans="1:3">
      <c r="A31" s="2979" t="s">
        <v>309</v>
      </c>
      <c r="B31" s="2979" t="s">
        <v>309</v>
      </c>
      <c r="C31" s="3828"/>
    </row>
    <row r="32" spans="1:3">
      <c r="A32" s="2979" t="s">
        <v>309</v>
      </c>
      <c r="B32" s="2979" t="s">
        <v>309</v>
      </c>
      <c r="C32" s="3828"/>
    </row>
    <row r="33" spans="1:3">
      <c r="A33" s="2979" t="s">
        <v>309</v>
      </c>
      <c r="B33" s="2979" t="s">
        <v>309</v>
      </c>
      <c r="C33" s="3828"/>
    </row>
    <row r="34" spans="1:3">
      <c r="A34" s="2979" t="s">
        <v>309</v>
      </c>
      <c r="B34" s="2979" t="s">
        <v>309</v>
      </c>
      <c r="C34" s="3828"/>
    </row>
    <row r="35" spans="1:3">
      <c r="A35" s="2979" t="s">
        <v>309</v>
      </c>
      <c r="B35" s="2979" t="s">
        <v>309</v>
      </c>
      <c r="C35" s="3828"/>
    </row>
    <row r="36" spans="1:3">
      <c r="A36" s="2979" t="s">
        <v>309</v>
      </c>
      <c r="B36" s="2979" t="s">
        <v>309</v>
      </c>
      <c r="C36" s="3828"/>
    </row>
    <row r="37" spans="1:3">
      <c r="A37" s="2979" t="s">
        <v>309</v>
      </c>
      <c r="B37" s="2979" t="s">
        <v>309</v>
      </c>
      <c r="C37" s="3828"/>
    </row>
    <row r="38" spans="1:3">
      <c r="A38" s="2979" t="s">
        <v>309</v>
      </c>
      <c r="B38" s="2979" t="s">
        <v>309</v>
      </c>
      <c r="C38" s="3828"/>
    </row>
    <row r="39" spans="1:3">
      <c r="A39" s="2979" t="s">
        <v>309</v>
      </c>
      <c r="B39" s="2979" t="s">
        <v>309</v>
      </c>
      <c r="C39" s="3828"/>
    </row>
    <row r="40" spans="1:3">
      <c r="A40" s="2979" t="s">
        <v>309</v>
      </c>
      <c r="B40" s="2979" t="s">
        <v>309</v>
      </c>
      <c r="C40" s="3828"/>
    </row>
    <row r="41" spans="1:3">
      <c r="A41" s="2979" t="s">
        <v>309</v>
      </c>
      <c r="B41" s="2979" t="s">
        <v>309</v>
      </c>
      <c r="C41" s="3828"/>
    </row>
    <row r="42" spans="1:3">
      <c r="A42" s="2979" t="s">
        <v>309</v>
      </c>
      <c r="B42" s="2979" t="s">
        <v>309</v>
      </c>
      <c r="C42" s="3828"/>
    </row>
    <row r="43" spans="1:3">
      <c r="A43" s="2979" t="s">
        <v>309</v>
      </c>
      <c r="B43" s="2979" t="s">
        <v>309</v>
      </c>
      <c r="C43" s="3828"/>
    </row>
    <row r="44" spans="1:3">
      <c r="A44" s="2979" t="s">
        <v>309</v>
      </c>
      <c r="B44" s="2979" t="s">
        <v>309</v>
      </c>
      <c r="C44" s="3828"/>
    </row>
    <row r="45" spans="1:3">
      <c r="A45" s="2979" t="s">
        <v>309</v>
      </c>
      <c r="B45" s="2979" t="s">
        <v>309</v>
      </c>
      <c r="C45" s="3828"/>
    </row>
    <row r="46" spans="1:3">
      <c r="A46" s="2979" t="s">
        <v>309</v>
      </c>
      <c r="B46" s="2979" t="s">
        <v>309</v>
      </c>
      <c r="C46" s="3828"/>
    </row>
    <row r="47" spans="1:3">
      <c r="A47" s="2979" t="s">
        <v>309</v>
      </c>
      <c r="B47" s="2979" t="s">
        <v>309</v>
      </c>
      <c r="C47" s="3828"/>
    </row>
    <row r="48" spans="1:3">
      <c r="A48" s="2979" t="s">
        <v>309</v>
      </c>
      <c r="B48" s="2979" t="s">
        <v>309</v>
      </c>
      <c r="C48" s="3828"/>
    </row>
    <row r="49" spans="1:3">
      <c r="A49" s="2979" t="s">
        <v>309</v>
      </c>
      <c r="B49" s="2979" t="s">
        <v>309</v>
      </c>
      <c r="C49" s="3828"/>
    </row>
    <row r="50" spans="1:3">
      <c r="A50" s="2979" t="s">
        <v>309</v>
      </c>
      <c r="B50" s="2979" t="s">
        <v>309</v>
      </c>
      <c r="C50" s="3828"/>
    </row>
    <row r="51" spans="1:4">
      <c r="A51" s="3830" t="s">
        <v>315</v>
      </c>
      <c r="B51" s="331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31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830" t="s">
        <v>317</v>
      </c>
      <c r="B52" s="3830" t="s">
        <v>318</v>
      </c>
      <c r="C52" s="3319" t="s">
        <v>319</v>
      </c>
      <c r="D52" s="3319" t="s">
        <v>320</v>
      </c>
    </row>
    <row r="53" customHeight="1" spans="1:3">
      <c r="A53" s="3826" t="s">
        <v>321</v>
      </c>
      <c r="B53" s="3319" t="s">
        <v>322</v>
      </c>
      <c r="C53" s="331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本次估价的“房地产价值”是指在正常市场情况下，在价值时点2005年4月1日，估价对象规划用途为，假定未设立法定优先受偿款下的房地产市场价值。</v>
      </c>
    </row>
    <row r="54" spans="1:3">
      <c r="A54" s="3826"/>
      <c r="B54" s="3319" t="s">
        <v>323</v>
      </c>
      <c r="C54" s="3319" t="s">
        <v>324</v>
      </c>
    </row>
    <row r="55" spans="1:3">
      <c r="A55" s="3826"/>
      <c r="B55" s="3319" t="s">
        <v>325</v>
      </c>
      <c r="C55" s="3319" t="s">
        <v>326</v>
      </c>
    </row>
    <row r="56" spans="1:3">
      <c r="A56" s="3826"/>
      <c r="B56" s="3319" t="s">
        <v>327</v>
      </c>
      <c r="C56" s="3319" t="s">
        <v>328</v>
      </c>
    </row>
    <row r="57" spans="1:3">
      <c r="A57" s="3826"/>
      <c r="B57" s="3319" t="s">
        <v>329</v>
      </c>
      <c r="C57" s="3319" t="s">
        <v>330</v>
      </c>
    </row>
    <row r="58" spans="1:2">
      <c r="A58" s="3831"/>
      <c r="B58" s="3832"/>
    </row>
    <row r="59" spans="1:2">
      <c r="A59" s="3831"/>
      <c r="B59" s="3832"/>
    </row>
    <row r="60" spans="1:2">
      <c r="A60" s="3833"/>
      <c r="B60" s="3319"/>
    </row>
    <row r="61" spans="1:2">
      <c r="A61" s="3833"/>
      <c r="B61" s="3319"/>
    </row>
    <row r="62" spans="1:2">
      <c r="A62" s="3833"/>
      <c r="B62" s="3319"/>
    </row>
    <row r="63" spans="1:2">
      <c r="A63" s="3833"/>
      <c r="B63" s="3319"/>
    </row>
    <row r="64" spans="1:2">
      <c r="A64" s="3833"/>
      <c r="B64" s="3319"/>
    </row>
    <row r="65" spans="1:2">
      <c r="A65" s="3833"/>
      <c r="B65" s="3319"/>
    </row>
    <row r="66" spans="1:2">
      <c r="A66" s="3833"/>
      <c r="B66" s="3319"/>
    </row>
    <row r="67" spans="1:2">
      <c r="A67" s="3833"/>
      <c r="B67" s="3319"/>
    </row>
    <row r="68" spans="1:2">
      <c r="A68" s="3833"/>
      <c r="B68" s="3319"/>
    </row>
    <row r="69" spans="1:2">
      <c r="A69" s="3833"/>
      <c r="B69" s="3319"/>
    </row>
    <row r="70" spans="1:2">
      <c r="A70" s="3833"/>
      <c r="B70" s="3319"/>
    </row>
    <row r="71" spans="1:2">
      <c r="A71" s="3833"/>
      <c r="B71" s="3319"/>
    </row>
    <row r="72" spans="1:2">
      <c r="A72" s="3833"/>
      <c r="B72" s="3319"/>
    </row>
    <row r="73" spans="1:2">
      <c r="A73" s="3833"/>
      <c r="B73" s="3319"/>
    </row>
    <row r="74" spans="1:2">
      <c r="A74" s="3833"/>
      <c r="B74" s="3319"/>
    </row>
    <row r="75" spans="1:2">
      <c r="A75" s="3833"/>
      <c r="B75" s="3319"/>
    </row>
    <row r="76" spans="1:2">
      <c r="A76" s="3833"/>
      <c r="B76" s="3319"/>
    </row>
    <row r="77" spans="1:2">
      <c r="A77" s="3833"/>
      <c r="B77" s="3319"/>
    </row>
    <row r="78" spans="1:2">
      <c r="A78" s="3833"/>
      <c r="B78" s="3319"/>
    </row>
    <row r="79" spans="1:2">
      <c r="A79" s="3833"/>
      <c r="B79" s="3319"/>
    </row>
    <row r="80" spans="1:2">
      <c r="A80" s="3833"/>
      <c r="B80" s="3319"/>
    </row>
    <row r="81" spans="1:2">
      <c r="A81" s="3833"/>
      <c r="B81" s="3319"/>
    </row>
    <row r="82" spans="1:2">
      <c r="A82" s="3833"/>
      <c r="B82" s="3319"/>
    </row>
    <row r="83" spans="1:2">
      <c r="A83" s="3833"/>
      <c r="B83" s="3319"/>
    </row>
    <row r="84" spans="1:2">
      <c r="A84" s="3833"/>
      <c r="B84" s="3319"/>
    </row>
    <row r="85" spans="1:2">
      <c r="A85" s="3833"/>
      <c r="B85" s="3319"/>
    </row>
    <row r="86" spans="1:2">
      <c r="A86" s="3833"/>
      <c r="B86" s="3319"/>
    </row>
    <row r="87" spans="1:2">
      <c r="A87" s="3833"/>
      <c r="B87" s="3319"/>
    </row>
    <row r="88" spans="1:2">
      <c r="A88" s="3833"/>
      <c r="B88" s="3319"/>
    </row>
    <row r="89" spans="1:2">
      <c r="A89" s="3833"/>
      <c r="B89" s="3319"/>
    </row>
    <row r="90" spans="1:2">
      <c r="A90" s="3833"/>
      <c r="B90" s="3319"/>
    </row>
    <row r="91" spans="1:2">
      <c r="A91" s="3833"/>
      <c r="B91" s="3319"/>
    </row>
    <row r="92" spans="1:2">
      <c r="A92" s="3833"/>
      <c r="B92" s="3319"/>
    </row>
    <row r="93" spans="1:2">
      <c r="A93" s="3833"/>
      <c r="B93" s="3319"/>
    </row>
    <row r="94" spans="1:2">
      <c r="A94" s="3833"/>
      <c r="B94" s="3319"/>
    </row>
    <row r="95" spans="1:2">
      <c r="A95" s="3833"/>
      <c r="B95" s="3319"/>
    </row>
    <row r="96" spans="1:2">
      <c r="A96" s="3833"/>
      <c r="B96" s="3319"/>
    </row>
    <row r="97" spans="1:2">
      <c r="A97" s="3833"/>
      <c r="B97" s="3319"/>
    </row>
    <row r="98" spans="1:2">
      <c r="A98" s="3833"/>
      <c r="B98" s="3319"/>
    </row>
    <row r="99" spans="1:2">
      <c r="A99" s="3833"/>
      <c r="B99" s="3319"/>
    </row>
    <row r="100" spans="1:2">
      <c r="A100" s="3833"/>
      <c r="B100" s="3319"/>
    </row>
    <row r="101" spans="1:2">
      <c r="A101" s="3833"/>
      <c r="B101" s="3319"/>
    </row>
    <row r="102" spans="1:2">
      <c r="A102" s="3833"/>
      <c r="B102" s="3319"/>
    </row>
    <row r="103" spans="1:2">
      <c r="A103" s="3833"/>
      <c r="B103" s="3319"/>
    </row>
    <row r="104" spans="1:2">
      <c r="A104" s="3833"/>
      <c r="B104" s="3319"/>
    </row>
    <row r="105" spans="1:2">
      <c r="A105" s="3833"/>
      <c r="B105" s="3319"/>
    </row>
    <row r="106" spans="1:2">
      <c r="A106" s="3833"/>
      <c r="B106" s="3319"/>
    </row>
    <row r="107" spans="1:2">
      <c r="A107" s="3833"/>
      <c r="B107" s="3319"/>
    </row>
    <row r="108" spans="1:2">
      <c r="A108" s="3833"/>
      <c r="B108" s="3319"/>
    </row>
    <row r="109" spans="1:2">
      <c r="A109" s="3833"/>
      <c r="B109" s="3319"/>
    </row>
    <row r="110" spans="1:2">
      <c r="A110" s="3833"/>
      <c r="B110" s="3319"/>
    </row>
    <row r="111" spans="1:2">
      <c r="A111" s="3833"/>
      <c r="B111" s="3319"/>
    </row>
    <row r="112" spans="1:2">
      <c r="A112" s="3833"/>
      <c r="B112" s="3319"/>
    </row>
    <row r="113" spans="1:2">
      <c r="A113" s="3833"/>
      <c r="B113" s="3319"/>
    </row>
    <row r="114" spans="1:2">
      <c r="A114" s="3833"/>
      <c r="B114" s="3319"/>
    </row>
    <row r="115" spans="1:2">
      <c r="A115" s="3833"/>
      <c r="B115" s="3319"/>
    </row>
    <row r="116" spans="1:2">
      <c r="A116" s="3833"/>
      <c r="B116" s="3319"/>
    </row>
    <row r="117" spans="1:2">
      <c r="A117" s="3833"/>
      <c r="B117" s="3319"/>
    </row>
    <row r="118" spans="1:2">
      <c r="A118" s="3833"/>
      <c r="B118" s="3319"/>
    </row>
    <row r="119" spans="1:2">
      <c r="A119" s="3833"/>
      <c r="B119" s="3319"/>
    </row>
    <row r="120" spans="1:2">
      <c r="A120" s="3833"/>
      <c r="B120" s="3319"/>
    </row>
    <row r="121" spans="1:2">
      <c r="A121" s="3833"/>
      <c r="B121" s="3319"/>
    </row>
    <row r="122" spans="1:2">
      <c r="A122" s="3833"/>
      <c r="B122" s="3319"/>
    </row>
    <row r="123" spans="1:2">
      <c r="A123" s="3833"/>
      <c r="B123" s="3319"/>
    </row>
    <row r="124" spans="1:2">
      <c r="A124" s="3833"/>
      <c r="B124" s="3319"/>
    </row>
    <row r="125" spans="1:2">
      <c r="A125" s="3833"/>
      <c r="B125" s="3319"/>
    </row>
    <row r="126" spans="1:2">
      <c r="A126" s="3833"/>
      <c r="B126" s="3319"/>
    </row>
    <row r="127" spans="1:2">
      <c r="A127" s="3833"/>
      <c r="B127" s="3319"/>
    </row>
    <row r="128" spans="1:2">
      <c r="A128" s="3833"/>
      <c r="B128" s="331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4">
    <comment s:ref="Q308" rgbClr="409D10"/>
  </commentList>
  <commentList sheetStid="15"/>
  <commentList sheetStid="31"/>
  <commentList sheetStid="33"/>
  <commentList sheetStid="34"/>
  <commentList sheetStid="37"/>
  <commentList sheetStid="35"/>
  <commentList sheetStid="36"/>
  <commentList sheetStid="39"/>
  <commentList sheetStid="40"/>
  <commentList sheetStid="43"/>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案例A</vt:lpstr>
      <vt:lpstr>案例B</vt:lpstr>
      <vt:lpstr>成本法</vt:lpstr>
      <vt:lpstr>假设开发法</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2022-03-04T01:30:10Z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BF51E55882AF4AE7B91AE9FF400C83C5</vt:lpwstr>
  </property>
</Properties>
</file>