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B14" i="74"/>
  <c r="G19" i="6" l="1"/>
  <c r="Y6" i="1"/>
  <c r="N6" i="1"/>
  <c r="N21" i="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15"/>
  <c r="F8" i="67"/>
  <c r="B10" i="76"/>
  <c r="D35" i="9"/>
  <c r="E13" i="76"/>
  <c r="L48" i="15"/>
  <c r="F9" i="67"/>
  <c r="B7" i="76"/>
  <c r="B12" i="76"/>
  <c r="F36" i="15"/>
  <c r="D7" i="73"/>
  <c r="M9" i="15"/>
  <c r="F40" i="67"/>
  <c r="M26" i="67"/>
  <c r="F6" i="67"/>
  <c r="L47" i="67"/>
  <c r="F42" i="67"/>
  <c r="F5" i="73"/>
  <c r="M6" i="15"/>
  <c r="B8" i="76"/>
  <c r="J15" i="67"/>
  <c r="E8" i="76"/>
  <c r="E11" i="76"/>
  <c r="E10" i="76"/>
  <c r="F36" i="67"/>
  <c r="M29" i="15"/>
  <c r="F16" i="15"/>
  <c r="E12" i="76"/>
  <c r="D34" i="9"/>
  <c r="D5" i="73"/>
  <c r="F38" i="15"/>
  <c r="B13" i="76"/>
  <c r="B9" i="76"/>
  <c r="F8" i="15"/>
  <c r="M28" i="15"/>
  <c r="M24" i="67"/>
  <c r="L48" i="67"/>
  <c r="F20" i="31"/>
  <c r="F13" i="67"/>
  <c r="F38" i="67"/>
  <c r="M22" i="67"/>
  <c r="F37" i="67"/>
  <c r="E7" i="76"/>
  <c r="F43" i="15"/>
  <c r="F37" i="15"/>
  <c r="L47" i="15"/>
  <c r="E9" i="76"/>
  <c r="M8" i="67"/>
  <c r="D3" i="73"/>
  <c r="F16" i="67"/>
  <c r="F6" i="73"/>
  <c r="M29" i="67"/>
  <c r="E2" i="69"/>
  <c r="F43" i="67"/>
  <c r="AO13" i="1"/>
  <c r="M24" i="15"/>
  <c r="F26" i="67"/>
  <c r="M28" i="67"/>
  <c r="D6" i="73"/>
  <c r="C76" i="15"/>
  <c r="M23" i="15"/>
  <c r="F42" i="15"/>
  <c r="E2" i="68"/>
  <c r="J15" i="15"/>
  <c r="F26" i="15"/>
  <c r="M23" i="67"/>
  <c r="M8" i="15"/>
  <c r="B11" i="76"/>
  <c r="D4" i="73"/>
  <c r="F3" i="73"/>
  <c r="C76" i="67"/>
  <c r="M22" i="15"/>
  <c r="M9" i="67"/>
  <c r="M6" i="67"/>
  <c r="F7" i="67"/>
  <c r="F9" i="15"/>
  <c r="F7" i="73"/>
  <c r="F40" i="15"/>
  <c r="M26" i="15"/>
  <c r="F6" i="15"/>
  <c r="F13" i="15"/>
  <c r="F4" i="73"/>
  <c r="A24" i="51" l="1"/>
  <c r="B18" i="72" s="1"/>
  <c r="C28" i="67"/>
  <c r="D20" i="71"/>
  <c r="U20" i="71" s="1"/>
  <c r="T20" i="71"/>
  <c r="V20" i="71"/>
  <c r="S41" i="34"/>
  <c r="AA41" i="34"/>
  <c r="AZ581" i="3"/>
  <c r="AZ585" i="3"/>
  <c r="S12" i="21"/>
  <c r="AA12" i="21"/>
  <c r="D17" i="71"/>
  <c r="C16" i="71"/>
  <c r="E15" i="71"/>
  <c r="E14" i="71" s="1"/>
  <c r="E13" i="71" s="1"/>
  <c r="E12" i="71" s="1"/>
  <c r="V16" i="71"/>
  <c r="G28" i="6"/>
  <c r="G30" i="6" s="1"/>
  <c r="G31" i="6" s="1"/>
  <c r="F29" i="6"/>
  <c r="AZ557" i="3"/>
  <c r="AZ495" i="3"/>
  <c r="AZ513" i="3"/>
  <c r="AZ517" i="3"/>
  <c r="AZ567" i="3"/>
  <c r="AZ571" i="3"/>
  <c r="AZ575" i="3"/>
  <c r="AZ579" i="3"/>
  <c r="AZ439" i="3"/>
  <c r="AZ466" i="3"/>
  <c r="AZ475" i="3"/>
  <c r="AZ483" i="3"/>
  <c r="AZ489" i="3"/>
  <c r="AZ316" i="3"/>
  <c r="AZ332" i="3"/>
  <c r="AZ397" i="3"/>
  <c r="U46" i="33"/>
  <c r="AA13" i="35"/>
  <c r="B73" i="43"/>
  <c r="B79" i="43"/>
  <c r="B76" i="43"/>
  <c r="B75" i="43"/>
  <c r="AZ398" i="3"/>
  <c r="AZ405" i="3"/>
  <c r="AZ407" i="3"/>
  <c r="AZ410" i="3"/>
  <c r="AZ415" i="3"/>
  <c r="AZ420" i="3"/>
  <c r="AZ426" i="3"/>
  <c r="AZ431" i="3"/>
  <c r="AZ448" i="3"/>
  <c r="AZ452" i="3"/>
  <c r="AZ461" i="3"/>
  <c r="AZ463" i="3"/>
  <c r="AZ468" i="3"/>
  <c r="AZ470" i="3"/>
  <c r="AZ479" i="3"/>
  <c r="AZ485" i="3"/>
  <c r="AZ385" i="3"/>
  <c r="AZ210" i="3"/>
  <c r="J23" i="35"/>
  <c r="F25" i="37"/>
  <c r="J25" i="37"/>
  <c r="F26" i="37"/>
  <c r="H26" i="37"/>
  <c r="F44" i="39"/>
  <c r="H38" i="40"/>
  <c r="J38" i="40"/>
  <c r="H39" i="40"/>
  <c r="AZ221" i="3"/>
  <c r="AZ230" i="3"/>
  <c r="AZ246" i="3"/>
  <c r="AZ252" i="3"/>
  <c r="AZ272" i="3"/>
  <c r="AZ276" i="3"/>
  <c r="AZ289" i="3"/>
  <c r="AZ294" i="3"/>
  <c r="AZ300" i="3"/>
  <c r="AZ118" i="3"/>
  <c r="AZ121" i="3"/>
  <c r="AZ134" i="3"/>
  <c r="AZ137" i="3"/>
  <c r="AZ145" i="3"/>
  <c r="AZ161" i="3"/>
  <c r="AZ177" i="3"/>
  <c r="AZ193" i="3"/>
  <c r="AZ34" i="3"/>
  <c r="AZ38" i="3"/>
  <c r="AZ44" i="3"/>
  <c r="AZ48" i="3"/>
  <c r="AZ56" i="3"/>
  <c r="AZ60" i="3"/>
  <c r="AZ73" i="3"/>
  <c r="AZ78" i="3"/>
  <c r="AZ87" i="3"/>
  <c r="AZ91" i="3"/>
  <c r="AZ95" i="3"/>
  <c r="AZ98" i="3"/>
  <c r="AZ100" i="3"/>
  <c r="AZ104" i="3"/>
  <c r="S21" i="21"/>
  <c r="U18" i="36"/>
  <c r="AB25" i="71"/>
  <c r="AB27" i="71"/>
  <c r="X9" i="71"/>
  <c r="X10" i="71"/>
  <c r="AB9" i="71"/>
  <c r="AB10" i="71"/>
  <c r="AB24" i="71"/>
  <c r="Y22" i="71"/>
  <c r="Z22" i="71" s="1"/>
  <c r="AB23" i="71"/>
  <c r="Y21" i="71"/>
  <c r="Z21" i="71" s="1"/>
  <c r="AA21" i="71"/>
  <c r="X21" i="71"/>
  <c r="X17" i="71"/>
  <c r="Y17" i="71"/>
  <c r="Z17" i="71" s="1"/>
  <c r="AA17" i="71"/>
  <c r="AB18" i="71"/>
  <c r="Y14" i="71"/>
  <c r="Z14" i="71" s="1"/>
  <c r="S28" i="71"/>
  <c r="AA29" i="71"/>
  <c r="X39" i="71"/>
  <c r="Y9" i="71"/>
  <c r="Z9" i="71" s="1"/>
  <c r="Y10" i="71"/>
  <c r="Z10" i="71" s="1"/>
  <c r="AA9" i="71"/>
  <c r="AA10" i="71"/>
  <c r="AB39" i="71"/>
  <c r="X22" i="71"/>
  <c r="AA24" i="71"/>
  <c r="AA23" i="71"/>
  <c r="AA22" i="71"/>
  <c r="AB21" i="71"/>
  <c r="Y18" i="71"/>
  <c r="Z18" i="71" s="1"/>
  <c r="X18" i="71"/>
  <c r="AA18" i="71"/>
  <c r="X14" i="71"/>
  <c r="AA13" i="71"/>
  <c r="F67" i="71"/>
  <c r="X24" i="71"/>
  <c r="Y24" i="71"/>
  <c r="Z24" i="71" s="1"/>
  <c r="AB15" i="71"/>
  <c r="AB17" i="71"/>
  <c r="AB11" i="71"/>
  <c r="AB14" i="71"/>
  <c r="Y12" i="71"/>
  <c r="Z12" i="71" s="1"/>
  <c r="Y13" i="71"/>
  <c r="Z13" i="71" s="1"/>
  <c r="X11" i="71"/>
  <c r="AA11" i="71"/>
  <c r="Y23" i="71"/>
  <c r="Z23" i="71" s="1"/>
  <c r="X15" i="71"/>
  <c r="AA15" i="71"/>
  <c r="AB12" i="71"/>
  <c r="AB13" i="71"/>
  <c r="Y11" i="71"/>
  <c r="Z11" i="71" s="1"/>
  <c r="X13" i="71"/>
  <c r="X12" i="71"/>
  <c r="AA12"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370" i="46" l="1"/>
  <c r="G26" i="43"/>
  <c r="U39" i="40"/>
  <c r="AB39" i="40"/>
  <c r="AB38" i="40"/>
  <c r="U38" i="40"/>
  <c r="AB26" i="37"/>
  <c r="U26" i="37"/>
  <c r="AC25" i="37"/>
  <c r="W25" i="37"/>
  <c r="AC23" i="35"/>
  <c r="W23" i="35"/>
  <c r="E11" i="71"/>
  <c r="E10" i="71" s="1"/>
  <c r="E9" i="71" s="1"/>
  <c r="E8" i="71" s="1"/>
  <c r="E7" i="71" s="1"/>
  <c r="E6" i="71" s="1"/>
  <c r="E5" i="71" s="1"/>
  <c r="V12" i="71"/>
  <c r="B15" i="71"/>
  <c r="B14" i="71" s="1"/>
  <c r="B13" i="71" s="1"/>
  <c r="B12" i="71" s="1"/>
  <c r="S16" i="71"/>
  <c r="F66" i="71"/>
  <c r="Q67" i="71"/>
  <c r="AC38" i="40"/>
  <c r="W38" i="40"/>
  <c r="AA44" i="39"/>
  <c r="S44" i="39"/>
  <c r="AA26" i="37"/>
  <c r="S26" i="37"/>
  <c r="AA25" i="37"/>
  <c r="S25" i="37"/>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C19" i="9"/>
  <c r="D2" i="37"/>
  <c r="D2" i="36"/>
  <c r="L51" i="15"/>
  <c r="D2" i="35"/>
  <c r="D2" i="34"/>
  <c r="D102" i="9" l="1"/>
  <c r="D21" i="9"/>
  <c r="C102" i="9"/>
  <c r="D14" i="74" s="1"/>
  <c r="D15" i="74" s="1"/>
  <c r="D22" i="9"/>
  <c r="G19" i="9"/>
  <c r="G21" i="9" s="1"/>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C20" i="9"/>
  <c r="AO11" i="1"/>
  <c r="AO8" i="1"/>
  <c r="AO12" i="1"/>
  <c r="AO9" i="1"/>
  <c r="AO7" i="1"/>
  <c r="AO6" i="1"/>
  <c r="AO10" i="1"/>
  <c r="F15" i="74" l="1"/>
  <c r="D103" i="9"/>
  <c r="C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C104" i="9" s="1"/>
  <c r="F118" i="9"/>
  <c r="F4" i="52" s="1"/>
  <c r="B51" i="72" s="1"/>
  <c r="H101" i="9"/>
  <c r="H102" i="9"/>
  <c r="E118" i="9"/>
  <c r="F119" i="9"/>
  <c r="F5" i="52" s="1"/>
  <c r="B53" i="72" s="1"/>
  <c r="I4" i="52"/>
  <c r="H119" i="9"/>
  <c r="H5" i="52" s="1"/>
  <c r="H4" i="52" l="1"/>
  <c r="D7" i="53"/>
  <c r="B21" i="72" s="1"/>
  <c r="E14" i="74"/>
  <c r="E15" i="74" s="1"/>
  <c r="F14" i="74"/>
  <c r="B5" i="74"/>
  <c r="E4" i="52"/>
  <c r="B48" i="72" s="1"/>
  <c r="D118" i="9"/>
  <c r="M48" i="9"/>
  <c r="D45" i="9"/>
  <c r="D5" i="53"/>
  <c r="H107" i="9"/>
  <c r="D122" i="9" l="1"/>
  <c r="H108" i="9"/>
  <c r="D13" i="53"/>
  <c r="D53" i="9"/>
  <c r="C93" i="9"/>
  <c r="C86" i="9" s="1"/>
  <c r="C78" i="9"/>
  <c r="C73" i="9" s="1"/>
  <c r="D52" i="9"/>
  <c r="C64" i="9"/>
  <c r="C63" i="9" s="1"/>
  <c r="C67" i="9" s="1"/>
  <c r="C85" i="9"/>
  <c r="C72" i="9"/>
  <c r="C79" i="9" s="1"/>
  <c r="D55" i="9"/>
  <c r="M53" i="9" s="1"/>
  <c r="D119" i="9"/>
  <c r="D5" i="52" s="1"/>
  <c r="B49" i="72" s="1"/>
  <c r="D4" i="52"/>
  <c r="B47" i="72" s="1"/>
  <c r="B20" i="72"/>
  <c r="D6" i="53"/>
  <c r="B22" i="72" s="1"/>
  <c r="C5" i="74"/>
  <c r="D5" i="74"/>
  <c r="C95" i="9" l="1"/>
  <c r="C96" i="9" s="1"/>
  <c r="E96" i="9" s="1"/>
  <c r="E97" i="9" s="1"/>
  <c r="D14" i="53"/>
  <c r="B32" i="72" s="1"/>
  <c r="B30" i="72"/>
  <c r="D8" i="52"/>
  <c r="D123" i="9"/>
  <c r="D9" i="52" s="1"/>
  <c r="C80" i="9"/>
  <c r="E80" i="9" s="1"/>
  <c r="E81" i="9" s="1"/>
  <c r="D59" i="9"/>
  <c r="M55" i="9" s="1"/>
  <c r="C68" i="9"/>
  <c r="D54" i="9" s="1"/>
  <c r="C6" i="74"/>
  <c r="D15" i="53"/>
  <c r="B31" i="72" s="1"/>
  <c r="C81" i="9" l="1"/>
  <c r="C97" i="9"/>
  <c r="D58" i="9" s="1"/>
  <c r="D56" i="9" s="1"/>
  <c r="M54" i="9" s="1"/>
  <c r="N57" i="9" s="1"/>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<sst xmlns="http://schemas.openxmlformats.org/spreadsheetml/2006/main" count="7782" uniqueCount="3395">
  <si>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</si>
  <si>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</si>
  <si>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</si>
  <si>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</si>
  <si>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</si>
  <si>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</si>
  <si>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</si>
  <si>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</si>
  <si>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</si>
  <si>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</si>
  <si>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</si>
  <si>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</si>
  <si>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</si>
  <si>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</si>
  <si>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</si>
  <si>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</si>
  <si>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</si>
  <si>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</si>
  <si>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</si>
  <si>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</si>
  <si>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</si>
  <si>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</si>
  <si>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</si>
  <si>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</si>
  <si>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</si>
  <si>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</si>
  <si>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</si>
  <si>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</si>
  <si>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</si>
  <si>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</si>
  <si>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</si>
  <si>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</si>
  <si>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</si>
  <si>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</si>
  <si>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</si>
  <si>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</si>
  <si>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</si>
  <si>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</si>
  <si>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</si>
  <si>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</si>
  <si>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</si>
  <si>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</si>
  <si>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</si>
  <si>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</si>
  <si>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</si>
  <si>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</si>
  <si>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</si>
  <si>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</si>
  <si>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</si>
  <si>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</si>
  <si>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</si>
  <si>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</si>
  <si>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</si>
  <si>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</si>
  <si>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</si>
  <si>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</si>
  <si>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</si>
  <si>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</si>
  <si>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</si>
  <si>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</si>
  <si>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</si>
  <si>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</si>
  <si>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</si>
  <si>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</si>
  <si>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</si>
  <si>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</si>
  <si>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</si>
  <si>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</si>
  <si>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</si>
  <si>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</si>
  <si>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</si>
  <si>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</si>
  <si>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</si>
  <si>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</si>
  <si>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</si>
  <si>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</si>
  <si>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</si>
  <si>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</si>
  <si>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</si>
  <si>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</si>
  <si>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</si>
  <si>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</si>
  <si>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</si>
  <si>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</si>
  <si>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</si>
  <si>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</si>
  <si>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</si>
  <si>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</si>
  <si>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</si>
  <si>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</si>
  <si>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</si>
  <si>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</si>
  <si>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</si>
  <si>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</si>
  <si>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</si>
  <si>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</si>
  <si>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</si>
  <si>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</si>
  <si>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</si>
  <si>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</si>
  <si>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</si>
  <si>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</si>
  <si>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</si>
  <si>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</si>
  <si>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</si>
  <si>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</si>
  <si>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</si>
  <si>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</si>
  <si>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</si>
  <si>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</si>
  <si>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</si>
  <si>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</si>
  <si>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</si>
  <si>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</si>
  <si>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</si>
  <si>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</si>
  <si>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</si>
  <si>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</si>
  <si>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</si>
  <si>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</si>
  <si>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</si>
  <si>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</si>
  <si>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</si>
  <si>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</si>
  <si>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</si>
  <si>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</si>
  <si>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</si>
  <si>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</si>
  <si>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</si>
  <si>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</si>
  <si>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</si>
  <si>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</si>
  <si>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</si>
  <si>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</si>
  <si>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</si>
  <si>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</si>
  <si>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</si>
  <si>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</si>
  <si>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</si>
  <si>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</si>
  <si>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</si>
  <si>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</si>
  <si>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</si>
  <si>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</si>
  <si>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</si>
  <si>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</si>
  <si>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</si>
  <si>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</si>
  <si>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</si>
  <si>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</si>
  <si>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</si>
  <si>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</si>
  <si>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</si>
  <si>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</si>
  <si>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</si>
  <si>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</si>
  <si>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</si>
  <si>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</si>
  <si>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</si>
  <si>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</si>
  <si>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</si>
  <si>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</si>
  <si>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</si>
  <si>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</si>
  <si>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</si>
  <si>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</si>
  <si>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</si>
  <si>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</si>
  <si>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</si>
  <si>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</si>
  <si>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</si>
  <si>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</si>
  <si>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</si>
  <si>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</si>
  <si>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</si>
  <si>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</si>
  <si>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</si>
  <si>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</si>
  <si>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</si>
  <si>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</si>
  <si>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</si>
  <si>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</si>
  <si>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</si>
  <si>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</si>
  <si>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</si>
  <si>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</si>
  <si>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</si>
  <si>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</si>
  <si>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</si>
  <si>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</si>
  <si>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</si>
  <si>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</si>
  <si>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</si>
  <si>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</si>
  <si>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</si>
  <si>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</si>
  <si>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</si>
  <si>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</si>
  <si>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</si>
  <si>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</si>
  <si>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</si>
  <si>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</si>
  <si>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</si>
  <si>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</si>
  <si>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</si>
  <si>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</si>
  <si>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</si>
  <si>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</si>
  <si>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</si>
  <si>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</si>
  <si>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</si>
  <si>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</si>
  <si>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</si>
  <si>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</si>
  <si>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</si>
  <si>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</si>
  <si>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</si>
  <si>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</si>
  <si>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</si>
  <si>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</si>
  <si>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</si>
  <si>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</si>
  <si>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</si>
  <si>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</si>
  <si>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</si>
  <si>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</si>
  <si>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</si>
  <si>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</si>
  <si>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</si>
  <si>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</si>
  <si>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</si>
  <si>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</si>
  <si>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</si>
  <si>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</si>
  <si>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</si>
  <si>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</si>
  <si>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</si>
  <si>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</si>
  <si>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</si>
  <si>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</si>
  <si>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</si>
  <si>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</si>
  <si>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</si>
  <si>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</si>
  <si>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</si>
  <si>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</si>
  <si>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</si>
  <si>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</si>
  <si>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</si>
  <si>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</si>
  <si>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</si>
  <si>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</si>
  <si>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</si>
  <si>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</si>
  <si>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</si>
  <si>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</si>
  <si>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</si>
  <si>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</si>
  <si>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</si>
  <si>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</si>
  <si>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</si>
  <si>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</si>
  <si>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</si>
  <si>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</si>
  <si>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</si>
  <si>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</si>
  <si>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</si>
  <si>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</si>
  <si>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</si>
  <si>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</si>
  <si>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</si>
  <si>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</si>
  <si>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</si>
  <si>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</si>
  <si>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</si>
  <si>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</si>
  <si>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</si>
  <si>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</si>
  <si>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</si>
  <si>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</si>
  <si>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</si>
  <si>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</si>
  <si>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</si>
  <si>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</si>
  <si>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</si>
  <si>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</si>
  <si>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</si>
  <si>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</si>
  <si>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</si>
  <si>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</si>
  <si>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</si>
  <si>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</si>
  <si>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</si>
  <si>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</si>
  <si>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</si>
  <si>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</si>
  <si>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</si>
  <si>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</si>
  <si>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</si>
  <si>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</si>
  <si>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</si>
  <si>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</si>
  <si>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</si>
  <si>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</si>
  <si>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</si>
  <si>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</si>
  <si>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</si>
  <si>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</si>
  <si>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</si>
  <si>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</si>
  <si>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</si>
  <si>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</si>
  <si>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</si>
  <si>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</si>
  <si>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</si>
  <si>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</si>
  <si>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</si>
  <si>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</si>
  <si>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</si>
  <si>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</si>
  <si>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</si>
  <si>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</si>
  <si>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</si>
  <si>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</si>
  <si>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</si>
  <si>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</si>
  <si>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</si>
  <si>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</si>
  <si>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</si>
  <si>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</si>
  <si>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</si>
  <si>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</si>
  <si>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</si>
  <si>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</si>
  <si>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</si>
  <si>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</si>
  <si>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</si>
  <si>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</si>
  <si>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</si>
  <si>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</si>
  <si>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</si>
  <si>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</si>
  <si>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</si>
  <si>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</si>
  <si>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</si>
  <si>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</si>
  <si>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</si>
  <si>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</si>
  <si>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</si>
  <si>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</si>
  <si>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</si>
  <si>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</si>
  <si>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</si>
  <si>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</si>
  <si>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</si>
  <si>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</si>
  <si>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</si>
  <si>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</si>
  <si>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</si>
  <si>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</si>
  <si>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</si>
  <si>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</si>
  <si>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</si>
  <si>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</si>
  <si>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</si>
  <si>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</si>
  <si>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</si>
  <si>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</si>
  <si>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</si>
  <si>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</si>
  <si>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</si>
  <si>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</si>
  <si>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</si>
  <si>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</si>
  <si>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</si>
  <si>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</si>
  <si>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</si>
  <si>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</si>
  <si>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</si>
  <si>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</si>
  <si>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</si>
  <si>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</si>
  <si>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</si>
  <si>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</si>
  <si>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</si>
  <si>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</si>
  <si>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</si>
  <si>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</si>
  <si>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</si>
  <si>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</si>
  <si>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</si>
  <si>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</si>
  <si>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</si>
  <si>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</si>
  <si>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</si>
  <si>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</si>
  <si>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</si>
  <si>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</si>
  <si>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</si>
  <si>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</si>
  <si>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</si>
  <si>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</si>
  <si>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</si>
  <si>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</si>
  <si>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</si>
  <si>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</si>
  <si>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</si>
  <si>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</si>
  <si>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</si>
  <si>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</si>
  <si>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</si>
  <si>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</si>
  <si>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</si>
  <si>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</si>
  <si>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</si>
  <si>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</si>
  <si>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</si>
  <si>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</si>
  <si>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</si>
  <si>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</si>
  <si>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</si>
  <si>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</si>
  <si>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</si>
  <si>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</si>
  <si>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</si>
  <si>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</si>
  <si>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</si>
  <si>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</si>
  <si>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</si>
  <si>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</si>
  <si>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</si>
  <si>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</si>
  <si>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</si>
  <si>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</si>
  <si>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</si>
  <si>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</si>
  <si>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</si>
  <si>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</si>
  <si>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</si>
  <si>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</si>
  <si>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</si>
  <si>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</si>
  <si>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</si>
  <si>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</si>
  <si>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</si>
  <si>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</si>
  <si>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</si>
  <si>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</si>
  <si>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</si>
  <si>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</si>
  <si>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</si>
  <si>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</si>
  <si>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</si>
  <si>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</si>
  <si>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</si>
  <si>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</si>
  <si>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</si>
  <si>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</si>
  <si>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</si>
  <si>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</si>
  <si>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</si>
  <si>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</si>
  <si>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</si>
  <si>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</si>
  <si>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</si>
  <si>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</si>
  <si>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</si>
  <si>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</si>
  <si>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</si>
  <si>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</si>
  <si>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</si>
  <si>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</si>
  <si>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</si>
  <si>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</si>
  <si>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</si>
  <si>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</si>
  <si>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</si>
  <si>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</si>
  <si>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</si>
  <si>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</si>
  <si>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</si>
  <si>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</si>
  <si>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</si>
  <si>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</si>
  <si>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</si>
  <si>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</si>
  <si>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</si>
  <si>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</si>
  <si>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</si>
  <si>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</si>
  <si>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</si>
  <si>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</si>
  <si>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</si>
  <si>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</si>
  <si>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</si>
  <si>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</si>
  <si>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</si>
  <si>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</si>
  <si>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</si>
  <si>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</si>
  <si>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</si>
  <si>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</si>
  <si>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</si>
  <si>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</si>
  <si>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</si>
  <si>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</si>
  <si>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</si>
  <si>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</si>
  <si>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</si>
  <si>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</si>
  <si>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</si>
  <si>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</si>
  <si>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</si>
  <si>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</si>
  <si>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</si>
  <si>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</si>
  <si>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</si>
  <si>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</si>
  <si>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</si>
  <si>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</si>
  <si>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</si>
  <si>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</si>
  <si>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</si>
  <si>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</si>
  <si>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</si>
  <si>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</si>
  <si>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</si>
  <si>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</si>
  <si>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</si>
  <si>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</si>
  <si>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</si>
  <si>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</si>
  <si>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</si>
  <si>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</si>
  <si>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</si>
  <si>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</si>
  <si>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</si>
  <si>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</si>
  <si>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</si>
  <si>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</si>
  <si>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</si>
  <si>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</si>
  <si>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</si>
  <si>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</si>
  <si>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</si>
  <si>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</si>
  <si>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</si>
  <si>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</si>
  <si>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</si>
  <si>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</si>
  <si>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</si>
  <si>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</si>
  <si>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</si>
  <si>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</si>
  <si>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</si>
  <si>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</si>
  <si>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</si>
  <si>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</si>
  <si>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</si>
  <si>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</si>
  <si>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</si>
  <si>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</si>
  <si>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</si>
  <si>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</si>
  <si>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</si>
  <si>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</si>
  <si>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</si>
  <si>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</si>
  <si>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</si>
  <si>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</si>
  <si>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</si>
  <si>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</si>
  <si>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</si>
  <si>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</si>
  <si>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</si>
  <si>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</si>
  <si>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</si>
  <si>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</si>
  <si>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</si>
  <si>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</si>
  <si>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</si>
  <si>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</si>
  <si>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</si>
  <si>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</si>
  <si>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</si>
  <si>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</si>
  <si>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</si>
  <si>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</si>
  <si>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</si>
  <si>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</si>
  <si>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</si>
  <si>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</si>
  <si>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</si>
  <si>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</si>
  <si>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</si>
  <si>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</si>
  <si>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</si>
  <si>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</si>
  <si>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</si>
  <si>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</si>
  <si>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</si>
  <si>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</si>
  <si>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</si>
  <si>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</si>
  <si>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</si>
  <si>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</si>
  <si>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</si>
  <si>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</si>
  <si>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</si>
  <si>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</si>
  <si>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</si>
  <si>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</si>
  <si>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</si>
  <si>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</si>
  <si>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</si>
  <si>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</si>
  <si>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</si>
  <si>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</si>
  <si>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</si>
  <si>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</si>
  <si>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</si>
  <si>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</si>
  <si>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</si>
  <si>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</si>
  <si>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</si>
  <si>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</si>
  <si>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</si>
  <si>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</si>
  <si>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</si>
  <si>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</si>
  <si>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</si>
  <si>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</si>
  <si>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</si>
  <si>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</si>
  <si>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</si>
  <si>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</si>
  <si>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</si>
  <si>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</si>
  <si>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</si>
  <si>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</si>
  <si>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</si>
  <si>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</si>
  <si>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</si>
  <si>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</si>
  <si>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</si>
  <si>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</si>
  <si>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</si>
  <si>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</si>
  <si>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</si>
  <si>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</si>
  <si>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</si>
  <si>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</si>
  <si>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</si>
  <si>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</si>
  <si>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</si>
  <si>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</si>
  <si>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</si>
  <si>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</si>
  <si>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</si>
  <si>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</si>
  <si>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</si>
  <si>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</si>
  <si>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</si>
  <si>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</si>
  <si>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</si>
  <si>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</si>
  <si>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</si>
  <si>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</si>
  <si>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</si>
  <si>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</si>
  <si>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</si>
  <si>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</si>
  <si>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</si>
  <si>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</si>
  <si>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</si>
  <si>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</si>
  <si>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</si>
  <si>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</si>
  <si>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</si>
  <si>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</si>
  <si>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</si>
  <si>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</si>
  <si>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</si>
  <si>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</si>
  <si>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</si>
  <si>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</si>
  <si>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</si>
  <si>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</si>
  <si>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</si>
  <si>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</si>
  <si>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</si>
  <si>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</si>
  <si>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</si>
  <si>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</si>
  <si>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</si>
  <si>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</si>
  <si>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</si>
  <si>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</si>
  <si>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</si>
  <si>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</si>
  <si>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</si>
  <si>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</si>
  <si>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</si>
  <si>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</si>
  <si>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</si>
  <si>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</si>
  <si>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</si>
  <si>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</si>
  <si>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</si>
  <si>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</si>
  <si>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</si>
  <si>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</si>
  <si>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</si>
  <si>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</si>
  <si>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</si>
  <si>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</si>
  <si>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</si>
  <si>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</si>
  <si>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</si>
  <si>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</si>
  <si>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</si>
  <si>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</si>
  <si>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</si>
  <si>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</si>
  <si>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</si>
  <si>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</si>
  <si>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</si>
  <si>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</si>
  <si>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</si>
  <si>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</si>
  <si>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</si>
  <si>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</si>
  <si>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</si>
  <si>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</si>
  <si>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</si>
  <si>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</si>
  <si>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</si>
  <si>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</si>
  <si>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</si>
  <si>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</si>
  <si>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</si>
  <si>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</si>
  <si>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</si>
  <si>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</si>
  <si>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</si>
  <si>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</si>
  <si>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</si>
  <si>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</si>
  <si>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</si>
  <si>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</si>
  <si>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</si>
  <si>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</si>
  <si>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</si>
  <si>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</si>
  <si>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</si>
  <si>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</si>
  <si>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</si>
  <si>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</si>
  <si>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</si>
  <si>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</si>
  <si>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</si>
  <si>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</si>
  <si>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</si>
  <si>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</si>
  <si>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</si>
  <si>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</si>
  <si>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</si>
  <si>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</si>
  <si>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</si>
  <si>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</si>
  <si>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</si>
  <si>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</si>
  <si>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</si>
  <si>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</si>
  <si>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</si>
  <si>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</si>
  <si>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</si>
  <si>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</si>
  <si>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</si>
  <si>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</si>
  <si>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</si>
  <si>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</si>
  <si>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</si>
  <si>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</si>
  <si>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</si>
  <si>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</si>
  <si>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</si>
  <si>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</si>
  <si>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</si>
  <si>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</si>
  <si>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</si>
  <si>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</si>
  <si>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</si>
  <si>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</si>
  <si>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</si>
  <si>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</si>
  <si>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</si>
  <si>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</si>
  <si>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</si>
  <si>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</si>
  <si>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</si>
  <si>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</si>
  <si>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</si>
  <si>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</si>
  <si>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</si>
  <si>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</si>
  <si>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</si>
  <si>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</si>
  <si>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</si>
  <si>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</si>
  <si>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</si>
  <si>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</si>
  <si>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</si>
  <si>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</si>
  <si>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</si>
  <si>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</si>
  <si>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</si>
  <si>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</si>
  <si>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</si>
  <si>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</si>
  <si>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</si>
  <si>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</si>
  <si>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</si>
  <si>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</si>
  <si>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</si>
  <si>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</si>
  <si>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</si>
  <si>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</si>
  <si>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</si>
  <si>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</si>
  <si>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</si>
  <si>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</si>
  <si>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</si>
  <si>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</si>
  <si>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</si>
  <si>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</si>
  <si>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</si>
  <si>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</si>
  <si>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</si>
  <si>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</si>
  <si>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</si>
  <si>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</si>
  <si>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</si>
  <si>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</si>
  <si>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</si>
  <si>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</si>
  <si>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</si>
  <si>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</si>
  <si>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</si>
  <si>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</si>
  <si>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</si>
  <si>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</si>
  <si>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</si>
  <si>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</si>
  <si>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</si>
  <si>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</si>
  <si>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</si>
  <si>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</si>
  <si>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</si>
  <si>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</si>
  <si>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</si>
  <si>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</si>
  <si>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</si>
  <si>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</si>
  <si>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</si>
  <si>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</si>
  <si>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</si>
  <si>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</si>
  <si>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</si>
  <si>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</si>
  <si>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</si>
  <si>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</si>
  <si>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</si>
  <si>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</si>
  <si>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</si>
  <si>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</si>
  <si>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</si>
  <si>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</si>
  <si>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</si>
  <si>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</si>
  <si>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</si>
  <si>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</si>
  <si>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</si>
  <si>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</si>
  <si>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</si>
  <si>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</si>
  <si>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</si>
  <si>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</si>
  <si>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</si>
  <si>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</si>
  <si>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</si>
  <si>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</si>
  <si>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</si>
  <si>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</si>
  <si>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</si>
  <si>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</si>
  <si>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</si>
  <si>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</si>
  <si>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</si>
  <si>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</si>
  <si>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</si>
  <si>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</si>
  <si>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</si>
  <si>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</si>
  <si>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</si>
  <si>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</si>
  <si>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</si>
  <si>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</si>
  <si>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</si>
  <si>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</si>
  <si>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</si>
  <si>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</si>
  <si>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</si>
  <si>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</si>
  <si>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</si>
  <si>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</si>
  <si>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</si>
  <si>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</si>
  <si>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</si>
  <si>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</si>
  <si>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</si>
  <si>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</si>
  <si>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</si>
  <si>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</si>
  <si>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</si>
  <si>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</si>
  <si>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</si>
  <si>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</si>
  <si>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</si>
  <si>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</si>
  <si>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</si>
  <si>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</si>
  <si>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</si>
  <si>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</si>
  <si>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</si>
  <si>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</si>
  <si>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</si>
  <si>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</si>
  <si>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</si>
  <si>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</si>
  <si>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</si>
  <si>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</si>
  <si>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</si>
  <si>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</si>
  <si>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</si>
  <si>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</si>
  <si>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</si>
  <si>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</si>
  <si>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</si>
  <si>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</si>
  <si>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</si>
  <si>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</si>
  <si>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</si>
  <si>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</si>
  <si>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</si>
  <si>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</si>
  <si>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</si>
  <si>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</si>
  <si>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</si>
  <si>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</si>
  <si>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</si>
  <si>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</si>
  <si>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</si>
  <si>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</si>
  <si>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</si>
  <si>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</si>
  <si>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</si>
  <si>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</si>
  <si>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</si>
  <si>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</si>
  <si>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</si>
  <si>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</si>
  <si>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</si>
  <si>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</si>
  <si>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</si>
  <si>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</si>
  <si>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</si>
  <si>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</si>
  <si>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</si>
  <si>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</si>
  <si>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</si>
  <si>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</si>
  <si>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</si>
  <si>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</si>
  <si>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</si>
  <si>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</si>
  <si>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</si>
  <si>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</si>
  <si>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</si>
  <si>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</si>
  <si>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</si>
  <si>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</si>
  <si>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</si>
  <si>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</si>
  <si>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</si>
  <si>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</si>
  <si>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</si>
  <si>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</si>
  <si>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</si>
  <si>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</si>
  <si>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</si>
  <si>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</si>
  <si>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</si>
  <si>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</si>
  <si>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</si>
  <si>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</si>
  <si>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</si>
  <si>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</si>
  <si>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</si>
  <si>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</si>
  <si>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</si>
  <si>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</si>
  <si>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</si>
  <si>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</si>
  <si>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</si>
  <si>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</si>
  <si>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</si>
  <si>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</si>
  <si>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</si>
  <si>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</si>
  <si>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</si>
  <si>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</si>
  <si>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</si>
  <si>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</si>
  <si>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</si>
  <si>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</si>
  <si>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</si>
  <si>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</si>
  <si>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</si>
  <si>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</si>
  <si>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</si>
  <si>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</si>
  <si>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</si>
  <si>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</si>
  <si>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</si>
  <si>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</si>
  <si>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</si>
  <si>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</si>
  <si>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</si>
  <si>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</si>
  <si>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</si>
  <si>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</si>
  <si>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</si>
  <si>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</si>
  <si>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</si>
  <si>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</si>
  <si>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</si>
  <si>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</si>
  <si>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</si>
  <si>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</si>
  <si>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</si>
  <si>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</si>
  <si>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</si>
  <si>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</si>
  <si>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</si>
  <si>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</si>
  <si>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</si>
  <si>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</si>
  <si>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</si>
  <si>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</si>
  <si>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</si>
  <si>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</si>
  <si>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</si>
  <si>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</si>
  <si>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</si>
  <si>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</si>
  <si>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</si>
  <si>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</si>
  <si>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</si>
  <si>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</si>
  <si>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</si>
  <si>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</si>
  <si>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</si>
  <si>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</si>
  <si>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</si>
  <si>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</si>
  <si>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</si>
  <si>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</si>
  <si>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</si>
  <si>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</si>
  <si>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</si>
  <si>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</si>
  <si>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</si>
  <si>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</si>
  <si>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</si>
  <si>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</si>
  <si>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</si>
  <si>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</si>
  <si>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</si>
  <si>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</si>
  <si>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</si>
  <si>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</si>
  <si>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</si>
  <si>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</si>
  <si>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</si>
  <si>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</si>
  <si>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</si>
  <si>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</si>
  <si>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</si>
  <si>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</si>
  <si>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</si>
  <si>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</si>
  <si>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</si>
  <si>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</si>
  <si>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</si>
  <si>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</si>
  <si>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</si>
  <si>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</si>
  <si>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</si>
  <si>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</si>
  <si>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</si>
  <si>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</si>
  <si>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</si>
  <si>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</si>
  <si>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</si>
  <si>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</si>
  <si>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</si>
  <si>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</si>
  <si>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</si>
  <si>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</si>
  <si>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</si>
  <si>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</si>
  <si>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</si>
  <si>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</si>
  <si>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</si>
  <si>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</si>
  <si>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</si>
  <si>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</si>
  <si>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</si>
  <si>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</si>
  <si>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</si>
  <si>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</si>
  <si>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</si>
  <si>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</si>
  <si>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</si>
  <si>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</si>
  <si>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</si>
  <si>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</si>
  <si>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</si>
  <si>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</si>
  <si>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</si>
  <si>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</si>
  <si>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</si>
  <si>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</si>
  <si>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</si>
  <si>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</si>
  <si>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</si>
  <si>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</si>
  <si>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</si>
  <si>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</si>
  <si>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</si>
  <si>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</si>
  <si>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</si>
  <si>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</si>
  <si>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</si>
  <si>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</si>
  <si>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</si>
  <si>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</si>
  <si>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</si>
  <si>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</si>
  <si>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</si>
  <si>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</si>
  <si>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</si>
  <si>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</si>
  <si>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</si>
  <si>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</si>
  <si>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</si>
  <si>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</si>
  <si>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</si>
  <si>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</si>
  <si>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</si>
  <si>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</si>
  <si>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</si>
  <si>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</si>
  <si>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</si>
  <si>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</si>
  <si>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</si>
  <si>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</si>
  <si>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</si>
  <si>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</si>
  <si>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</si>
  <si>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</si>
  <si>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</si>
  <si>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</si>
  <si>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</si>
  <si>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</si>
  <si>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</si>
  <si>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</si>
  <si>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</si>
  <si>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</si>
  <si>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</si>
  <si>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</si>
  <si>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</si>
  <si>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</si>
  <si>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</si>
  <si>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</si>
  <si>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</si>
  <si>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</si>
  <si>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</si>
  <si>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</si>
  <si>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</si>
  <si>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</si>
  <si>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</si>
  <si>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</si>
  <si>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</si>
  <si>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</si>
  <si>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</si>
  <si>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</si>
  <si>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</si>
  <si>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</si>
  <si>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</si>
  <si>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</si>
  <si>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</si>
  <si>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</si>
  <si>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</si>
  <si>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</si>
  <si>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</si>
  <si>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</si>
  <si>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</si>
  <si>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</si>
  <si>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</si>
  <si>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</si>
  <si>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</si>
  <si>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</si>
  <si>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</si>
  <si>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</si>
  <si>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</si>
  <si>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</si>
  <si>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</si>
  <si>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</si>
  <si>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</si>
  <si>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</si>
  <si>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</si>
  <si>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</si>
  <si>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</si>
  <si>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</si>
  <si>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</si>
  <si>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</si>
  <si>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</si>
  <si>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</si>
  <si>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</si>
  <si>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</si>
  <si>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</si>
  <si>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</si>
  <si>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</si>
  <si>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</si>
  <si>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</si>
  <si>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</si>
  <si>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</si>
  <si>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</si>
  <si>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</si>
  <si>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</si>
  <si>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</si>
  <si>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</si>
  <si>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</si>
  <si>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</si>
  <si>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</si>
  <si>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</si>
  <si>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</si>
  <si>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</si>
  <si>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</si>
  <si>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</si>
  <si>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</si>
  <si>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</si>
  <si>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</si>
  <si>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</si>
  <si>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</si>
  <si>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</si>
  <si>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</si>
  <si>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</si>
  <si>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</si>
  <si>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</si>
  <si>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</si>
  <si>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</si>
  <si>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</si>
  <si>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</si>
  <si>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</si>
  <si>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</si>
  <si>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</si>
  <si>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</si>
  <si>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</si>
  <si>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</si>
  <si>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</si>
  <si>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</si>
  <si>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</si>
  <si>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</si>
  <si>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</si>
  <si>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</si>
  <si>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</si>
  <si>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</si>
  <si>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</si>
  <si>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</si>
  <si>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</si>
  <si>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</si>
  <si>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</si>
  <si>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</si>
  <si>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</si>
  <si>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</si>
  <si>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</si>
  <si>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</si>
  <si>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</si>
  <si>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</si>
  <si>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</si>
  <si>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</si>
  <si>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</si>
  <si>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</si>
  <si>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</si>
  <si>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</si>
  <si>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</si>
  <si>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</si>
  <si>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</si>
  <si>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</si>
  <si>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</si>
  <si>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</si>
  <si>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</si>
  <si>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</si>
  <si>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</si>
  <si>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</si>
  <si>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</si>
  <si>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</si>
  <si>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</si>
  <si>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</si>
  <si>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</si>
  <si>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</si>
  <si>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</si>
  <si>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</si>
  <si>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</si>
  <si>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</si>
  <si>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</si>
  <si>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</si>
  <si>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</si>
  <si>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</si>
  <si>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</si>
  <si>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</si>
  <si>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</si>
  <si>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</si>
  <si>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</si>
  <si>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</si>
  <si>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</si>
  <si>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</si>
  <si>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</si>
  <si>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</si>
  <si>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</si>
  <si>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</si>
  <si>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</si>
  <si>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</si>
  <si>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</si>
  <si>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</si>
  <si>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</si>
  <si>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</si>
  <si>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</si>
  <si>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</si>
  <si>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</si>
  <si>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</si>
  <si>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</si>
  <si>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</si>
  <si>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</si>
  <si>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</si>
  <si>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</si>
  <si>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</si>
  <si>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</si>
  <si>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</si>
  <si>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</si>
  <si>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</si>
  <si>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</si>
  <si>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</si>
  <si>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</si>
  <si>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</si>
  <si>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</si>
  <si>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</si>
  <si>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</si>
  <si>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</si>
  <si>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</si>
  <si>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</si>
  <si>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</si>
  <si>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</si>
  <si>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</si>
  <si>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</si>
  <si>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</si>
  <si>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</si>
  <si>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</si>
  <si>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</si>
  <si>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</si>
  <si>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</si>
  <si>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</si>
  <si>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</si>
  <si>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</si>
  <si>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</si>
  <si>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</si>
  <si>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</si>
  <si>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</si>
  <si>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</si>
  <si>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</si>
  <si>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</si>
  <si>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</si>
  <si>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</si>
  <si>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</si>
  <si>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</si>
  <si>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</si>
  <si>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</si>
  <si>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</si>
  <si>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</si>
  <si>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</si>
  <si>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</si>
  <si>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</si>
  <si>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</si>
  <si>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</si>
  <si>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</si>
  <si>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</si>
  <si>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</si>
  <si>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</si>
  <si>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</si>
  <si>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</si>
  <si>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</si>
  <si>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</si>
  <si>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</si>
  <si>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</si>
  <si>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</si>
  <si>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</si>
  <si>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</si>
  <si>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</si>
  <si>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</si>
  <si>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</si>
  <si>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</si>
  <si>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</si>
  <si>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</si>
  <si>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</si>
  <si>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</si>
  <si>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</si>
  <si>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</si>
  <si>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</si>
  <si>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</si>
  <si>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</si>
  <si>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</si>
  <si>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</si>
  <si>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</si>
  <si>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</si>
  <si>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</si>
  <si>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</si>
  <si>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</si>
  <si>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</si>
  <si>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</si>
  <si>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</si>
  <si>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</si>
  <si>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</si>
  <si>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</si>
  <si>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</si>
  <si>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</si>
  <si>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</si>
  <si>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</si>
  <si>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</si>
  <si>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</si>
  <si>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</si>
  <si>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</si>
  <si>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</si>
  <si>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</si>
  <si>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</si>
  <si>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</si>
  <si>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</si>
  <si>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</si>
  <si>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</si>
  <si>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</si>
  <si>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</si>
  <si>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</si>
  <si>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</si>
  <si>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</si>
  <si>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</si>
  <si>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</si>
  <si>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</si>
  <si>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</si>
  <si>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</si>
  <si>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</si>
  <si>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</si>
  <si>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</si>
  <si>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</si>
  <si>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</si>
  <si>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</si>
  <si>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</si>
  <si>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</si>
  <si>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</si>
  <si>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</si>
  <si>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</si>
  <si>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</si>
  <si>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</si>
  <si>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</si>
  <si>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</si>
  <si>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</si>
  <si>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</si>
  <si>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</si>
  <si>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</si>
  <si>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</si>
  <si>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</si>
  <si>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</si>
  <si>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</si>
  <si>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</si>
  <si>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</si>
  <si>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</si>
  <si>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</si>
  <si>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</si>
  <si>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</si>
  <si>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</si>
  <si>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</si>
  <si>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</si>
  <si>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</si>
  <si>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</si>
  <si>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</si>
  <si>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</si>
  <si>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</si>
  <si>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</si>
  <si>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</si>
  <si>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</si>
  <si>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</si>
  <si>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</si>
  <si>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</si>
  <si>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</si>
  <si>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</si>
  <si>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</si>
  <si>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</si>
  <si>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</si>
  <si>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</si>
  <si>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</si>
  <si>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</si>
  <si>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</si>
  <si>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</si>
  <si>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</si>
  <si>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</si>
  <si>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</si>
  <si>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</si>
  <si>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</si>
  <si>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</si>
  <si>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</si>
  <si>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</si>
  <si>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</si>
  <si>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</si>
  <si>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</si>
  <si>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</si>
  <si>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</si>
  <si>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</si>
  <si>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</si>
  <si>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</si>
  <si>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</si>
  <si>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</si>
  <si>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</si>
  <si>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</si>
  <si>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</si>
  <si>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</si>
  <si>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</si>
  <si>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</si>
  <si>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</si>
  <si>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</si>
  <si>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</si>
  <si>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</si>
  <si>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</si>
  <si>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</si>
  <si>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</si>
  <si>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</si>
  <si>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</si>
  <si>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</si>
  <si>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</si>
  <si>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</si>
  <si>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</si>
  <si>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</si>
  <si>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</si>
  <si>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</si>
  <si>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</si>
  <si>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</si>
  <si>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</si>
  <si>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</si>
  <si>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</si>
  <si>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</si>
  <si>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</si>
  <si>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</si>
  <si>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</si>
  <si>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</si>
  <si>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</si>
  <si>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</si>
  <si>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</si>
  <si>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</si>
  <si>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</si>
  <si>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</si>
  <si>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</si>
  <si>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</si>
  <si>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</si>
  <si>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</si>
  <si>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</si>
  <si>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</si>
  <si>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</si>
  <si>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</si>
  <si>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</si>
  <si>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</si>
  <si>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</si>
  <si>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</si>
  <si>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</si>
  <si>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</si>
  <si>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</si>
  <si>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</si>
  <si>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</si>
  <si>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</si>
  <si>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</si>
  <si>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</si>
  <si>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</si>
  <si>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</si>
  <si>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</si>
  <si>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</si>
  <si>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</si>
  <si>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</si>
  <si>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</si>
  <si>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</si>
  <si>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</si>
  <si>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</si>
  <si>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</si>
  <si>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</si>
  <si>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</si>
  <si>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</si>
  <si>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</si>
  <si>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</si>
  <si>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</si>
  <si>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</si>
  <si>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</si>
  <si>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</si>
  <si>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</si>
  <si>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</si>
  <si>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</si>
  <si>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</si>
  <si>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</si>
  <si>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</si>
  <si>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</si>
  <si>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</si>
  <si>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</si>
  <si>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</si>
  <si>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</si>
  <si>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</si>
  <si>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</si>
  <si>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</si>
  <si>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</si>
  <si>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</si>
  <si>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</si>
  <si>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</si>
  <si>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</si>
  <si>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</si>
  <si>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</si>
  <si>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</si>
  <si>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</si>
  <si>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</si>
  <si>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</si>
  <si>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</si>
  <si>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</si>
  <si>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</si>
  <si>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</si>
  <si>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</si>
  <si>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</si>
  <si>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</si>
  <si>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</si>
  <si>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</si>
  <si>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</si>
  <si>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</si>
  <si>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</si>
  <si>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</si>
  <si>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</si>
  <si>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</si>
  <si>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</si>
  <si>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</si>
  <si>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</si>
  <si>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</si>
  <si>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</si>
  <si>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</si>
  <si>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</si>
  <si>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</si>
  <si>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</si>
  <si>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</si>
  <si>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</si>
  <si>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</si>
  <si>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</si>
  <si>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</si>
  <si>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</si>
  <si>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</si>
  <si>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</si>
  <si>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</si>
  <si>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</si>
  <si>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</si>
  <si>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</si>
  <si>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</si>
  <si>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</si>
  <si>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</si>
  <si>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</si>
  <si>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</si>
  <si>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</si>
  <si>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</si>
  <si>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</si>
  <si>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</si>
  <si>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</si>
  <si>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</si>
  <si>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</si>
  <si>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</si>
  <si>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</si>
  <si>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</si>
  <si>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</si>
  <si>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</si>
  <si>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</si>
  <si>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</si>
  <si>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</si>
  <si>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</si>
  <si>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</si>
  <si>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</si>
  <si>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</si>
  <si>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</si>
  <si>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</si>
  <si>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</si>
  <si>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</si>
  <si>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</si>
  <si>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</si>
  <si>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</si>
  <si>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</si>
  <si>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</si>
  <si>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</si>
  <si>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</si>
  <si>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</si>
  <si>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</si>
  <si>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</si>
  <si>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</si>
  <si>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</si>
  <si>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</si>
  <si>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</si>
  <si>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</si>
  <si>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</si>
  <si>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</si>
  <si>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</si>
  <si>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</si>
  <si>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</si>
  <si>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</si>
  <si>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</si>
  <si>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</si>
  <si>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</si>
  <si>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</si>
  <si>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</si>
  <si>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</si>
  <si>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</si>
  <si>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</si>
  <si>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</si>
  <si>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</si>
  <si>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</si>
  <si>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</si>
  <si>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</si>
  <si>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</si>
  <si>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</si>
  <si>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</si>
  <si>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</si>
  <si>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</si>
  <si>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</si>
  <si>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</si>
  <si>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</si>
  <si>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</si>
  <si>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</si>
  <si>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</si>
  <si>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</si>
  <si>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</si>
  <si>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</si>
  <si>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</si>
  <si>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</si>
  <si>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</si>
  <si>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</si>
  <si>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</si>
  <si>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</si>
  <si>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</si>
  <si>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</si>
  <si>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</si>
  <si>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</si>
  <si>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</si>
  <si>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</si>
  <si>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</si>
  <si>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</si>
  <si>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</si>
  <si>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</si>
  <si>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</si>
  <si>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</si>
  <si>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</si>
  <si>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</si>
  <si>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</si>
  <si>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</si>
  <si>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</si>
  <si>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</si>
  <si>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</si>
  <si>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</si>
  <si>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</si>
  <si>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</si>
  <si>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</si>
  <si>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</si>
  <si>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</si>
  <si>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</si>
  <si>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</si>
  <si>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</si>
  <si>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</si>
  <si>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</si>
  <si>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</si>
  <si>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</si>
  <si>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</si>
  <si>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</si>
  <si>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</si>
  <si>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</si>
  <si>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</si>
  <si>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</si>
  <si>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</si>
  <si>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</si>
  <si>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</si>
  <si>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</si>
  <si>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</si>
  <si>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</si>
  <si>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</si>
  <si>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</si>
  <si>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</si>
  <si>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</si>
  <si>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</si>
  <si>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</si>
  <si>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</si>
  <si>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</si>
  <si>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</si>
  <si>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</si>
  <si>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</si>
  <si>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</si>
  <si>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</si>
  <si>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</si>
  <si>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</si>
  <si>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</si>
  <si>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</si>
  <si>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</si>
  <si>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</si>
  <si>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</si>
  <si>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</si>
  <si>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</si>
  <si>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</si>
  <si>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</si>
  <si>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</si>
  <si>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</si>
  <si>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</si>
  <si>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</si>
  <si>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</si>
  <si>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</si>
  <si>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</si>
  <si>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</si>
  <si>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</si>
  <si>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</si>
  <si>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</si>
  <si>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</si>
  <si>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</si>
  <si>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</si>
  <si>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</si>
  <si>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</si>
  <si>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</si>
  <si>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</si>
  <si>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</si>
  <si>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</si>
  <si>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</si>
  <si>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</si>
  <si>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</si>
  <si>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</si>
  <si>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</si>
  <si>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</si>
  <si>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</si>
  <si>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</si>
  <si>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</si>
  <si>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</si>
  <si>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</si>
  <si>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</si>
  <si>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</si>
  <si>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</si>
  <si>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</si>
  <si>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</si>
  <si>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</si>
  <si>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</si>
  <si>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</si>
  <si>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</si>
  <si>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</si>
  <si>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</si>
  <si>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</si>
  <si>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</si>
  <si>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</si>
  <si>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</si>
  <si>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</si>
  <si>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</si>
  <si>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</si>
  <si>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</si>
  <si>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</si>
  <si>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</si>
  <si>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</si>
  <si>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</si>
  <si>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</si>
  <si>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</si>
  <si>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</si>
  <si>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</si>
  <si>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</si>
  <si>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</si>
  <si>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</si>
  <si>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</si>
  <si>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</si>
  <si>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</si>
  <si>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</si>
  <si>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</si>
  <si>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</si>
  <si>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</si>
  <si>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</si>
  <si>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</si>
  <si>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</si>
  <si>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</si>
  <si>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</si>
  <si>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</si>
  <si>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</si>
  <si>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</si>
  <si>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</si>
  <si>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</si>
  <si>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</si>
  <si>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</si>
  <si>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</si>
  <si>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</si>
  <si>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</si>
  <si>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</si>
  <si>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</si>
  <si>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</si>
  <si>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</si>
  <si>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</si>
  <si>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</si>
  <si>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</si>
  <si>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</si>
  <si>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</si>
  <si>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</si>
  <si>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</si>
  <si>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</si>
  <si>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</si>
  <si>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</si>
  <si>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</si>
  <si>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</si>
  <si>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</si>
  <si>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</si>
  <si>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</si>
  <si>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</si>
  <si>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</si>
  <si>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</si>
  <si>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</si>
  <si>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</si>
  <si>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</si>
  <si>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</si>
  <si>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</si>
  <si>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</si>
  <si>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</si>
  <si>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</si>
  <si>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</si>
  <si>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</si>
  <si>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</si>
  <si>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</si>
  <si>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</si>
  <si>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</si>
  <si>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</si>
  <si>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</si>
  <si>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</si>
  <si>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</si>
  <si>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</si>
  <si>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</si>
  <si>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</si>
  <si>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</si>
  <si>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</si>
  <si>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</si>
  <si>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</si>
  <si>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</si>
  <si>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</si>
  <si>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</si>
  <si>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</si>
  <si>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</si>
  <si>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</si>
  <si>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</si>
  <si>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</si>
  <si>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</si>
  <si>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</si>
  <si>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</si>
  <si>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</si>
  <si>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</si>
  <si>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</si>
  <si>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</si>
  <si>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</si>
  <si>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</si>
  <si>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</si>
  <si>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</si>
  <si>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</si>
  <si>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</si>
  <si>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</si>
  <si>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</si>
  <si>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</si>
  <si>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</si>
  <si>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</si>
  <si>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</si>
  <si>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</si>
  <si>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</si>
  <si>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</si>
  <si>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</si>
  <si>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</si>
  <si>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</si>
  <si>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</si>
  <si>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</si>
  <si>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</si>
  <si>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</si>
  <si>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</si>
  <si>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</si>
  <si>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</si>
  <si>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</si>
  <si>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</si>
  <si>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</si>
  <si>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</si>
  <si>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</si>
  <si>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</si>
  <si>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</si>
  <si>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</si>
  <si>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</si>
  <si>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</si>
  <si>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</si>
  <si>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</si>
  <si>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</si>
  <si>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</si>
  <si>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</si>
  <si>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</si>
  <si>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</si>
  <si>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</si>
  <si>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</si>
  <si>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</si>
  <si>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</si>
  <si>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</si>
  <si>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</si>
  <si>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</si>
  <si>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</si>
  <si>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</si>
  <si>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</si>
  <si>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</si>
  <si>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</si>
  <si>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</si>
  <si>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</si>
  <si>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</si>
  <si>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</si>
  <si>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</si>
  <si>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</si>
  <si>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</si>
  <si>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</si>
  <si>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</si>
  <si>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</si>
  <si>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</si>
  <si>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</si>
  <si>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</si>
  <si>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</si>
  <si>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</si>
  <si>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</si>
  <si>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</si>
  <si>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</si>
  <si>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</si>
  <si>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</si>
  <si>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</si>
  <si>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</si>
  <si>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</si>
  <si>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</si>
  <si>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</si>
  <si>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</si>
  <si>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</si>
  <si>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</si>
  <si>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</si>
  <si>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</si>
  <si>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</si>
  <si>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</si>
  <si>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</si>
  <si>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</si>
  <si>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</si>
  <si>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</si>
  <si>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</si>
  <si>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</si>
  <si>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</si>
  <si>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</si>
  <si>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</si>
  <si>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</si>
  <si>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</si>
  <si>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</si>
  <si>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</si>
  <si>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</si>
  <si>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</si>
  <si>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</si>
  <si>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</si>
  <si>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</si>
  <si>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</si>
  <si>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</si>
  <si>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</si>
  <si>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</si>
  <si>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</si>
  <si>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</si>
  <si>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</si>
  <si>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</si>
  <si>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</si>
  <si>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</si>
  <si>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</si>
  <si>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</si>
  <si>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</si>
  <si>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</si>
  <si>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</si>
  <si>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</si>
  <si>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</si>
  <si>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</si>
  <si>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</si>
  <si>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</si>
  <si>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</si>
  <si>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</si>
  <si>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</si>
  <si>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</si>
  <si>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</si>
  <si>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</si>
  <si>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</si>
  <si>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</si>
  <si>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</si>
  <si>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</si>
  <si>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</si>
  <si>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</si>
  <si>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</si>
  <si>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</si>
  <si>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</si>
  <si>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</si>
  <si>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</si>
  <si>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</si>
  <si>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</si>
  <si>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</si>
  <si>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</si>
  <si>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</si>
  <si>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</si>
  <si>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</si>
  <si>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</si>
  <si>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</si>
  <si>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</si>
  <si>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</si>
  <si>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</si>
  <si>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</si>
  <si>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</si>
  <si>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</si>
  <si>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</si>
  <si>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</si>
  <si>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</si>
  <si>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</si>
  <si>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</si>
  <si>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</si>
  <si>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</si>
  <si>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</si>
  <si>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</si>
  <si>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</si>
  <si>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</si>
  <si>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</si>
  <si>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</si>
  <si>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</si>
  <si>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</si>
  <si>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</si>
  <si>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</si>
  <si>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</si>
  <si>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</si>
  <si>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</si>
  <si>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</si>
  <si>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</si>
  <si>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</si>
  <si>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</si>
  <si>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</si>
  <si>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</si>
  <si>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</si>
  <si>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</si>
  <si>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</si>
  <si>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</si>
  <si>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</si>
  <si>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</si>
  <si>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</si>
  <si>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</si>
  <si>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</si>
  <si>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</si>
  <si>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</si>
  <si>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</si>
  <si>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</si>
  <si>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</si>
  <si>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</si>
  <si>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</si>
  <si>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</si>
  <si>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</si>
  <si>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</si>
  <si>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</si>
  <si>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</si>
  <si>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</si>
  <si>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</si>
  <si>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</si>
  <si>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</si>
  <si>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</si>
  <si>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</si>
  <si>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</si>
  <si>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</si>
  <si>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</si>
  <si>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</si>
  <si>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</si>
  <si>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</si>
  <si>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</si>
  <si>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</si>
  <si>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</si>
  <si>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</si>
  <si>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</si>
  <si>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</si>
  <si>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</si>
  <si>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</si>
  <si>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</si>
  <si>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</si>
  <si>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</si>
  <si>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</si>
  <si>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</si>
  <si>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</si>
  <si>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</si>
  <si>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</si>
  <si>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</si>
  <si>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</si>
  <si>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</si>
  <si>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</si>
  <si>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</si>
  <si>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</si>
  <si>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</si>
  <si>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</si>
  <si>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</si>
  <si>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</si>
  <si>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</si>
  <si>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</si>
  <si>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</si>
  <si>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</si>
  <si>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</si>
  <si>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</si>
  <si>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</si>
  <si>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</si>
  <si>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</si>
  <si>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</si>
  <si>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</si>
  <si>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</si>
  <si>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</si>
  <si>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</si>
  <si>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</si>
  <si>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</si>
  <si>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</si>
  <si>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</si>
  <si>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</si>
  <si>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</si>
  <si>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</si>
  <si>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</si>
  <si>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</si>
  <si>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</si>
  <si>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</si>
  <si>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</si>
  <si>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</si>
  <si>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</si>
  <si>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</si>
  <si>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</si>
  <si>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</si>
  <si>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</si>
  <si>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</si>
  <si>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</si>
  <si>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</si>
  <si>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</si>
  <si>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</si>
  <si>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</si>
  <si>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</si>
  <si>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</si>
  <si>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</si>
  <si>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</si>
  <si>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</si>
  <si>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</si>
  <si>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</si>
  <si>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</si>
  <si>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</si>
  <si>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</si>
  <si>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</si>
  <si>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</si>
  <si>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</si>
  <si>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</si>
  <si>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</si>
  <si>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</si>
  <si>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</si>
  <si>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</si>
  <si>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</si>
  <si>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</si>
  <si>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</si>
  <si>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</si>
  <si>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</si>
  <si>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</si>
  <si>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</si>
  <si>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</si>
  <si>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</si>
  <si>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</si>
  <si>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</si>
  <si>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</si>
  <si>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</si>
  <si>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</si>
  <si>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</si>
  <si>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</si>
  <si>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</si>
  <si>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</si>
  <si>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</si>
  <si>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</si>
  <si>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</si>
  <si>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</si>
  <si>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</si>
  <si>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</si>
  <si>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</si>
  <si>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</si>
  <si>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</si>
  <si>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</si>
  <si>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</si>
  <si>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</si>
  <si>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</si>
  <si>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</si>
  <si>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</si>
  <si>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</si>
  <si>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</si>
  <si>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</si>
  <si>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</si>
  <si>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</si>
  <si>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</si>
  <si>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</si>
  <si>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</si>
  <si>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</si>
  <si>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</si>
  <si>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</si>
  <si>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</si>
  <si>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</si>
  <si>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</si>
  <si>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</si>
  <si>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</si>
  <si>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</si>
  <si>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</si>
  <si>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</si>
  <si>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</si>
  <si>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</si>
  <si>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</si>
  <si>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</si>
  <si>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</si>
  <si>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</si>
  <si>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</si>
  <si>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</si>
  <si>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</si>
  <si>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</si>
  <si>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</si>
  <si>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</si>
  <si>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</si>
  <si>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</si>
  <si>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</si>
  <si>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</si>
  <si>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</si>
  <si>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</si>
  <si>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</si>
  <si>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</si>
  <si>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</si>
  <si>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</si>
  <si>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</si>
  <si>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</si>
  <si>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</si>
  <si>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</si>
  <si>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</si>
  <si>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</si>
  <si>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</si>
  <si>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</si>
  <si>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</si>
  <si>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</si>
  <si>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</si>
  <si>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</si>
  <si>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</si>
  <si>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</si>
  <si>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</si>
  <si>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</si>
  <si>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</si>
  <si>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</si>
  <si>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</si>
  <si>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</si>
  <si>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</si>
  <si>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</si>
  <si>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</si>
  <si>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</si>
  <si>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</si>
  <si>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</si>
  <si>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</si>
  <si>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</si>
  <si>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</si>
  <si>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</si>
  <si>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</si>
  <si>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</si>
  <si>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</si>
  <si>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</si>
  <si>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</si>
  <si>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</si>
  <si>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</si>
  <si>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</si>
  <si>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</si>
  <si>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</si>
  <si>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</si>
  <si>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</si>
  <si>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</si>
  <si>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</si>
  <si>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</si>
  <si>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</si>
  <si>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</si>
  <si>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</si>
  <si>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</si>
  <si>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</si>
  <si>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</si>
  <si>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</si>
  <si>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</si>
  <si>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</si>
  <si>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</si>
  <si>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</si>
  <si>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</si>
  <si>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</si>
  <si>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</si>
  <si>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</si>
  <si>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</si>
  <si>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</si>
  <si>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</si>
  <si>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</si>
  <si>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</si>
  <si>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</si>
  <si>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</si>
  <si>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</si>
  <si>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</si>
  <si>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</si>
  <si>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</si>
  <si>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</si>
  <si>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</si>
  <si>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</si>
  <si>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</si>
  <si>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</si>
  <si>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</si>
  <si>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</si>
  <si>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</si>
  <si>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</si>
  <si>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</si>
  <si>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</si>
  <si>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</si>
  <si>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</si>
  <si>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</si>
  <si>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</si>
  <si>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</si>
  <si>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</si>
  <si>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</si>
  <si>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</si>
  <si>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</si>
  <si>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</si>
  <si>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</si>
  <si>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</si>
  <si>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</si>
  <si>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</si>
  <si>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</si>
  <si>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</si>
  <si>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</si>
  <si>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</si>
  <si>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</si>
  <si>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</si>
  <si>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</si>
  <si>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</si>
  <si>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</si>
  <si>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</si>
  <si>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</si>
  <si>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</si>
  <si>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</si>
  <si>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</si>
  <si>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</si>
  <si>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</si>
  <si>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</si>
  <si>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</si>
  <si>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</si>
  <si>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</si>
  <si>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</si>
  <si>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</si>
  <si>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</si>
  <si>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</si>
  <si>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</si>
  <si>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</si>
  <si>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</si>
  <si>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</si>
  <si>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</si>
  <si>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</si>
  <si>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</si>
  <si>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</si>
  <si>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</si>
  <si>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</si>
  <si>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</si>
  <si>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</si>
  <si>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</si>
  <si>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</si>
  <si>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</si>
  <si>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</si>
  <si>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</si>
  <si>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</si>
  <si>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</si>
  <si>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</si>
  <si>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</si>
  <si>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</si>
  <si>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</si>
  <si>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</si>
  <si>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</si>
  <si>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</si>
  <si>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</si>
  <si>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</si>
  <si>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</si>
  <si>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</si>
  <si>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</si>
  <si>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</si>
  <si>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</si>
  <si>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</si>
  <si>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</si>
  <si>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</si>
  <si>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</si>
  <si>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</si>
  <si>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</si>
  <si>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</si>
  <si>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</si>
  <si>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</si>
  <si>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</si>
  <si>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</si>
  <si>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</si>
  <si>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</si>
  <si>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</si>
  <si>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</si>
  <si>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</si>
  <si>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</si>
  <si>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</si>
  <si>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</si>
  <si>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</si>
  <si>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</si>
  <si>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</si>
  <si>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</si>
  <si>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</si>
  <si>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</si>
  <si>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</si>
  <si>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</si>
  <si>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</si>
  <si>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</si>
  <si>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</si>
  <si>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</si>
  <si>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</si>
  <si>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</si>
  <si>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</si>
  <si>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</si>
  <si>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</si>
  <si>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</si>
  <si>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</si>
  <si>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</si>
  <si>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</si>
  <si>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</si>
  <si>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</si>
  <si>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</si>
  <si>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</si>
  <si>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</si>
  <si>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</si>
  <si>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</si>
  <si>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</si>
  <si>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</si>
  <si>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</si>
  <si>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</si>
  <si>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</si>
  <si>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</si>
  <si>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</si>
  <si>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</si>
  <si>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</si>
  <si>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</si>
  <si>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</si>
  <si>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</si>
  <si>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</si>
  <si>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</si>
  <si>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</si>
  <si>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</si>
  <si>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</si>
  <si>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</si>
  <si>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</si>
  <si>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</si>
  <si>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</si>
  <si>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</si>
  <si>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</si>
  <si>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</si>
  <si>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</si>
  <si>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</si>
  <si>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</si>
  <si>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</si>
  <si>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</si>
  <si>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</si>
  <si>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</si>
  <si>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</si>
  <si>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</si>
  <si>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</si>
  <si>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</si>
  <si>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</si>
  <si>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</si>
  <si>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</si>
  <si>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</si>
  <si>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</si>
  <si>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</si>
  <si>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</si>
  <si>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</si>
  <si>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</si>
  <si>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</si>
  <si>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</si>
  <si>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</si>
  <si>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</si>
  <si>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</si>
  <si>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</si>
  <si>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</si>
  <si>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</si>
  <si>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</si>
  <si>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</si>
  <si>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</si>
  <si>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</si>
  <si>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</si>
  <si>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</si>
  <si>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</si>
  <si>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</si>
  <si>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</si>
  <si>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</si>
  <si>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</si>
  <si>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</si>
  <si>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</si>
  <si>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</si>
  <si>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</si>
  <si>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</si>
  <si>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</si>
  <si>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</si>
  <si>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</si>
  <si>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</si>
  <si>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</si>
  <si>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</si>
  <si>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</si>
  <si>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</si>
  <si>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</si>
  <si>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</si>
  <si>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</si>
  <si>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</si>
  <si>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</si>
  <si>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</si>
  <si>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</si>
  <si>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</si>
  <si>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</si>
  <si>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</si>
  <si>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</si>
  <si>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</si>
  <si>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</si>
  <si>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</si>
  <si>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</si>
  <si>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</si>
  <si>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</si>
  <si>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</si>
  <si>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</si>
  <si>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</si>
  <si>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</si>
  <si>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</si>
  <si>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</si>
  <si>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</si>
  <si>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</si>
  <si>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</si>
  <si>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</si>
  <si>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</si>
  <si>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</si>
  <si>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</si>
  <si>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</si>
  <si>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</si>
  <si>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</si>
  <si>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</si>
  <si>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</si>
  <si>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</si>
  <si>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</si>
  <si>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</si>
  <si>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</si>
  <si>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</si>
  <si>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</si>
  <si>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</si>
  <si>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</si>
  <si>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</si>
  <si>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</si>
  <si>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</si>
  <si>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</si>
  <si>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</si>
  <si>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</si>
  <si>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</si>
  <si>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</si>
  <si>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</si>
  <si>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</si>
  <si>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</si>
  <si>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</si>
  <si>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</si>
  <si>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</si>
  <si>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</si>
  <si>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</si>
  <si>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</si>
  <si>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</si>
  <si>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</si>
  <si>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</si>
  <si>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</si>
  <si>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</si>
  <si>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</si>
  <si>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</si>
  <si>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</si>
  <si>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</si>
  <si>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</si>
  <si>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</si>
  <si>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</si>
  <si>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</si>
  <si>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</si>
  <si>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</si>
  <si>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</si>
  <si>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</si>
  <si>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</si>
  <si>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</si>
  <si>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</si>
  <si>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</si>
  <si>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</si>
  <si>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</si>
  <si>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</si>
  <si>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</si>
  <si>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</si>
  <si>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</si>
  <si>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</si>
  <si>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</si>
  <si>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</si>
  <si>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</si>
  <si>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</si>
  <si>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</si>
  <si>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</si>
  <si>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</si>
  <si>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</si>
  <si>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</si>
  <si>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</si>
  <si>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</si>
  <si>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</si>
  <si>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</si>
  <si>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</si>
  <si>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</si>
  <si>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</si>
  <si>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</si>
  <si>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</si>
  <si>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</si>
  <si>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</si>
  <si>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</si>
  <si>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</si>
  <si>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</si>
  <si>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</si>
  <si>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</si>
  <si>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</si>
  <si>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</si>
  <si>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</si>
  <si>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</si>
  <si>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</si>
  <si>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</si>
  <si>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</si>
  <si>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</si>
  <si>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</si>
  <si>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</si>
  <si>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</si>
  <si>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</si>
  <si>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</si>
  <si>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</si>
  <si>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</si>
  <si>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</si>
  <si>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</si>
  <si>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</si>
  <si>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</si>
  <si>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</si>
  <si>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</si>
  <si>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</si>
  <si>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</si>
  <si>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</si>
  <si>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</si>
  <si>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</si>
  <si>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</si>
  <si>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</si>
  <si>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</si>
  <si>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</si>
  <si>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</si>
  <si>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</si>
  <si>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</si>
  <si>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</si>
  <si>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</si>
  <si>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</si>
  <si>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</si>
  <si>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</si>
  <si>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</si>
  <si>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</si>
  <si>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</si>
  <si>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</si>
  <si>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</si>
  <si>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</si>
  <si>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</si>
  <si>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</si>
  <si>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</si>
  <si>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</si>
  <si>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</si>
  <si>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</si>
  <si>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</si>
  <si>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</si>
  <si>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</si>
  <si>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</si>
  <si>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</si>
  <si>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</si>
  <si>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</si>
  <si>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</si>
  <si>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</si>
  <si>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</si>
  <si>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</si>
  <si>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</si>
  <si>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</si>
  <si>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</si>
  <si>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</si>
  <si>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</si>
  <si>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</si>
  <si>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</si>
  <si>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</si>
  <si>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</si>
  <si>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</si>
  <si>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</si>
  <si>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</si>
  <si>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</si>
  <si>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</si>
  <si>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</si>
  <si>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</si>
  <si>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</si>
  <si>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</si>
  <si>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</si>
  <si>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</si>
  <si>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</si>
  <si>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</si>
  <si>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</si>
  <si>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</si>
  <si>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</si>
  <si>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</si>
  <si>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</si>
  <si>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</si>
  <si>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</si>
  <si>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</si>
  <si>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</si>
  <si>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</si>
  <si>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</si>
  <si>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</si>
  <si>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</si>
  <si>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</si>
  <si>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</si>
  <si>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</si>
  <si>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</si>
  <si>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</si>
  <si>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</si>
  <si>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</si>
  <si>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</si>
  <si>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</si>
  <si>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</si>
  <si>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</si>
  <si>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</si>
  <si>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</si>
  <si>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</si>
  <si>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</si>
  <si>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</si>
  <si>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</si>
  <si>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</si>
  <si>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</si>
  <si>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</si>
  <si>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</si>
  <si>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</si>
  <si>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</si>
  <si>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</si>
  <si>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</si>
  <si>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</si>
  <si>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</si>
  <si>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</si>
  <si>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</si>
  <si>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</si>
  <si>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</si>
  <si>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</si>
  <si>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</si>
  <si>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</si>
  <si>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</si>
  <si>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</si>
  <si>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</si>
  <si>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</si>
  <si>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</si>
  <si>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</si>
  <si>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</si>
  <si>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</si>
  <si>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</si>
  <si>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</si>
  <si>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</si>
  <si>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</si>
  <si>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</si>
  <si>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</si>
  <si>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</si>
  <si>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</si>
  <si>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</si>
  <si>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</si>
  <si>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</si>
  <si>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</si>
  <si>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</si>
  <si>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</si>
  <si>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</si>
  <si>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</si>
  <si>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</si>
  <si>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</si>
  <si>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</si>
  <si>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</si>
  <si>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</si>
  <si>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</si>
  <si>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</si>
  <si>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</si>
  <si>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</si>
  <si>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</si>
  <si>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</si>
  <si>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</si>
  <si>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</si>
  <si>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</si>
  <si>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</si>
  <si>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</si>
  <si>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</si>
  <si>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</si>
  <si>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</si>
  <si>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</si>
  <si>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</si>
  <si>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</si>
  <si>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</si>
  <si>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</si>
  <si>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</si>
  <si>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</si>
  <si>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</si>
  <si>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</si>
  <si>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</si>
  <si>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</si>
  <si>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</si>
  <si>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</si>
  <si>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</si>
  <si>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</si>
  <si>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</si>
  <si>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</si>
  <si>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</si>
  <si>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</si>
  <si>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</si>
  <si>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</si>
  <si>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</si>
  <si>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</si>
  <si>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</si>
  <si>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</si>
  <si>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</si>
  <si>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</si>
  <si>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</si>
  <si>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</si>
  <si>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</si>
  <si>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</si>
  <si>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</si>
  <si>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</si>
  <si>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</si>
  <si>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</si>
  <si>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</si>
  <si>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</si>
  <si>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</si>
  <si>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</si>
  <si>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</si>
  <si>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</si>
  <si>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</si>
  <si>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</si>
  <si>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</si>
  <si>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</si>
  <si>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</si>
  <si>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</si>
  <si>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</si>
  <si>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</si>
  <si>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</si>
  <si>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</si>
  <si>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</si>
  <si>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</si>
  <si>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</si>
  <si>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</si>
  <si>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</si>
  <si>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</si>
  <si>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</si>
  <si>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</si>
  <si>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</si>
  <si>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</si>
  <si>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</si>
  <si>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</si>
  <si>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</si>
  <si>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</si>
  <si>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</si>
  <si>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</si>
  <si>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</si>
  <si>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</si>
  <si>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</si>
  <si>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</si>
  <si>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</si>
  <si>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</si>
  <si>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</si>
  <si>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</si>
  <si>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</si>
  <si>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</si>
  <si>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</si>
  <si>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</si>
  <si>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</si>
  <si>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</si>
  <si>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</si>
  <si>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</si>
  <si>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</si>
  <si>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</si>
  <si>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</si>
  <si>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</si>
  <si>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</si>
  <si>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</si>
  <si>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</si>
  <si>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</si>
  <si>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</si>
  <si>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</si>
  <si>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</si>
  <si>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</si>
  <si>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</si>
  <si>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</si>
  <si>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</si>
  <si>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</si>
  <si>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</si>
  <si>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</si>
  <si>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</si>
  <si>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</si>
  <si>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</si>
  <si>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</si>
  <si>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</si>
  <si>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</si>
  <si>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</si>
  <si>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</si>
  <si>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</si>
  <si>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</si>
  <si>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</si>
  <si>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</si>
  <si>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</si>
  <si>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</si>
  <si>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</si>
  <si>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</si>
  <si>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</si>
  <si>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</si>
  <si>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</si>
  <si>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</si>
  <si>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</si>
  <si>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</si>
  <si>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</si>
  <si>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</si>
  <si>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</si>
  <si>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</si>
  <si>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</si>
  <si>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</si>
  <si>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</si>
  <si>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</si>
  <si>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</si>
  <si>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</si>
  <si>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</si>
  <si>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</si>
  <si>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</si>
  <si>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</si>
  <si>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</si>
  <si>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</si>
  <si>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</si>
  <si>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</si>
  <si>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</si>
  <si>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</si>
  <si>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</si>
  <si>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</si>
  <si>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</si>
  <si>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</si>
  <si>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</si>
  <si>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</si>
  <si>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</si>
  <si>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</si>
  <si>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</si>
  <si>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</si>
  <si>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</si>
  <si>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</si>
  <si>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</si>
  <si>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</si>
  <si>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</si>
  <si>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</si>
  <si>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</si>
  <si>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</si>
  <si>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</si>
  <si>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</si>
  <si>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</si>
  <si>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</si>
  <si>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</si>
  <si>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</si>
  <si>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</si>
  <si>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</si>
  <si>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</si>
  <si>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</si>
  <si>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</si>
  <si>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</si>
  <si>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</si>
  <si>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</si>
  <si>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</si>
  <si>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</si>
  <si>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</si>
  <si>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</si>
  <si>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</si>
  <si>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</si>
  <si>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</si>
  <si>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</si>
  <si>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</si>
  <si>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</si>
  <si>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</si>
  <si>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</si>
  <si>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</si>
  <si>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</si>
  <si>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</si>
  <si>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</si>
  <si>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</si>
  <si>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</si>
  <si>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</si>
  <si>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</si>
  <si>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</si>
  <si>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</si>
  <si>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</si>
  <si>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</si>
  <si>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</si>
  <si>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</si>
  <si>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</si>
  <si>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</si>
  <si>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</si>
  <si>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</si>
  <si>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</si>
  <si>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</si>
  <si>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</si>
  <si>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</si>
  <si>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</si>
  <si>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</si>
  <si>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</si>
  <si>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</si>
  <si>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</si>
  <si>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</si>
  <si>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</si>
  <si>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</si>
  <si>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</si>
  <si>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</si>
  <si>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</si>
  <si>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</si>
  <si>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</si>
  <si>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</si>
  <si>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</si>
  <si>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</si>
  <si>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</si>
  <si>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</si>
  <si>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</si>
  <si>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</si>
  <si>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</si>
  <si>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</si>
  <si>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</si>
  <si>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</si>
  <si>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</si>
  <si>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</si>
  <si>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</si>
  <si>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</si>
  <si>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</si>
  <si>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</si>
  <si>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</si>
  <si>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</si>
  <si>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</si>
  <si>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</si>
  <si>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</si>
  <si>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</si>
  <si>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</si>
  <si>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</si>
  <si>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</si>
  <si>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</si>
  <si>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</si>
  <si>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</si>
  <si>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</si>
  <si>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</si>
  <si>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</si>
  <si>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</si>
  <si>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</si>
  <si>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</si>
  <si>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</si>
  <si>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</si>
  <si>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</si>
  <si>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</si>
  <si>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</si>
  <si>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</si>
  <si>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</si>
  <si>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</si>
  <si>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</si>
  <si>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</si>
  <si>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</si>
  <si>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</si>
  <si>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</si>
  <si>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</si>
  <si>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</si>
  <si>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</si>
  <si>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</si>
  <si>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</si>
  <si>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</si>
  <si>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</si>
  <si>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</si>
  <si>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</si>
  <si>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</si>
  <si>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</si>
  <si>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</si>
  <si>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</si>
  <si>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</si>
  <si>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</si>
  <si>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</si>
  <si>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</si>
  <si>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</si>
  <si>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</si>
  <si>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</si>
  <si>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</si>
  <si>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</si>
  <si>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</si>
  <si>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</si>
  <si>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</si>
  <si>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</si>
  <si>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</si>
  <si>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</si>
  <si>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</si>
  <si>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</si>
  <si>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</si>
  <si>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</si>
  <si>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</si>
  <si>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</si>
  <si>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</si>
  <si>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</si>
  <si>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</si>
  <si>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</si>
  <si>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</si>
  <si>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</si>
  <si>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</si>
  <si>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</si>
  <si>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</si>
  <si>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</si>
  <si>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</si>
  <si>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</si>
  <si>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</si>
  <si>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</si>
  <si>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</si>
  <si>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</si>
  <si>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</si>
  <si>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</si>
  <si>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</si>
  <si>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</si>
  <si>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</si>
  <si>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</si>
  <si>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</si>
  <si>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</si>
  <si>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</si>
  <si>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</si>
  <si>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</si>
  <si>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</si>
  <si>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</si>
  <si>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</si>
  <si>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</si>
  <si>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</si>
  <si>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</si>
  <si>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</si>
  <si>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</si>
  <si>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</si>
  <si>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</si>
  <si>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</si>
  <si>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</si>
  <si>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</si>
  <si>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</si>
  <si>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</si>
  <si>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</si>
  <si>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</si>
  <si>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</si>
  <si>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</si>
  <si>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</si>
  <si>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</si>
  <si>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</si>
  <si>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</si>
  <si>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</si>
  <si>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</si>
  <si>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</si>
  <si>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</si>
  <si>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</si>
  <si>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</si>
  <si>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</si>
  <si>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</si>
  <si>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</si>
  <si>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</si>
  <si>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</si>
  <si>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</si>
  <si>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</si>
  <si>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</si>
  <si>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</si>
  <si>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</si>
  <si>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</si>
  <si>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</si>
  <si>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</si>
  <si>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</si>
  <si>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</si>
  <si>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</si>
  <si>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</si>
  <si>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</si>
  <si>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</si>
  <si>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</si>
  <si>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</si>
  <si>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</si>
  <si>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</si>
  <si>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</si>
  <si>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</si>
  <si>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</si>
  <si>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</si>
  <si>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</si>
  <si>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</si>
  <si>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</si>
  <si>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</si>
  <si>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</si>
  <si>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</si>
  <si>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</si>
  <si>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</si>
  <si>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</si>
  <si>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</si>
  <si>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</si>
  <si>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</si>
  <si>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</si>
  <si>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</si>
  <si>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</si>
  <si>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</si>
  <si>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</si>
  <si>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</si>
  <si>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</si>
  <si>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</si>
  <si>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</si>
  <si>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</si>
  <si>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</si>
  <si>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</si>
  <si>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</si>
  <si>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</si>
  <si>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</si>
  <si>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</si>
  <si>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</si>
  <si>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</si>
  <si>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</si>
  <si>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</si>
  <si>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</si>
  <si>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</si>
  <si>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</si>
  <si>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</si>
  <si>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</si>
  <si>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</si>
  <si>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</si>
  <si>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</si>
  <si>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</si>
  <si>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</si>
  <si>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</si>
  <si>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</si>
  <si>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</si>
  <si>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</si>
  <si>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</si>
  <si>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</si>
  <si>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</si>
  <si>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</si>
  <si>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</si>
  <si>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</si>
  <si>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</si>
  <si>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</si>
  <si>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</si>
  <si>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</si>
  <si>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</si>
  <si>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</si>
  <si>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</si>
  <si>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</si>
  <si>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</si>
  <si>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</si>
  <si>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</si>
  <si>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</si>
  <si>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</si>
  <si>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</si>
  <si>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</si>
  <si>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</si>
  <si>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</si>
  <si>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</si>
  <si>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</si>
  <si>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</si>
  <si>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</si>
  <si>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</si>
  <si>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</si>
  <si>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</si>
  <si>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</si>
  <si>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</si>
  <si>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</si>
  <si>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</si>
  <si>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</si>
  <si>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</si>
  <si>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</si>
  <si>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</si>
  <si>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</si>
  <si>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</si>
  <si>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</si>
  <si>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企业</t>
  </si>
  <si>
    <t>h</t>
    <phoneticPr fontId="18" type="noConversion"/>
  </si>
  <si>
    <t>是</t>
  </si>
  <si>
    <t>地下</t>
  </si>
  <si>
    <t>车位</t>
  </si>
  <si>
    <t>车位</t>
    <phoneticPr fontId="7" type="noConversion"/>
  </si>
  <si>
    <t>成新度</t>
  </si>
  <si>
    <t>收益法 (元)</t>
  </si>
  <si>
    <t>自定义</t>
  </si>
  <si>
    <t>钢混</t>
  </si>
  <si>
    <t>非生产用房</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</si>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</sst>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2023年2月4日</v>
      </c>
    </row>
    <row r="13" spans="1:2" s="1203" customFormat="1">
      <c r="A13" s="1201" t="s">
        <v>529</v>
      </c>
      <c r="B13" s="1202"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v>
      </c>
    </row>
    <row r="21" spans="1:2" s="1203" customFormat="1">
      <c r="A21" s="1201" t="s">
        <v>537</v>
      </c>
      <c r="B21" s="1202">
        <f ca="1">'预评函-2'!D7</f>
        <v>18188</v>
      </c>
    </row>
    <row r="22" spans="1:2" s="1203" customFormat="1">
      <c r="A22" s="1201" t="s">
        <v>538</v>
      </c>
      <c r="B22" s="1202" t="str">
        <f ca="1">'预评函-2'!D6</f>
        <v>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v>
      </c>
    </row>
    <row r="31" spans="1:2" s="1203" customFormat="1">
      <c r="A31" s="1201" t="s">
        <v>576</v>
      </c>
      <c r="B31" s="1202">
        <f ca="1">'预评函-2'!D15</f>
        <v>18188</v>
      </c>
    </row>
    <row r="32" spans="1:2" s="1203" customFormat="1">
      <c r="A32" s="1201" t="s">
        <v>543</v>
      </c>
      <c r="B32" s="1202" t="str">
        <f ca="1">'预评函-2'!D14</f>
        <v>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2581</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2582</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44961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7" sqref="L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04"/>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3340</v>
      </c>
      <c r="B13" s="2407" t="s">
        <v>2190</v>
      </c>
      <c r="C13" s="856">
        <v>65403</v>
      </c>
      <c r="D13" s="856"/>
      <c r="E13" s="856"/>
      <c r="F13" s="856">
        <v>58102</v>
      </c>
      <c r="G13" s="856"/>
      <c r="H13" s="856"/>
      <c r="I13" s="856"/>
      <c r="J13" s="3062"/>
      <c r="K13" s="2613"/>
      <c r="L13" s="2613"/>
      <c r="M13" s="2439"/>
      <c r="N13" s="2450"/>
      <c r="O13" s="2439"/>
      <c r="P13" s="2439"/>
      <c r="Q13" s="2439"/>
      <c r="AD13" s="1745"/>
    </row>
    <row r="14" spans="1:30">
      <c r="A14" s="1081"/>
      <c r="B14" s="2407" t="s">
        <v>2191</v>
      </c>
      <c r="C14" s="2408">
        <v>70</v>
      </c>
      <c r="D14" s="2408"/>
      <c r="E14" s="2408"/>
      <c r="F14" s="2408">
        <v>70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56</v>
      </c>
      <c r="D15" s="2410" t="str">
        <f>IF(A13="出让",IF(D13="","",ROUNDDOWN(MIN((D13-$D$3)/365,D14),2)),D14)</f>
        <v/>
      </c>
      <c r="E15" s="2410" t="str">
        <f>IF(A13="出让",IF(E13="","",ROUNDDOWN(MIN((E13-$D$3)/365,E14),2)),E14)</f>
        <v/>
      </c>
      <c r="F15" s="2410">
        <f>IF(A13="出让",IF(F13="","",ROUNDDOWN(MIN((F13-$D$3)/365,F14),2)),F14)</f>
        <v>36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v>
      </c>
      <c r="H13" s="17">
        <f>SUMIF(I$12:AB$12,"总值",I13:AB13)</f>
        <v>1</v>
      </c>
      <c r="I13" s="1626">
        <v>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2" sqref="M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v>
      </c>
      <c r="F19" s="2795"/>
      <c r="G19" s="2796">
        <f>'数据-基础表'!I13</f>
        <v>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v>
      </c>
      <c r="F27" s="1140">
        <f>IF(SUM(F19:F26)=E8,SUM(F19:F26),"地上面积有误")</f>
        <v>0</v>
      </c>
      <c r="G27" s="1142">
        <f>SUM(G19:G26)</f>
        <v>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v>
      </c>
      <c r="F31" s="677">
        <f>F27+F30</f>
        <v>0</v>
      </c>
      <c r="G31" s="678">
        <f>G27+G30</f>
        <v>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G6" activePane="bottomRight" state="frozen"/>
      <selection activeCell="C50" sqref="C50"/>
      <selection pane="topRight" activeCell="C50" sqref="C50"/>
      <selection pane="bottomLeft" activeCell="C50" sqref="C50"/>
      <selection pane="bottomRight" activeCell="O33" sqref="O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3341</v>
      </c>
      <c r="D6" s="858">
        <f>SUMIF(项目基本情况!C$12:I$12,C6,项目基本情况!C$14:I$14)</f>
        <v>70</v>
      </c>
      <c r="E6" s="857">
        <f>IF(B6="","",SUMIF(项目基本情况!C$12:I$12,C6,项目基本情况!C$13:I$13))</f>
        <v>58102</v>
      </c>
      <c r="F6" s="64">
        <f>SUMIF(项目基本情况!C$12:I$12,C6,项目基本情况!C$15:I$15)</f>
        <v>36</v>
      </c>
      <c r="G6" s="65">
        <f>IF(ISERROR(ROUND(POWER(1+H6,D6-F6)*(POWER(1+H6,F6)-1)/(POWER(1+H6,D6)-1),3)),0,ROUND(POWER(1+H6,D6-F6)*(POWER(1+H6,F6)-1)/(POWER(1+H6,D6)-1),3))</f>
        <v>0.78</v>
      </c>
      <c r="H6" s="732">
        <v>3.5000000000000003E-2</v>
      </c>
      <c r="I6" s="732">
        <v>0.04</v>
      </c>
      <c r="J6" s="66">
        <v>5.5E-2</v>
      </c>
      <c r="K6" s="1030">
        <f>SUMIF('数据-汇总表'!C$19:C$33,A6,'数据-汇总表'!E$19:E$33)</f>
        <v>1</v>
      </c>
      <c r="L6" s="733">
        <v>2500</v>
      </c>
      <c r="M6" s="67">
        <f t="shared" ref="M6:M14" si="0">ROUND(K6*L6/10000,0)</f>
        <v>0</v>
      </c>
      <c r="N6" s="731">
        <f>N21</f>
        <v>0.8</v>
      </c>
      <c r="O6" s="67" t="str">
        <f>IF($N$5="成新度","——",ROUND(M6*N6,0))</f>
        <v>——</v>
      </c>
      <c r="P6" s="68" t="str">
        <f>IF($N$5="成新度","——",M6-O6)</f>
        <v>——</v>
      </c>
      <c r="Q6" s="734">
        <v>0</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v>
      </c>
      <c r="V6" s="70">
        <v>0.02</v>
      </c>
      <c r="W6" s="70">
        <v>0</v>
      </c>
      <c r="X6" s="1040"/>
      <c r="Y6" s="71">
        <f>N6</f>
        <v>0.8</v>
      </c>
      <c r="Z6" s="72"/>
      <c r="AA6" s="66"/>
      <c r="AB6" s="66"/>
      <c r="AC6" s="1040"/>
      <c r="AD6" s="73"/>
      <c r="AE6" s="1041">
        <f ca="1">IF(AN6="",0,SUMIF(INDIRECT("'"&amp;AN6&amp;"'"&amp;"!E:E"),$AE$5,INDIRECT("'"&amp;AN6&amp;"'"&amp;"!F:F")))</f>
        <v>36</v>
      </c>
      <c r="AF6" s="1348"/>
      <c r="AG6" s="138">
        <f>IF(AF6="",0,AE6-AF6)</f>
        <v>0</v>
      </c>
      <c r="AH6" s="74">
        <v>1</v>
      </c>
      <c r="AI6" s="76">
        <v>12</v>
      </c>
      <c r="AJ6" s="77"/>
      <c r="AK6" s="78">
        <v>0</v>
      </c>
      <c r="AL6" s="79">
        <v>0</v>
      </c>
      <c r="AM6" s="80">
        <v>0</v>
      </c>
      <c r="AN6" s="1715" t="s">
        <v>3390</v>
      </c>
      <c r="AO6" s="52">
        <f ca="1">SUMIF(INDIRECT("'"&amp;AN6&amp;"'"&amp;"!A:A"),"总价",INDIRECT("'"&amp;AN6&amp;"'"&amp;"!B:B"))</f>
        <v>1.8188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v>
      </c>
      <c r="H16" s="90">
        <f>ROUND(SUMPRODUCT(H6:H13,K6:K13)/SUMPRODUCT((H6:H13&gt;0)*(K6:K13)),3)</f>
        <v>3.5000000000000003E-2</v>
      </c>
      <c r="I16" s="91"/>
      <c r="J16" s="91"/>
      <c r="K16" s="92">
        <f>SUM(K6:K15)</f>
        <v>1</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2011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5.5500000000000008E-2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5.5000000000000014E-3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5.0000000000000001E-4</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4" sqref="D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v>
      </c>
      <c r="C5" s="2512">
        <f ca="1">IF(B5=D14,结果表!H102,ROUND(B5*10000/$B$1,0))</f>
        <v>20000</v>
      </c>
      <c r="D5" s="2512" t="e">
        <f ca="1">ROUND(B5*10000/$B$2,0)</f>
        <v>#DIV/0!</v>
      </c>
      <c r="E5" s="2686"/>
      <c r="F5" s="2687"/>
      <c r="G5" s="2687"/>
      <c r="H5" s="2688"/>
      <c r="I5" s="2688"/>
      <c r="J5" s="2688"/>
      <c r="K5" s="2688"/>
    </row>
    <row r="6" spans="1:11" ht="16.5">
      <c r="A6" s="2512" t="s">
        <v>656</v>
      </c>
      <c r="B6" s="2512">
        <f>SUM(G14:G23)</f>
        <v>0</v>
      </c>
      <c r="C6" s="2512">
        <f ca="1">IF(B6=G14,结果表!H108,ROUND(B6*10000/$B$1,0))</f>
        <v>18188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3364</v>
      </c>
      <c r="D10" s="2512" t="s">
        <v>3365</v>
      </c>
      <c r="E10" s="3441"/>
      <c r="F10" s="3445" t="s">
        <v>3366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v>
      </c>
      <c r="C14" s="2518"/>
      <c r="D14" s="2518">
        <f ca="1">结果表!C102</f>
        <v>2</v>
      </c>
      <c r="E14" s="2518">
        <f ca="1">结果表!H102</f>
        <v>18188</v>
      </c>
      <c r="F14" s="2518" t="e">
        <f ca="1">ROUND(D14*10000/C14,0)</f>
        <v>#DIV/0!</v>
      </c>
      <c r="G14" s="2518"/>
      <c r="H14" s="2518"/>
      <c r="I14" s="2518"/>
      <c r="J14" s="2687"/>
      <c r="K14" s="2688"/>
    </row>
    <row r="15" spans="1:11" ht="16.5">
      <c r="A15" s="2517" t="s">
        <v>649</v>
      </c>
      <c r="B15" s="2519">
        <f>B14</f>
        <v>1</v>
      </c>
      <c r="C15" s="2519"/>
      <c r="D15" s="2519">
        <f ca="1">D14</f>
        <v>2</v>
      </c>
      <c r="E15" s="2518">
        <f ca="1">E14</f>
        <v>18188</v>
      </c>
      <c r="F15" s="2518" t="e">
        <f t="shared" ref="F15:F23" ca="1" si="0">ROUND(D15*10000/C15,0)</f>
        <v>#DIV/0!</v>
      </c>
      <c r="G15" s="1331"/>
      <c r="H15" s="1331"/>
      <c r="I15" s="2519"/>
      <c r="J15" s="2687"/>
      <c r="K15" s="2688"/>
    </row>
    <row r="16" spans="1:11" ht="16.5">
      <c r="A16" s="2517" t="s">
        <v>648</v>
      </c>
      <c r="B16" s="2519"/>
      <c r="C16" s="2519"/>
      <c r="D16" s="2519"/>
      <c r="E16" s="2518" t="e">
        <f t="shared" ref="E15: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G33" sqref="G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3390</v>
      </c>
      <c r="D4" s="1756" t="s">
        <v>3390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1</v>
      </c>
      <c r="D14" s="3576">
        <v>1</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1</v>
      </c>
      <c r="D17" s="132">
        <f>SUM(D5:D16)</f>
        <v>1</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v>
      </c>
      <c r="M18" s="302">
        <f>IF(C1="",'数据-汇总表'!E3,SUMIF(项目类型,C1,'数据-汇总表'!E17:E26))</f>
        <v>1</v>
      </c>
    </row>
    <row r="19" spans="1:36" ht="15">
      <c r="A19" s="1761" t="s">
        <v>1290</v>
      </c>
      <c r="B19" s="1762" t="s">
        <v>1291</v>
      </c>
      <c r="C19" s="134">
        <f ca="1">SUMIF(INDIRECT("'"&amp;C4&amp;"'"&amp;"!A:A"),结果表!B19,INDIRECT("'"&amp;C4&amp;"'"&amp;"!B:B"))</f>
        <v>1.8188</v>
      </c>
      <c r="D19" s="135">
        <f ca="1">SUMIF(INDIRECT("'"&amp;D4&amp;"'"&amp;"!A:A"),结果表!B19,INDIRECT("'"&amp;D4&amp;"'"&amp;"!B:B"))</f>
        <v>1.8188</v>
      </c>
      <c r="E19" s="1761" t="s">
        <v>1292</v>
      </c>
      <c r="F19" s="1762" t="s">
        <v>1291</v>
      </c>
      <c r="G19" s="136">
        <f ca="1">ROUND(C19*$C$18+D19*$D$18,0)</f>
        <v>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18188</v>
      </c>
      <c r="D20" s="138">
        <f ca="1">SUMIF(INDIRECT("'"&amp;D4&amp;"'"&amp;"!A:A"),结果表!B20,INDIRECT("'"&amp;D4&amp;"'"&amp;"!B:B"))</f>
        <v>18188</v>
      </c>
      <c r="E20" s="1764"/>
      <c r="F20" s="1026" t="s">
        <v>1295</v>
      </c>
      <c r="G20" s="139">
        <f ca="1">ROUND(C20*$C$18+D20*$D$18,0)</f>
        <v>18188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18188</v>
      </c>
      <c r="D32" s="1775" t="s">
        <v>3394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44961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5.5500000000000008E-2</v>
      </c>
      <c r="G48" s="2549" t="s">
        <v>1339</v>
      </c>
      <c r="H48" s="2550"/>
      <c r="I48" s="1806"/>
      <c r="J48" s="2523">
        <v>3</v>
      </c>
      <c r="K48" s="3603" t="s">
        <v>1340</v>
      </c>
      <c r="L48" s="3603"/>
      <c r="M48" s="3625">
        <f ca="1">H101</f>
        <v>2</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0</v>
      </c>
      <c r="E52" s="2334" t="s">
        <v>1354</v>
      </c>
      <c r="F52" s="2554">
        <f>'数据-取费表'!B41</f>
        <v>5.5500000000000008E-2</v>
      </c>
      <c r="G52" s="2555"/>
      <c r="H52" s="2544"/>
      <c r="I52" s="1807"/>
      <c r="J52" s="2523">
        <v>1</v>
      </c>
      <c r="K52" s="3604" t="s">
        <v>1355</v>
      </c>
      <c r="L52" s="3604"/>
      <c r="M52" s="2525" t="b">
        <f>D48</f>
        <v>0</v>
      </c>
      <c r="N52" s="2523" t="str">
        <f>E48</f>
        <v>销售额×税（费）率</v>
      </c>
      <c r="O52" s="2526">
        <f>F48</f>
        <v>5.5500000000000008E-2</v>
      </c>
    </row>
    <row r="53" spans="1:35" ht="12" customHeight="1">
      <c r="A53" s="2335" t="s">
        <v>1356</v>
      </c>
      <c r="B53" s="3565" t="s">
        <v>2291</v>
      </c>
      <c r="C53" s="3566"/>
      <c r="D53" s="1087">
        <f ca="1">ROUND(D45*'数据-取费表'!B41/(1+'数据-取费表'!C42),0)</f>
        <v>0</v>
      </c>
      <c r="E53" s="2334" t="s">
        <v>1354</v>
      </c>
      <c r="F53" s="2554">
        <f>'数据-取费表'!B41</f>
        <v>5.5500000000000008E-2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0</v>
      </c>
      <c r="E54" s="327" t="s">
        <v>1359</v>
      </c>
      <c r="F54" s="2554">
        <f>'数据-取费表'!B41</f>
        <v>5.5500000000000008E-2</v>
      </c>
      <c r="G54" s="2555"/>
      <c r="H54" s="2556"/>
      <c r="I54" s="1807"/>
      <c r="J54" s="2523">
        <v>3</v>
      </c>
      <c r="K54" s="3604" t="s">
        <v>1360</v>
      </c>
      <c r="L54" s="3604"/>
      <c r="M54" s="2525" t="e">
        <f t="shared" ca="1" si="0"/>
        <v>#DIV/0!</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0</v>
      </c>
      <c r="N55" s="2040" t="str">
        <f>E59</f>
        <v>差额计税</v>
      </c>
      <c r="O55" s="2529">
        <f>F59</f>
        <v>0.01</v>
      </c>
    </row>
    <row r="56" spans="1:35" ht="24.75">
      <c r="A56" s="3554" t="s">
        <v>1363</v>
      </c>
      <c r="B56" s="3555"/>
      <c r="C56" s="3555"/>
      <c r="D56" s="2324" t="e">
        <f ca="1">IF(H56="个人住宅",D57,D58)</f>
        <v>#DIV/0!</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#DIV/0!</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f ca="1">IF(H59="非个人房产","——",IF(H59="个人住宅（满五唯一有凭证）",0,IF(H59="个人其他（无凭证）",ROUND(D45*F59,0),ROUND(C67*F59,0))))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2</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0</v>
      </c>
      <c r="D68" s="2570">
        <f>'数据-取费表'!B41</f>
        <v>5.5500000000000008E-2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5.5000000000000014E-3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5.5000000000000014E-3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收益法 (元)</v>
      </c>
      <c r="D101" s="2586" t="str">
        <f>D4</f>
        <v>收益法 (元)</v>
      </c>
      <c r="E101" s="3626" t="s">
        <v>1431</v>
      </c>
      <c r="F101" s="3583"/>
      <c r="G101" s="1827" t="s">
        <v>1432</v>
      </c>
      <c r="H101" s="2595">
        <f ca="1">H118</f>
        <v>2</v>
      </c>
      <c r="I101" s="129"/>
    </row>
    <row r="102" spans="1:35" ht="18.75" customHeight="1">
      <c r="A102" s="3585" t="s">
        <v>1433</v>
      </c>
      <c r="B102" s="2584" t="s">
        <v>1432</v>
      </c>
      <c r="C102" s="2585">
        <f ca="1">IF(D32="楼面单价",ROUND(C19,0),C19)</f>
        <v>2</v>
      </c>
      <c r="D102" s="2586">
        <f ca="1">IF(D32="楼面单价",ROUND(D19,0),D19)</f>
        <v>2</v>
      </c>
      <c r="E102" s="3626"/>
      <c r="F102" s="3583"/>
      <c r="G102" s="1827" t="s">
        <v>1434</v>
      </c>
      <c r="H102" s="2555">
        <f ca="1">I118</f>
        <v>18188</v>
      </c>
      <c r="I102" s="129"/>
    </row>
    <row r="103" spans="1:35" ht="42.75" customHeight="1">
      <c r="A103" s="3585"/>
      <c r="B103" s="2584" t="s">
        <v>1434</v>
      </c>
      <c r="C103" s="2587">
        <f ca="1">C20</f>
        <v>18188</v>
      </c>
      <c r="D103" s="2588">
        <f ca="1">D20</f>
        <v>18188</v>
      </c>
      <c r="E103" s="3620" t="s">
        <v>1435</v>
      </c>
      <c r="F103" s="3621"/>
      <c r="G103" s="1828" t="s">
        <v>1436</v>
      </c>
      <c r="H103" s="2595">
        <f>IF(D36="正常操作",H104+H105+H106,H105+H106)</f>
        <v>0</v>
      </c>
      <c r="I103" s="129"/>
    </row>
    <row r="104" spans="1:35" ht="18.75" customHeight="1">
      <c r="A104" s="3585" t="s">
        <v>1437</v>
      </c>
      <c r="B104" s="2589" t="s">
        <v>1432</v>
      </c>
      <c r="C104" s="2590">
        <f ca="1">H118</f>
        <v>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18188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v>
      </c>
      <c r="I107" s="129"/>
    </row>
    <row r="108" spans="1:35" ht="18.75" customHeight="1">
      <c r="A108" s="129"/>
      <c r="B108" s="129"/>
      <c r="C108" s="129"/>
      <c r="D108" s="129"/>
      <c r="E108" s="3582"/>
      <c r="F108" s="3583"/>
      <c r="G108" s="1827" t="s">
        <v>1434</v>
      </c>
      <c r="H108" s="2555">
        <f ca="1">IF(H107=H101,H102,ROUND(H107*10000/'数据-汇总表'!E3,0))</f>
        <v>18188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v>
      </c>
      <c r="I118" s="2329">
        <f ca="1">ROUND(IF(D32="楼面单价",C32,H118*10000/B118),0)</f>
        <v>18188</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贰万元整</v>
      </c>
      <c r="I119" s="3595"/>
    </row>
    <row r="120" spans="1:27" ht="18.75" customHeight="1">
      <c r="A120" s="3617" t="str">
        <f>IF(项目基本情况!B9="房地产市场价值","",MID(E103,3,LEN(E103)-2))</f>
        <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
      </c>
      <c r="B122" s="3584"/>
      <c r="C122" s="3584"/>
      <c r="D122" s="3617">
        <f ca="1">H107</f>
        <v>2</v>
      </c>
      <c r="E122" s="3618"/>
      <c r="F122" s="3618"/>
      <c r="G122" s="3618"/>
      <c r="H122" s="3618"/>
      <c r="I122" s="3619"/>
      <c r="AA122" s="725"/>
    </row>
    <row r="123" spans="1:27" ht="18.75" customHeight="1">
      <c r="A123" s="3553" t="s">
        <v>1452</v>
      </c>
      <c r="B123" s="3553"/>
      <c r="C123" s="3553"/>
      <c r="D123" s="3593" t="str">
        <f ca="1">NUMBERSTRING(INT(D122*10000),2)&amp;"元整"</f>
        <v>贰万元整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5.2900000000000003E-2</v>
      </c>
      <c r="D48" s="236" t="s">
        <v>1539</v>
      </c>
      <c r="E48" s="232"/>
      <c r="F48" s="237">
        <f>F30</f>
        <v>5.5500000000000008E-2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200</v>
      </c>
      <c r="D10" s="845">
        <f ca="1">IF(B1="",'数据-汇总表'!E6,IF(INDIRECT("'数据-取费表'!c"&amp;$G$1)="住宅",INDIRECT("'数据-取费表'!s"&amp;$G$1),INDIRECT("'数据-取费表'!k"&amp;$G$1)+INDIRECT("'数据-取费表'!s"&amp;$G$1)))</f>
        <v>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200</v>
      </c>
      <c r="D19" s="849">
        <f ca="1">D9+D10</f>
        <v>1</v>
      </c>
      <c r="E19" s="211">
        <f>'数据-取费表'!B31</f>
        <v>200</v>
      </c>
      <c r="F19" s="231"/>
      <c r="G19" s="1856"/>
    </row>
    <row r="20" spans="1:7" s="214" customFormat="1" ht="13.5" customHeight="1">
      <c r="A20" s="255" t="s">
        <v>1574</v>
      </c>
      <c r="B20" s="210" t="s">
        <v>1575</v>
      </c>
      <c r="C20" s="232">
        <f ca="1">ROUND((C5+C19)*F20,0)</f>
        <v>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v>
      </c>
      <c r="D22" s="235">
        <f ca="1">C26</f>
        <v>4.0000000000000002E-4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v>
      </c>
      <c r="D34" s="217"/>
      <c r="E34" s="220"/>
      <c r="F34" s="257"/>
      <c r="G34" s="219"/>
    </row>
    <row r="35" spans="1:7" ht="13.5" customHeight="1">
      <c r="A35" s="780" t="s">
        <v>351</v>
      </c>
      <c r="B35" s="215" t="s">
        <v>1527</v>
      </c>
      <c r="C35" s="220">
        <f ca="1">ROUND(C34*F35,0)</f>
        <v>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200</v>
      </c>
      <c r="D37" s="217">
        <f ca="1">D19</f>
        <v>1</v>
      </c>
      <c r="E37" s="249">
        <f>'数据-取费表'!B35</f>
        <v>200</v>
      </c>
      <c r="F37" s="259"/>
      <c r="G37" s="261"/>
    </row>
    <row r="38" spans="1:7" ht="13.5" customHeight="1">
      <c r="A38" s="780" t="s">
        <v>354</v>
      </c>
      <c r="B38" s="215" t="s">
        <v>1533</v>
      </c>
      <c r="C38" s="220">
        <f ca="1">ROUND(C34*F38,0)</f>
        <v>38</v>
      </c>
      <c r="D38" s="220"/>
      <c r="E38" s="220"/>
      <c r="F38" s="259">
        <f>'数据-取费表'!B36</f>
        <v>1.4999999999999999E-2</v>
      </c>
      <c r="G38" s="219" t="s">
        <v>1528</v>
      </c>
    </row>
    <row r="39" spans="1:7" s="214" customFormat="1" ht="13.5" customHeight="1">
      <c r="A39" s="255" t="s">
        <v>1534</v>
      </c>
      <c r="B39" s="210" t="s">
        <v>1535</v>
      </c>
      <c r="C39" s="232">
        <f ca="1">ROUND(C33*F20,0)</f>
        <v>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104</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v>
      </c>
      <c r="D42" s="238"/>
      <c r="E42" s="238"/>
      <c r="F42" s="239"/>
      <c r="G42" s="3633" t="s">
        <v>1591</v>
      </c>
    </row>
    <row r="43" spans="1:7" ht="13.5" customHeight="1">
      <c r="A43" s="780" t="s">
        <v>347</v>
      </c>
      <c r="B43" s="215" t="s">
        <v>1545</v>
      </c>
      <c r="C43" s="238">
        <f ca="1">ROUND(IF('数据-取费表'!B22&lt;=1,C39*F22*'数据-取费表'!B20/2,C39*(POWER((1+F22),'数据-取费表'!B20/2)-1)),0)</f>
        <v>1</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5.2900000000000003E-2</v>
      </c>
      <c r="D48" s="236" t="s">
        <v>1539</v>
      </c>
      <c r="E48" s="232"/>
      <c r="F48" s="237">
        <f>F30</f>
        <v>5.5500000000000008E-2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4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5.5500000000000008E-2</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spans="8:8" ht="12.75" customHeight="1"/>
    <row r="44" spans="8:8">
      <c r="H44" s="781" t="s">
        <v>3384</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5.5500000000000008E-2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16" sqref="A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1.8188</v>
      </c>
      <c r="C2" s="1387" t="s">
        <v>879</v>
      </c>
      <c r="D2" s="1471">
        <f ca="1">C40+J29+L46</f>
        <v>18188</v>
      </c>
      <c r="E2" s="1388" t="s">
        <v>880</v>
      </c>
      <c r="F2" s="1389"/>
      <c r="G2" s="2706"/>
      <c r="H2" s="2695"/>
      <c r="I2" s="2695"/>
      <c r="J2" s="2695"/>
      <c r="K2" s="2696"/>
      <c r="L2" s="2695"/>
      <c r="M2" s="2695"/>
    </row>
    <row r="3" spans="1:37" ht="18" customHeight="1" thickBot="1">
      <c r="A3" s="1390" t="s">
        <v>881</v>
      </c>
      <c r="B3" s="1391">
        <f ca="1">IF(ISERROR(D2/F43),0,ROUND(D2/F43,0))</f>
        <v>18188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720</v>
      </c>
      <c r="D6" s="155" t="s">
        <v>2106</v>
      </c>
      <c r="E6" s="302" t="s">
        <v>696</v>
      </c>
      <c r="F6" s="303">
        <f ca="1">INDIRECT("'数据-取费表'!u"&amp;$G$1)</f>
        <v>60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12</v>
      </c>
      <c r="G8" s="1384"/>
      <c r="H8" s="304"/>
      <c r="I8" s="3639"/>
      <c r="J8" s="306"/>
      <c r="K8" s="307"/>
      <c r="L8" s="302" t="s">
        <v>698</v>
      </c>
      <c r="M8" s="303">
        <f ca="1">INDIRECT("'数据-取费表'!ai"&amp;$G$1)</f>
        <v>12</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2515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v>
      </c>
      <c r="D14" s="1345" t="s">
        <v>708</v>
      </c>
      <c r="E14" s="1342"/>
      <c r="F14" s="319"/>
      <c r="G14" s="1384"/>
      <c r="H14" s="982" t="s">
        <v>398</v>
      </c>
      <c r="I14" s="302" t="s">
        <v>709</v>
      </c>
      <c r="J14" s="21">
        <f ca="1">C29</f>
        <v>3144</v>
      </c>
      <c r="K14" s="12"/>
      <c r="L14" s="807"/>
      <c r="M14" s="808"/>
    </row>
    <row r="15" spans="1:37" s="1397" customFormat="1" ht="18" customHeight="1" thickBot="1">
      <c r="A15" s="982" t="s">
        <v>399</v>
      </c>
      <c r="B15" s="302" t="s">
        <v>710</v>
      </c>
      <c r="C15" s="21">
        <f ca="1">ROUND(C14*F15,0)</f>
        <v>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2813</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28</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104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3144</v>
      </c>
      <c r="D29" s="1092"/>
      <c r="E29" s="1090"/>
      <c r="F29" s="1093"/>
      <c r="G29" s="1396"/>
      <c r="H29" s="334" t="s">
        <v>396</v>
      </c>
      <c r="I29" s="335" t="s">
        <v>768</v>
      </c>
      <c r="J29" s="336">
        <f ca="1">ROUND(J26/(1+F40)^F41,0)</f>
        <v>0</v>
      </c>
      <c r="K29" s="337" t="s">
        <v>769</v>
      </c>
      <c r="L29" s="338"/>
      <c r="M29" s="339">
        <f ca="1">INDIRECT("'数据-取费表'!k"&amp;$G$1)</f>
        <v>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38</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600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18188</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v>48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18188</v>
      </c>
      <c r="D43" s="337" t="s">
        <v>777</v>
      </c>
      <c r="E43" s="338" t="s">
        <v>778</v>
      </c>
      <c r="F43" s="339">
        <f ca="1">INDIRECT("'数据-取费表'!k"&amp;$G$1)</f>
        <v>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3360</v>
      </c>
      <c r="B45" s="1400"/>
      <c r="C45" s="1472">
        <f ca="1">ROUND((C68-C40)/10000,4)</f>
        <v>-1.8188</v>
      </c>
      <c r="D45" s="3432" t="s">
        <v>3361</v>
      </c>
      <c r="E45" s="1400"/>
      <c r="F45" s="1400"/>
      <c r="O45" s="1403" t="s">
        <v>808</v>
      </c>
      <c r="P45" s="1461"/>
      <c r="Q45" s="1461"/>
      <c r="R45" s="1461"/>
    </row>
    <row r="46" spans="1:18" s="1384" customFormat="1" ht="13.5" thickBot="1">
      <c r="A46" s="1404" t="s">
        <v>809</v>
      </c>
      <c r="C46" s="1405">
        <f ca="1">ROUND(C45,0)</f>
        <v>-2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70</v>
      </c>
      <c r="M47" s="1380" t="str">
        <f>IF(ISNUMBER(FIND("住宅",C1)),"住宅","非住宅")</f>
        <v>非住宅</v>
      </c>
      <c r="O47" s="1418" t="s">
        <v>403</v>
      </c>
      <c r="P47" s="1419" t="s">
        <v>817</v>
      </c>
      <c r="Q47" s="1420">
        <f ca="1">C40+J29</f>
        <v>18188</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3144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10661</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v>
      </c>
      <c r="K53" s="3636" t="s">
        <v>837</v>
      </c>
      <c r="L53" s="3637"/>
      <c r="O53" s="1418" t="s">
        <v>409</v>
      </c>
      <c r="P53" s="1419" t="s">
        <v>838</v>
      </c>
      <c r="Q53" s="1420">
        <f ca="1">Q47+Q48</f>
        <v>18188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2515</v>
      </c>
      <c r="D56" s="1447"/>
      <c r="E56" s="1448"/>
      <c r="F56" s="1440"/>
      <c r="I56" s="1449" t="s">
        <v>842</v>
      </c>
      <c r="J56" s="1450" t="s">
        <v>3385</v>
      </c>
      <c r="K56" s="1421" t="s">
        <v>843</v>
      </c>
      <c r="L56" s="1424" t="str">
        <f ca="1">IF(L48&lt;J51,"——",L48-J51)</f>
        <v>——</v>
      </c>
      <c r="O56" s="1418" t="s">
        <v>403</v>
      </c>
      <c r="P56" s="1419" t="s">
        <v>817</v>
      </c>
      <c r="Q56" s="1420">
        <f ca="1">C40+J29</f>
        <v>18188</v>
      </c>
      <c r="R56" s="1420" t="s">
        <v>818</v>
      </c>
    </row>
    <row r="57" spans="1:18" s="1384" customFormat="1" ht="24.75" thickBot="1">
      <c r="A57" s="1451"/>
      <c r="B57" s="950" t="s">
        <v>767</v>
      </c>
      <c r="C57" s="238">
        <f ca="1">C29</f>
        <v>3144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5.5500000000000008E-2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f ca="1">C40+J29</f>
        <v>18188</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10661</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462</v>
      </c>
      <c r="R68" s="1420" t="s">
        <v>414</v>
      </c>
    </row>
    <row r="69" spans="1:18" s="1384" customFormat="1" ht="13.5" thickBot="1">
      <c r="A69" s="951"/>
      <c r="B69" s="952"/>
      <c r="C69" s="306"/>
      <c r="D69" s="970" t="s">
        <v>762</v>
      </c>
      <c r="E69" s="950" t="s">
        <v>763</v>
      </c>
      <c r="F69" s="333">
        <f>F41</f>
        <v>48</v>
      </c>
      <c r="O69" s="1428" t="s">
        <v>411</v>
      </c>
      <c r="P69" s="1467" t="s">
        <v>872</v>
      </c>
      <c r="Q69" s="1420">
        <f ca="1">C39</f>
        <v>600</v>
      </c>
      <c r="R69" s="1420" t="s">
        <v>818</v>
      </c>
    </row>
    <row r="70" spans="1:18" s="1384" customFormat="1" ht="13.5" thickBot="1">
      <c r="A70" s="954"/>
      <c r="B70" s="955"/>
      <c r="C70" s="310"/>
      <c r="D70" s="966"/>
      <c r="E70" s="950" t="s">
        <v>766</v>
      </c>
      <c r="F70" s="1054"/>
      <c r="O70" s="1428" t="s">
        <v>412</v>
      </c>
      <c r="P70" s="1467" t="s">
        <v>873</v>
      </c>
      <c r="Q70" s="1420">
        <f ca="1">C13</f>
        <v>2515</v>
      </c>
      <c r="R70" s="1420" t="s">
        <v>818</v>
      </c>
    </row>
    <row r="71" spans="1:18" s="1384" customFormat="1" ht="13.5" thickBot="1">
      <c r="A71" s="971" t="s">
        <v>396</v>
      </c>
      <c r="B71" s="972" t="s">
        <v>776</v>
      </c>
      <c r="C71" s="336">
        <f ca="1">ROUND(C68/F71,0)</f>
        <v>0</v>
      </c>
      <c r="D71" s="973" t="s">
        <v>777</v>
      </c>
      <c r="E71" s="974" t="s">
        <v>778</v>
      </c>
      <c r="F71" s="339">
        <f ca="1">F43</f>
        <v>1</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v>
      </c>
      <c r="D75" s="1384"/>
      <c r="E75" s="1384"/>
      <c r="F75" s="1384"/>
      <c r="K75" s="1402"/>
      <c r="L75" s="1384"/>
      <c r="O75" s="1418" t="s">
        <v>409</v>
      </c>
      <c r="P75" s="1419" t="s">
        <v>838</v>
      </c>
      <c r="Q75" s="1420">
        <f ca="1">Q65+Q66</f>
        <v>18188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0.86199999999999999</v>
      </c>
    </row>
    <row r="83" spans="2:3">
      <c r="B83" s="273" t="s">
        <v>803</v>
      </c>
      <c r="C83" s="274">
        <f ca="1">ROUND(C13/C40,3)</f>
        <v>0.13800000000000001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3367</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1.8188</v>
      </c>
      <c r="C2" s="1872" t="s">
        <v>1651</v>
      </c>
      <c r="D2" s="1873" t="s">
        <v>1652</v>
      </c>
      <c r="E2" s="2607">
        <f>SUM(E6:E13)</f>
        <v>1</v>
      </c>
      <c r="F2" s="2707"/>
      <c r="G2" s="1489"/>
      <c r="H2" s="1489"/>
      <c r="I2" s="1489"/>
      <c r="J2" s="1489"/>
      <c r="K2" s="1489"/>
      <c r="L2" s="1489"/>
      <c r="M2" s="1489"/>
      <c r="N2" s="1489"/>
      <c r="O2" s="1489"/>
      <c r="P2" s="1489"/>
      <c r="Q2" s="1489"/>
      <c r="R2" s="1489"/>
      <c r="S2" s="1489"/>
    </row>
    <row r="3" spans="1:22" ht="15.75">
      <c r="A3" s="1870" t="s">
        <v>686</v>
      </c>
      <c r="B3" s="2601">
        <f ca="1">ROUND(B2*10000/E2,0)</f>
        <v>18188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1.8188</v>
      </c>
      <c r="C6" s="1872" t="s">
        <v>1651</v>
      </c>
      <c r="D6" s="2709"/>
      <c r="E6" s="2606">
        <f>IF(OR(A6=0,F6="否"),0,'数据-取费表'!K6+'数据-取费表'!S6)</f>
        <v>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3246</v>
      </c>
      <c r="B12" s="3305" t="s">
        <v>3247</v>
      </c>
      <c r="C12" s="3306"/>
      <c r="D12" s="3307" t="s">
        <v>3248</v>
      </c>
      <c r="E12" s="3308" t="s">
        <v>3249</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3250</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3251</v>
      </c>
      <c r="G14" s="3312" t="s">
        <v>3251</v>
      </c>
      <c r="H14" s="3312" t="s">
        <v>3251</v>
      </c>
      <c r="I14" s="3312" t="s">
        <v>3251</v>
      </c>
      <c r="J14" s="3312" t="s">
        <v>3251</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3252</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3256</v>
      </c>
      <c r="E18" s="3329"/>
      <c r="F18" s="3324" t="s">
        <v>3259</v>
      </c>
      <c r="G18" s="3328">
        <f>ROUND(1-(1/(POWER(1+G24,E18))),4)</f>
        <v>0</v>
      </c>
      <c r="H18" s="3324" t="s">
        <v>3261</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3257</v>
      </c>
      <c r="E19" s="3338"/>
      <c r="F19" s="3339" t="s">
        <v>3260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3262</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44961</v>
      </c>
      <c r="H23" s="3343" t="s">
        <v>3264</v>
      </c>
      <c r="I23" s="3344" t="str">
        <f>IF(H23="季度增幅（自定义）",SUMIF(N25:N28,E2,O25:O28),"")</f>
        <v/>
      </c>
      <c r="J23" s="3446" t="s">
        <v>3263</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3268</v>
      </c>
      <c r="G33" s="2099"/>
      <c r="H33" s="2099"/>
      <c r="I33" s="2099"/>
      <c r="J33" s="2100"/>
      <c r="K33" s="1119"/>
      <c r="L33" s="3349" t="s">
        <v>3271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3273</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3274</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3302</v>
      </c>
      <c r="B103" s="3751"/>
      <c r="C103" s="3751"/>
      <c r="D103" s="3751"/>
      <c r="E103" s="3751"/>
      <c r="F103" s="3751"/>
      <c r="G103" s="3751"/>
      <c r="H103" s="3751"/>
      <c r="I103" s="3751"/>
      <c r="J103" s="3751"/>
      <c r="K103" s="3390"/>
      <c r="L103" s="3390"/>
      <c r="M103" s="3390"/>
      <c r="N103" s="3390"/>
    </row>
    <row r="104" spans="1:14">
      <c r="A104" s="3752" t="s">
        <v>3303</v>
      </c>
      <c r="B104" s="3752" t="s">
        <v>3304</v>
      </c>
      <c r="C104" s="3391" t="s">
        <v>3305</v>
      </c>
      <c r="D104" s="3392"/>
      <c r="E104" s="3392"/>
      <c r="F104" s="3392"/>
      <c r="G104" s="3392"/>
      <c r="H104" s="3392"/>
      <c r="I104" s="3392"/>
      <c r="J104" s="3393"/>
      <c r="K104" s="3394"/>
      <c r="L104" s="3394"/>
      <c r="M104" s="3394"/>
      <c r="N104" s="3394"/>
    </row>
    <row r="105" spans="1:14">
      <c r="A105" s="3752"/>
      <c r="B105" s="3752"/>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38"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3319</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2000" t="s">
        <v>3322</v>
      </c>
      <c r="F116" s="3402">
        <f>E2</f>
        <v>0</v>
      </c>
      <c r="G116" s="2000" t="s">
        <v>3323</v>
      </c>
      <c r="H116" s="3402">
        <f>G2</f>
        <v>0</v>
      </c>
      <c r="I116" s="2000"/>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1540</v>
      </c>
      <c r="D22" s="235">
        <f ca="1">C26</f>
        <v>4.0000000000000002E-4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5.5500000000000008E-2</v>
      </c>
      <c r="D30" s="236" t="s">
        <v>100</v>
      </c>
      <c r="E30" s="241"/>
      <c r="F30" s="237">
        <f>'数据-取费表'!B41</f>
        <v>5.5500000000000008E-2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5.5500000000000008E-2</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v>
      </c>
      <c r="E5" s="1491"/>
    </row>
    <row r="6" spans="1:5" ht="15.75">
      <c r="A6" s="1491"/>
      <c r="B6" s="3452"/>
      <c r="C6" s="1494" t="s">
        <v>911</v>
      </c>
      <c r="D6" s="850" t="str">
        <f ca="1">NUMBERSTRING(INT(D5*10000),2)&amp;"元整"</f>
        <v>贰万元整</v>
      </c>
      <c r="E6" s="1491"/>
    </row>
    <row r="7" spans="1:5" ht="15.75">
      <c r="A7" s="1491"/>
      <c r="B7" s="3457"/>
      <c r="C7" s="1495" t="s">
        <v>912</v>
      </c>
      <c r="D7" s="851">
        <f ca="1">结果表!H102</f>
        <v>18188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v>
      </c>
      <c r="E13" s="1491"/>
    </row>
    <row r="14" spans="1:5" ht="15.75">
      <c r="A14" s="1491"/>
      <c r="B14" s="3452"/>
      <c r="C14" s="1494" t="s">
        <v>911</v>
      </c>
      <c r="D14" s="850" t="str">
        <f ca="1">NUMBERSTRING(INT(D13*10000),2)&amp;"元整"</f>
        <v>贰万元整</v>
      </c>
      <c r="E14" s="1491"/>
    </row>
    <row r="15" spans="1:5" ht="15">
      <c r="A15" s="1491"/>
      <c r="B15" s="3457"/>
      <c r="C15" s="1495" t="s">
        <v>921</v>
      </c>
      <c r="D15" s="859">
        <f ca="1">结果表!H108</f>
        <v>18188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2847</v>
      </c>
      <c r="B1" s="3771"/>
      <c r="C1" s="3771"/>
      <c r="D1" s="3771"/>
      <c r="E1" s="3771"/>
      <c r="F1" s="3771"/>
      <c r="G1" s="3772"/>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69" t="s">
        <v>2874</v>
      </c>
      <c r="B3" s="3230"/>
      <c r="C3" s="3231" t="s">
        <v>2815</v>
      </c>
      <c r="D3" s="3231" t="s">
        <v>2875</v>
      </c>
      <c r="E3" s="3231" t="s">
        <v>2817</v>
      </c>
      <c r="F3" s="3231" t="s">
        <v>2876</v>
      </c>
      <c r="G3" s="3231" t="s">
        <v>2635</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70"/>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3189</v>
      </c>
      <c r="B1" s="3773"/>
    </row>
    <row r="2" spans="1:7" ht="14.25" thickBot="1">
      <c r="A2" s="3255"/>
      <c r="B2" s="3255"/>
    </row>
    <row r="3" spans="1:7" ht="14.25" thickBot="1">
      <c r="A3" s="3255"/>
      <c r="B3" s="3255"/>
      <c r="C3" s="3256" t="s">
        <v>2815</v>
      </c>
      <c r="D3" s="3256" t="s">
        <v>2875</v>
      </c>
      <c r="E3" s="3256" t="s">
        <v>2817</v>
      </c>
      <c r="F3" s="3256" t="s">
        <v>2876</v>
      </c>
      <c r="G3" s="3256" t="s">
        <v>2635</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3240</v>
      </c>
      <c r="B1" s="3774"/>
      <c r="C1" s="3774"/>
      <c r="D1" s="3774"/>
      <c r="E1" s="3774"/>
      <c r="F1" s="3775"/>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44961</v>
      </c>
      <c r="B1" s="3210" t="s">
        <v>2846</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3377</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2824</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2825</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3372</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3363</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2826</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2827</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2828</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2829</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2830</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3375</v>
      </c>
    </row>
    <row r="19" spans="1:30" s="3009" customFormat="1">
      <c r="I19" s="3208" t="s">
        <v>2831</v>
      </c>
    </row>
    <row r="20" spans="1:30" s="3009" customFormat="1"/>
    <row r="21" spans="1:30" s="3209" customFormat="1" ht="12.75">
      <c r="B21" s="3210" t="s">
        <v>2832</v>
      </c>
      <c r="C21" s="3211"/>
      <c r="D21" s="3211"/>
      <c r="E21" s="3211"/>
      <c r="F21" s="3211"/>
      <c r="G21" s="3211"/>
      <c r="H21" s="3211"/>
      <c r="I21" s="3211"/>
      <c r="J21" s="3165"/>
      <c r="K21" s="3211" t="s">
        <v>2833</v>
      </c>
      <c r="L21" s="3211"/>
      <c r="M21" s="3211"/>
      <c r="N21" s="3211"/>
      <c r="O21" s="3211"/>
      <c r="P21" s="3211"/>
      <c r="Q21" s="3165"/>
      <c r="R21" s="3776" t="s">
        <v>2834</v>
      </c>
      <c r="S21" s="3777"/>
      <c r="T21" s="3777"/>
      <c r="U21" s="3777"/>
      <c r="V21" s="3777"/>
      <c r="W21" s="3777"/>
      <c r="X21" s="3165"/>
      <c r="Y21" s="3776" t="s">
        <v>2835</v>
      </c>
      <c r="Z21" s="3777"/>
      <c r="AA21" s="3777"/>
      <c r="AB21" s="3777"/>
      <c r="AC21" s="3777"/>
      <c r="AD21" s="3777"/>
    </row>
    <row r="22" spans="1:30" s="3143" customFormat="1" ht="14.25" thickBot="1">
      <c r="B22" s="3144"/>
      <c r="C22" s="3145"/>
      <c r="D22" s="3146" t="s">
        <v>2836</v>
      </c>
      <c r="E22" s="3147" t="s">
        <v>2837</v>
      </c>
      <c r="F22" s="3147" t="s">
        <v>2838</v>
      </c>
      <c r="G22" s="3147" t="s">
        <v>2839</v>
      </c>
      <c r="H22" s="3147"/>
      <c r="I22" s="3147" t="s">
        <v>2840</v>
      </c>
      <c r="J22" s="3148"/>
      <c r="K22" s="3146" t="s">
        <v>2836</v>
      </c>
      <c r="L22" s="3147" t="s">
        <v>2837</v>
      </c>
      <c r="M22" s="3147" t="s">
        <v>2838</v>
      </c>
      <c r="N22" s="3147" t="s">
        <v>2839</v>
      </c>
      <c r="O22" s="3147"/>
      <c r="P22" s="3147" t="s">
        <v>2840</v>
      </c>
      <c r="Q22" s="3148"/>
      <c r="R22" s="3146" t="s">
        <v>2836</v>
      </c>
      <c r="S22" s="3147" t="s">
        <v>2837</v>
      </c>
      <c r="T22" s="3147" t="s">
        <v>2838</v>
      </c>
      <c r="U22" s="3147" t="s">
        <v>2839</v>
      </c>
      <c r="V22" s="3147"/>
      <c r="W22" s="3147" t="s">
        <v>2840</v>
      </c>
      <c r="X22" s="3148"/>
      <c r="Y22" s="3146" t="s">
        <v>2836</v>
      </c>
      <c r="Z22" s="3147" t="s">
        <v>2837</v>
      </c>
      <c r="AA22" s="3147" t="s">
        <v>2838</v>
      </c>
      <c r="AB22" s="3147" t="s">
        <v>2839</v>
      </c>
      <c r="AC22" s="3147"/>
      <c r="AD22" s="3147" t="s">
        <v>2840</v>
      </c>
    </row>
    <row r="23" spans="1:30" s="3161" customFormat="1" ht="12.75">
      <c r="A23" s="3149" t="s">
        <v>2841</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3377</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2824</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3373</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3374</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3363</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2842</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2843</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2844</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2845</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2830</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v>
      </c>
      <c r="C4" s="854">
        <f>项目基本情况!C18</f>
        <v>0</v>
      </c>
      <c r="D4" s="854" t="e">
        <f ca="1">结果表!D118</f>
        <v>#REF!</v>
      </c>
      <c r="E4" s="854" t="e">
        <f ca="1">结果表!E118</f>
        <v>#REF!</v>
      </c>
      <c r="F4" s="854" t="e">
        <f ca="1">结果表!F118</f>
        <v>#REF!</v>
      </c>
      <c r="G4" s="854" t="e">
        <f ca="1">结果表!G118</f>
        <v>#REF!</v>
      </c>
      <c r="H4" s="854">
        <f ca="1">结果表!H118</f>
        <v>2</v>
      </c>
      <c r="I4" s="854">
        <f ca="1">结果表!I118</f>
        <v>18188</v>
      </c>
    </row>
    <row r="5" spans="1:9" ht="30" customHeight="1">
      <c r="A5" s="3464" t="s">
        <v>927</v>
      </c>
      <c r="B5" s="3464"/>
      <c r="C5" s="3464"/>
      <c r="D5" s="3464" t="e">
        <f ca="1">结果表!D119</f>
        <v>#REF!</v>
      </c>
      <c r="E5" s="3464"/>
      <c r="F5" s="3464" t="e">
        <f ca="1">结果表!F119</f>
        <v>#REF!</v>
      </c>
      <c r="G5" s="3464"/>
      <c r="H5" s="3464" t="str">
        <f ca="1">结果表!H119</f>
        <v>贰万元整</v>
      </c>
      <c r="I5" s="3464"/>
    </row>
    <row r="6" spans="1:9" ht="15.75">
      <c r="A6" s="3463" t="str">
        <f>结果表!A120</f>
        <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
      </c>
      <c r="B8" s="3463"/>
      <c r="C8" s="3463"/>
      <c r="D8" s="3463">
        <f ca="1">结果表!D122</f>
        <v>2</v>
      </c>
      <c r="E8" s="3463"/>
      <c r="F8" s="3463"/>
      <c r="G8" s="3463"/>
      <c r="H8" s="3463"/>
      <c r="I8" s="3463"/>
    </row>
    <row r="9" spans="1:9" ht="15">
      <c r="A9" s="3464" t="s">
        <v>927</v>
      </c>
      <c r="B9" s="3464"/>
      <c r="C9" s="3464"/>
      <c r="D9" s="3464" t="str">
        <f ca="1">结果表!D123</f>
        <v>贰万元整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2023-02-24T05:24:49Z</dcterms:modified>
</cp:coreProperties>
</file>