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N6" i="1"/>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B9" i="76"/>
  <c r="F38" i="67"/>
  <c r="M23" i="67"/>
  <c r="D3" i="73"/>
  <c r="F6" i="67"/>
  <c r="L48" i="15"/>
  <c r="M29" i="67"/>
  <c r="F26" i="15"/>
  <c r="M9" i="67"/>
  <c r="M26" i="67"/>
  <c r="E8" i="76"/>
  <c r="D35" i="9"/>
  <c r="D5" i="73"/>
  <c r="F36" i="15"/>
  <c r="AO13" i="1"/>
  <c r="J15" i="15"/>
  <c r="E13" i="76"/>
  <c r="M22" i="15"/>
  <c r="F6" i="15"/>
  <c r="F40" i="67"/>
  <c r="J15" i="67"/>
  <c r="F8" i="67"/>
  <c r="D34" i="9"/>
  <c r="F40" i="15"/>
  <c r="F43" i="67"/>
  <c r="E2" i="68"/>
  <c r="B10" i="76"/>
  <c r="C76" i="67"/>
  <c r="L48" i="67"/>
  <c r="L47" i="67"/>
  <c r="E12" i="76"/>
  <c r="F9" i="15"/>
  <c r="F42" i="15"/>
  <c r="D7" i="73"/>
  <c r="F4" i="73"/>
  <c r="E11" i="76"/>
  <c r="F9" i="67"/>
  <c r="B8" i="76"/>
  <c r="M26" i="15"/>
  <c r="F13" i="15"/>
  <c r="M23" i="15"/>
  <c r="B13" i="76"/>
  <c r="F26" i="67"/>
  <c r="F7" i="67"/>
  <c r="M22" i="67"/>
  <c r="F16" i="15"/>
  <c r="F38" i="15"/>
  <c r="M24" i="15"/>
  <c r="F3" i="73"/>
  <c r="M9" i="15"/>
  <c r="F5" i="73"/>
  <c r="M29" i="15"/>
  <c r="F7" i="73"/>
  <c r="L47" i="15"/>
  <c r="B12" i="76"/>
  <c r="M6" i="15"/>
  <c r="B11" i="76"/>
  <c r="M24" i="67"/>
  <c r="E9" i="76"/>
  <c r="F6" i="73"/>
  <c r="F42" i="67"/>
  <c r="F36" i="67"/>
  <c r="B7" i="76"/>
  <c r="F43" i="15"/>
  <c r="F37" i="67"/>
  <c r="M28" i="67"/>
  <c r="M8" i="15"/>
  <c r="M28" i="15"/>
  <c r="F37" i="15"/>
  <c r="M6" i="67"/>
  <c r="E10" i="76"/>
  <c r="F20" i="31"/>
  <c r="E2" i="69"/>
  <c r="F7" i="15"/>
  <c r="E7" i="76"/>
  <c r="C76" i="15"/>
  <c r="F16" i="67"/>
  <c r="F13" i="67"/>
  <c r="M8" i="67"/>
  <c r="F8" i="15"/>
  <c r="I7" i="21" l="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38" i="3"/>
  <c r="E128" i="3"/>
  <c r="E120" i="3"/>
  <c r="E330" i="3"/>
  <c r="E437" i="3"/>
  <c r="E424" i="3"/>
  <c r="AE6" i="3"/>
  <c r="E496"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D4" i="73"/>
  <c r="G1" i="73"/>
  <c r="D6" i="73"/>
  <c r="E480" i="3" l="1"/>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29" i="3"/>
  <c r="E344" i="3"/>
  <c r="E481" i="3"/>
  <c r="Q6" i="3"/>
  <c r="E177" i="3"/>
  <c r="E262" i="3"/>
  <c r="E434" i="3"/>
  <c r="E156" i="3"/>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AB33" i="21" l="1"/>
  <c r="U33" i="21"/>
  <c r="AC33" i="21"/>
  <c r="W33" i="21"/>
  <c r="AA33" i="21"/>
  <c r="S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C19" i="9"/>
  <c r="D19" i="9"/>
  <c r="D2" i="37"/>
  <c r="D2" i="35"/>
  <c r="D14" i="74" l="1"/>
  <c r="D102" i="9"/>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C20" i="9"/>
  <c r="AO11" i="1"/>
  <c r="AO7" i="1"/>
  <c r="AO10" i="1"/>
  <c r="D20" i="9"/>
  <c r="AO8" i="1"/>
  <c r="AO6" i="1"/>
  <c r="AO9" i="1"/>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F118" i="9"/>
  <c r="C105" i="9"/>
  <c r="E118" i="9"/>
  <c r="F14" i="74" l="1"/>
  <c r="E14" i="74"/>
  <c r="B5" i="74"/>
  <c r="D5" i="74" s="1"/>
  <c r="D118" i="9"/>
  <c r="E4" i="52"/>
  <c r="B48" i="72" s="1"/>
  <c r="F4" i="52"/>
  <c r="B51" i="72" s="1"/>
  <c r="F119" i="9"/>
  <c r="F5" i="52" s="1"/>
  <c r="B53" i="72" s="1"/>
  <c r="D7" i="53"/>
  <c r="B21" i="72" s="1"/>
  <c r="H4" i="52"/>
  <c r="C104" i="9"/>
  <c r="H119" i="9"/>
  <c r="H5" i="52" s="1"/>
  <c r="H101" i="9"/>
  <c r="C5" i="74" l="1"/>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79" i="9"/>
  <c r="C68" i="9"/>
  <c r="D54" i="9" s="1"/>
  <c r="D59" i="9"/>
  <c r="M55" i="9" s="1"/>
  <c r="C6" i="74"/>
  <c r="D15" i="53"/>
  <c r="B31" i="72" s="1"/>
  <c r="C96" i="9"/>
  <c r="E96" i="9" s="1"/>
  <c r="E97" i="9"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<sst xmlns="http://schemas.openxmlformats.org/spreadsheetml/2006/main" count="7816" uniqueCount="3416">
  <si>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</si>
  <si>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</si>
  <si>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</si>
  <si>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</si>
  <si>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</si>
  <si>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</si>
  <si>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</si>
  <si>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</si>
  <si>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</si>
  <si>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</si>
  <si>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</si>
  <si>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</si>
  <si>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</si>
  <si>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</si>
  <si>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</si>
  <si>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</si>
  <si>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</si>
  <si>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</si>
  <si>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</si>
  <si>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</si>
  <si>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</si>
  <si>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</si>
  <si>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</si>
  <si>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</si>
  <si>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</si>
  <si>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</si>
  <si>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</si>
  <si>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</si>
  <si>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</si>
  <si>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</si>
  <si>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</si>
  <si>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</si>
  <si>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</si>
  <si>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</si>
  <si>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</si>
  <si>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</si>
  <si>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</si>
  <si>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</si>
  <si>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</si>
  <si>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</si>
  <si>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</si>
  <si>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</si>
  <si>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</si>
  <si>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</si>
  <si>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</si>
  <si>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</si>
  <si>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</si>
  <si>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</si>
  <si>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</si>
  <si>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</si>
  <si>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</si>
  <si>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</si>
  <si>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</si>
  <si>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</si>
  <si>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</si>
  <si>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</si>
  <si>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</si>
  <si>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</si>
  <si>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</si>
  <si>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</si>
  <si>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</si>
  <si>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</si>
  <si>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</si>
  <si>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</si>
  <si>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</si>
  <si>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</si>
  <si>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</si>
  <si>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</si>
  <si>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</si>
  <si>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</si>
  <si>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</si>
  <si>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</si>
  <si>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</si>
  <si>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</si>
  <si>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</si>
  <si>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</si>
  <si>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</si>
  <si>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</si>
  <si>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</si>
  <si>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</si>
  <si>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</si>
  <si>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</si>
  <si>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</si>
  <si>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</si>
  <si>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</si>
  <si>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</si>
  <si>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</si>
  <si>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</si>
  <si>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</si>
  <si>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</si>
  <si>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</si>
  <si>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</si>
  <si>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</si>
  <si>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</si>
  <si>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</si>
  <si>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</si>
  <si>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</si>
  <si>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</si>
  <si>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</si>
  <si>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</si>
  <si>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</si>
  <si>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</si>
  <si>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</si>
  <si>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</si>
  <si>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</si>
  <si>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</si>
  <si>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</si>
  <si>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</si>
  <si>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</si>
  <si>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</si>
  <si>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</si>
  <si>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</si>
  <si>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</si>
  <si>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</si>
  <si>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</si>
  <si>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</si>
  <si>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</si>
  <si>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</si>
  <si>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</si>
  <si>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</si>
  <si>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</si>
  <si>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</si>
  <si>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</si>
  <si>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</si>
  <si>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</si>
  <si>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</si>
  <si>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</si>
  <si>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</si>
  <si>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</si>
  <si>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</si>
  <si>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</si>
  <si>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</si>
  <si>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</si>
  <si>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</si>
  <si>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</si>
  <si>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</si>
  <si>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</si>
  <si>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</si>
  <si>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</si>
  <si>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</si>
  <si>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</si>
  <si>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</si>
  <si>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</si>
  <si>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</si>
  <si>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</si>
  <si>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</si>
  <si>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</si>
  <si>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</si>
  <si>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</si>
  <si>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</si>
  <si>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</si>
  <si>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</si>
  <si>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</si>
  <si>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</si>
  <si>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</si>
  <si>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</si>
  <si>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</si>
  <si>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</si>
  <si>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</si>
  <si>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</si>
  <si>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</si>
  <si>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</si>
  <si>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</si>
  <si>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</si>
  <si>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</si>
  <si>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</si>
  <si>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</si>
  <si>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</si>
  <si>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</si>
  <si>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</si>
  <si>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</si>
  <si>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</si>
  <si>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</si>
  <si>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</si>
  <si>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</si>
  <si>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</si>
  <si>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</si>
  <si>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</si>
  <si>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</si>
  <si>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</si>
  <si>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</si>
  <si>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</si>
  <si>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</si>
  <si>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</si>
  <si>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</si>
  <si>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</si>
  <si>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</si>
  <si>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</si>
  <si>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</si>
  <si>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</si>
  <si>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</si>
  <si>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</si>
  <si>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</si>
  <si>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</si>
  <si>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</si>
  <si>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</si>
  <si>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</si>
  <si>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</si>
  <si>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</si>
  <si>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</si>
  <si>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</si>
  <si>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</si>
  <si>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</si>
  <si>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</si>
  <si>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</si>
  <si>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</si>
  <si>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</si>
  <si>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</si>
  <si>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</si>
  <si>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</si>
  <si>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</si>
  <si>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</si>
  <si>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</si>
  <si>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</si>
  <si>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</si>
  <si>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</si>
  <si>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</si>
  <si>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</si>
  <si>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</si>
  <si>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</si>
  <si>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</si>
  <si>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</si>
  <si>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</si>
  <si>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</si>
  <si>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</si>
  <si>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</si>
  <si>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</si>
  <si>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</si>
  <si>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</si>
  <si>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</si>
  <si>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</si>
  <si>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</si>
  <si>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</si>
  <si>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</si>
  <si>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</si>
  <si>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</si>
  <si>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</si>
  <si>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</si>
  <si>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</si>
  <si>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</si>
  <si>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</si>
  <si>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</si>
  <si>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</si>
  <si>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</si>
  <si>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</si>
  <si>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</si>
  <si>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</si>
  <si>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</si>
  <si>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</si>
  <si>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</si>
  <si>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</si>
  <si>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</si>
  <si>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</si>
  <si>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</si>
  <si>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</si>
  <si>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</si>
  <si>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</si>
  <si>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</si>
  <si>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</si>
  <si>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</si>
  <si>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</si>
  <si>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</si>
  <si>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</si>
  <si>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</si>
  <si>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</si>
  <si>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</si>
  <si>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</si>
  <si>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</si>
  <si>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</si>
  <si>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</si>
  <si>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</si>
  <si>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</si>
  <si>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</si>
  <si>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</si>
  <si>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</si>
  <si>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</si>
  <si>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</si>
  <si>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</si>
  <si>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</si>
  <si>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</si>
  <si>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</si>
  <si>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</si>
  <si>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</si>
  <si>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</si>
  <si>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</si>
  <si>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</si>
  <si>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</si>
  <si>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</si>
  <si>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</si>
  <si>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</si>
  <si>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</si>
  <si>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</si>
  <si>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</si>
  <si>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</si>
  <si>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</si>
  <si>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</si>
  <si>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</si>
  <si>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</si>
  <si>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</si>
  <si>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</si>
  <si>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</si>
  <si>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</si>
  <si>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</si>
  <si>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</si>
  <si>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</si>
  <si>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</si>
  <si>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</si>
  <si>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</si>
  <si>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</si>
  <si>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</si>
  <si>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</si>
  <si>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</si>
  <si>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</si>
  <si>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</si>
  <si>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</si>
  <si>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</si>
  <si>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</si>
  <si>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</si>
  <si>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</si>
  <si>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</si>
  <si>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</si>
  <si>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</si>
  <si>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</si>
  <si>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</si>
  <si>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</si>
  <si>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</si>
  <si>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</si>
  <si>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</si>
  <si>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</si>
  <si>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</si>
  <si>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</si>
  <si>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</si>
  <si>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</si>
  <si>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</si>
  <si>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</si>
  <si>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</si>
  <si>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</si>
  <si>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</si>
  <si>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</si>
  <si>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</si>
  <si>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</si>
  <si>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</si>
  <si>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</si>
  <si>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</si>
  <si>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</si>
  <si>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</si>
  <si>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</si>
  <si>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</si>
  <si>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</si>
  <si>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</si>
  <si>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</si>
  <si>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</si>
  <si>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</si>
  <si>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</si>
  <si>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</si>
  <si>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</si>
  <si>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</si>
  <si>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</si>
  <si>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</si>
  <si>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</si>
  <si>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</si>
  <si>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</si>
  <si>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</si>
  <si>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</si>
  <si>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</si>
  <si>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</si>
  <si>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</si>
  <si>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</si>
  <si>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</si>
  <si>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</si>
  <si>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</si>
  <si>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</si>
  <si>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</si>
  <si>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</si>
  <si>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</si>
  <si>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</si>
  <si>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</si>
  <si>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</si>
  <si>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</si>
  <si>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</si>
  <si>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</si>
  <si>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</si>
  <si>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</si>
  <si>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</si>
  <si>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</si>
  <si>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</si>
  <si>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</si>
  <si>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</si>
  <si>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</si>
  <si>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</si>
  <si>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</si>
  <si>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</si>
  <si>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</si>
  <si>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</si>
  <si>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</si>
  <si>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</si>
  <si>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</si>
  <si>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</si>
  <si>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</si>
  <si>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</si>
  <si>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</si>
  <si>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</si>
  <si>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</si>
  <si>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</si>
  <si>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</si>
  <si>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</si>
  <si>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</si>
  <si>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</si>
  <si>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</si>
  <si>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</si>
  <si>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</si>
  <si>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</si>
  <si>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</si>
  <si>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</si>
  <si>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</si>
  <si>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</si>
  <si>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</si>
  <si>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</si>
  <si>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</si>
  <si>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</si>
  <si>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</si>
  <si>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</si>
  <si>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</si>
  <si>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</si>
  <si>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</si>
  <si>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</si>
  <si>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</si>
  <si>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</si>
  <si>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</si>
  <si>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</si>
  <si>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</si>
  <si>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</si>
  <si>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</si>
  <si>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</si>
  <si>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</si>
  <si>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</si>
  <si>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</si>
  <si>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</si>
  <si>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</si>
  <si>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</si>
  <si>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</si>
  <si>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</si>
  <si>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</si>
  <si>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</si>
  <si>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</si>
  <si>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</si>
  <si>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</si>
  <si>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</si>
  <si>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</si>
  <si>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</si>
  <si>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</si>
  <si>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</si>
  <si>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</si>
  <si>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</si>
  <si>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</si>
  <si>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</si>
  <si>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</si>
  <si>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</si>
  <si>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</si>
  <si>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</si>
  <si>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</si>
  <si>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</si>
  <si>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</si>
  <si>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</si>
  <si>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</si>
  <si>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</si>
  <si>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</si>
  <si>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</si>
  <si>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</si>
  <si>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</si>
  <si>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</si>
  <si>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</si>
  <si>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</si>
  <si>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</si>
  <si>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</si>
  <si>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</si>
  <si>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</si>
  <si>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</si>
  <si>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</si>
  <si>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</si>
  <si>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</si>
  <si>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</si>
  <si>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</si>
  <si>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</si>
  <si>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</si>
  <si>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</si>
  <si>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</si>
  <si>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</si>
  <si>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</si>
  <si>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</si>
  <si>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</si>
  <si>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</si>
  <si>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</si>
  <si>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</si>
  <si>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</si>
  <si>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</si>
  <si>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</si>
  <si>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</si>
  <si>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</si>
  <si>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</si>
  <si>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</si>
  <si>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</si>
  <si>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</si>
  <si>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</si>
  <si>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</si>
  <si>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</si>
  <si>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</si>
  <si>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</si>
  <si>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</si>
  <si>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</si>
  <si>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</si>
  <si>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</si>
  <si>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</si>
  <si>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</si>
  <si>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</si>
  <si>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</si>
  <si>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</si>
  <si>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</si>
  <si>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</si>
  <si>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</si>
  <si>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</si>
  <si>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</si>
  <si>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</si>
  <si>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</si>
  <si>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</si>
  <si>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</si>
  <si>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</si>
  <si>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</si>
  <si>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</si>
  <si>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</si>
  <si>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</si>
  <si>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</si>
  <si>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</si>
  <si>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</si>
  <si>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</si>
  <si>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</si>
  <si>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</si>
  <si>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</si>
  <si>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</si>
  <si>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</si>
  <si>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</si>
  <si>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</si>
  <si>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</si>
  <si>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</si>
  <si>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</si>
  <si>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</si>
  <si>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</si>
  <si>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</si>
  <si>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</si>
  <si>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</si>
  <si>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</si>
  <si>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</si>
  <si>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</si>
  <si>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</si>
  <si>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</si>
  <si>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</si>
  <si>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</si>
  <si>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</si>
  <si>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</si>
  <si>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</si>
  <si>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</si>
  <si>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</si>
  <si>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</si>
  <si>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</si>
  <si>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</si>
  <si>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</si>
  <si>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</si>
  <si>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</si>
  <si>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</si>
  <si>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</si>
  <si>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</si>
  <si>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</si>
  <si>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</si>
  <si>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</si>
  <si>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</si>
  <si>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</si>
  <si>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</si>
  <si>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</si>
  <si>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</si>
  <si>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</si>
  <si>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</si>
  <si>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</si>
  <si>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</si>
  <si>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</si>
  <si>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</si>
  <si>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</si>
  <si>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</si>
  <si>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</si>
  <si>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</si>
  <si>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</si>
  <si>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</si>
  <si>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</si>
  <si>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</si>
  <si>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</si>
  <si>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</si>
  <si>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</si>
  <si>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</si>
  <si>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</si>
  <si>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</si>
  <si>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</si>
  <si>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</si>
  <si>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</si>
  <si>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</si>
  <si>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</si>
  <si>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</si>
  <si>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</si>
  <si>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</si>
  <si>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</si>
  <si>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</si>
  <si>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</si>
  <si>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</si>
  <si>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</si>
  <si>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</si>
  <si>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</si>
  <si>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</si>
  <si>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</si>
  <si>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</si>
  <si>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</si>
  <si>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</si>
  <si>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</si>
  <si>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</si>
  <si>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</si>
  <si>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</si>
  <si>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</si>
  <si>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</si>
  <si>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</si>
  <si>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</si>
  <si>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</si>
  <si>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</si>
  <si>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</si>
  <si>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</si>
  <si>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</si>
  <si>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</si>
  <si>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</si>
  <si>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</si>
  <si>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</si>
  <si>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</si>
  <si>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</si>
  <si>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</si>
  <si>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</si>
  <si>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</si>
  <si>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</si>
  <si>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</si>
  <si>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</si>
  <si>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</si>
  <si>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</si>
  <si>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</si>
  <si>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</si>
  <si>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</si>
  <si>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</si>
  <si>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</si>
  <si>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</si>
  <si>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</si>
  <si>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</si>
  <si>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</si>
  <si>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</si>
  <si>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</si>
  <si>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</si>
  <si>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</si>
  <si>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</si>
  <si>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</si>
  <si>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</si>
  <si>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</si>
  <si>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</si>
  <si>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</si>
  <si>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</si>
  <si>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</si>
  <si>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</si>
  <si>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</si>
  <si>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</si>
  <si>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</si>
  <si>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</si>
  <si>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</si>
  <si>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</si>
  <si>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</si>
  <si>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</si>
  <si>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</si>
  <si>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</si>
  <si>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</si>
  <si>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</si>
  <si>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</si>
  <si>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</si>
  <si>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</si>
  <si>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</si>
  <si>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</si>
  <si>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</si>
  <si>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</si>
  <si>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</si>
  <si>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</si>
  <si>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</si>
  <si>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</si>
  <si>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</si>
  <si>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</si>
  <si>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</si>
  <si>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</si>
  <si>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</si>
  <si>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</si>
  <si>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</si>
  <si>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</si>
  <si>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</si>
  <si>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</si>
  <si>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</si>
  <si>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</si>
  <si>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</si>
  <si>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</si>
  <si>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</si>
  <si>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</si>
  <si>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</si>
  <si>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</si>
  <si>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</si>
  <si>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</si>
  <si>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</si>
  <si>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</si>
  <si>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</si>
  <si>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</si>
  <si>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</si>
  <si>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</si>
  <si>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</si>
  <si>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</si>
  <si>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</si>
  <si>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</si>
  <si>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</si>
  <si>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</si>
  <si>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</si>
  <si>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</si>
  <si>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</si>
  <si>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</si>
  <si>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</si>
  <si>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</si>
  <si>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</si>
  <si>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</si>
  <si>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</si>
  <si>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</si>
  <si>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</si>
  <si>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</si>
  <si>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</si>
  <si>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</si>
  <si>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</si>
  <si>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</si>
  <si>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</si>
  <si>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</si>
  <si>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</si>
  <si>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</si>
  <si>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</si>
  <si>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</si>
  <si>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</si>
  <si>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</si>
  <si>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</si>
  <si>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</si>
  <si>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</si>
  <si>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</si>
  <si>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</si>
  <si>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</si>
  <si>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</si>
  <si>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</si>
  <si>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</si>
  <si>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</si>
  <si>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</si>
  <si>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</si>
  <si>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</si>
  <si>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</si>
  <si>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</si>
  <si>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</si>
  <si>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</si>
  <si>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</si>
  <si>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</si>
  <si>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</si>
  <si>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</si>
  <si>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</si>
  <si>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</si>
  <si>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</si>
  <si>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</si>
  <si>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</si>
  <si>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</si>
  <si>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</si>
  <si>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</si>
  <si>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</si>
  <si>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</si>
  <si>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</si>
  <si>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</si>
  <si>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</si>
  <si>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</si>
  <si>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</si>
  <si>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</si>
  <si>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</si>
  <si>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</si>
  <si>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</si>
  <si>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</si>
  <si>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</si>
  <si>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</si>
  <si>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</si>
  <si>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</si>
  <si>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</si>
  <si>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</si>
  <si>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</si>
  <si>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</si>
  <si>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</si>
  <si>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</si>
  <si>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</si>
  <si>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</si>
  <si>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</si>
  <si>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</si>
  <si>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</si>
  <si>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</si>
  <si>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</si>
  <si>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</si>
  <si>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</si>
  <si>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</si>
  <si>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</si>
  <si>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</si>
  <si>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</si>
  <si>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</si>
  <si>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</si>
  <si>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</si>
  <si>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</si>
  <si>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</si>
  <si>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</si>
  <si>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</si>
  <si>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</si>
  <si>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</si>
  <si>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</si>
  <si>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</si>
  <si>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</si>
  <si>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</si>
  <si>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</si>
  <si>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</si>
  <si>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</si>
  <si>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</si>
  <si>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</si>
  <si>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</si>
  <si>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</si>
  <si>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</si>
  <si>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</si>
  <si>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</si>
  <si>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</si>
  <si>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</si>
  <si>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</si>
  <si>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</si>
  <si>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</si>
  <si>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</si>
  <si>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</si>
  <si>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</si>
  <si>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</si>
  <si>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</si>
  <si>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</si>
  <si>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</si>
  <si>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</si>
  <si>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</si>
  <si>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</si>
  <si>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</si>
  <si>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</si>
  <si>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</si>
  <si>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</si>
  <si>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</si>
  <si>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</si>
  <si>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</si>
  <si>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</si>
  <si>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</si>
  <si>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</si>
  <si>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</si>
  <si>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</si>
  <si>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</si>
  <si>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</si>
  <si>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</si>
  <si>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</si>
  <si>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</si>
  <si>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</si>
  <si>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</si>
  <si>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</si>
  <si>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</si>
  <si>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</si>
  <si>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</si>
  <si>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</si>
  <si>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</si>
  <si>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</si>
  <si>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</si>
  <si>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</si>
  <si>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</si>
  <si>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</si>
  <si>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</si>
  <si>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</si>
  <si>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</si>
  <si>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</si>
  <si>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</si>
  <si>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</si>
  <si>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</si>
  <si>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</si>
  <si>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</si>
  <si>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</si>
  <si>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</si>
  <si>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</si>
  <si>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</si>
  <si>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</si>
  <si>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</si>
  <si>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</si>
  <si>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</si>
  <si>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</si>
  <si>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</si>
  <si>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</si>
  <si>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</si>
  <si>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</si>
  <si>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</si>
  <si>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</si>
  <si>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</si>
  <si>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</si>
  <si>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</si>
  <si>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</si>
  <si>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</si>
  <si>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</si>
  <si>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</si>
  <si>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</si>
  <si>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</si>
  <si>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</si>
  <si>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</si>
  <si>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</si>
  <si>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</si>
  <si>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</si>
  <si>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</si>
  <si>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</si>
  <si>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</si>
  <si>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</si>
  <si>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</si>
  <si>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</si>
  <si>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</si>
  <si>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</si>
  <si>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</si>
  <si>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</si>
  <si>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</si>
  <si>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</si>
  <si>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</si>
  <si>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</si>
  <si>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</si>
  <si>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</si>
  <si>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</si>
  <si>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</si>
  <si>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</si>
  <si>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</si>
  <si>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</si>
  <si>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</si>
  <si>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</si>
  <si>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</si>
  <si>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</si>
  <si>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</si>
  <si>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</si>
  <si>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</si>
  <si>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</si>
  <si>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</si>
  <si>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</si>
  <si>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</si>
  <si>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</si>
  <si>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</si>
  <si>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</si>
  <si>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</si>
  <si>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</si>
  <si>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</si>
  <si>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</si>
  <si>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</si>
  <si>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</si>
  <si>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</si>
  <si>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</si>
  <si>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</si>
  <si>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</si>
  <si>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</si>
  <si>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</si>
  <si>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</si>
  <si>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</si>
  <si>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</si>
  <si>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</si>
  <si>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</si>
  <si>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</si>
  <si>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</si>
  <si>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</si>
  <si>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</si>
  <si>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</si>
  <si>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</si>
  <si>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</si>
  <si>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</si>
  <si>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</si>
  <si>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</si>
  <si>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</si>
  <si>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</si>
  <si>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</si>
  <si>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</si>
  <si>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</si>
  <si>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</si>
  <si>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</si>
  <si>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</si>
  <si>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</si>
  <si>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</si>
  <si>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</si>
  <si>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</si>
  <si>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</si>
  <si>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</si>
  <si>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</si>
  <si>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</si>
  <si>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</si>
  <si>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</si>
  <si>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</si>
  <si>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</si>
  <si>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</si>
  <si>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</si>
  <si>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</si>
  <si>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</si>
  <si>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</si>
  <si>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</si>
  <si>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</si>
  <si>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</si>
  <si>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</si>
  <si>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</si>
  <si>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</si>
  <si>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</si>
  <si>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</si>
  <si>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</si>
  <si>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</si>
  <si>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</si>
  <si>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</si>
  <si>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</si>
  <si>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</si>
  <si>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</si>
  <si>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</si>
  <si>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</si>
  <si>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</si>
  <si>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</si>
  <si>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</si>
  <si>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</si>
  <si>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</si>
  <si>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</si>
  <si>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</si>
  <si>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</si>
  <si>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</si>
  <si>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</si>
  <si>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</si>
  <si>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</si>
  <si>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</si>
  <si>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</si>
  <si>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</si>
  <si>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</si>
  <si>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</si>
  <si>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</si>
  <si>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</si>
  <si>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</si>
  <si>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</si>
  <si>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</si>
  <si>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</si>
  <si>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</si>
  <si>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</si>
  <si>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</si>
  <si>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</si>
  <si>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</si>
  <si>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</si>
  <si>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</si>
  <si>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</si>
  <si>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</si>
  <si>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</si>
  <si>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</si>
  <si>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</si>
  <si>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</si>
  <si>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</si>
  <si>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</si>
  <si>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</si>
  <si>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</si>
  <si>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</si>
  <si>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</si>
  <si>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</si>
  <si>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</si>
  <si>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</si>
  <si>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</si>
  <si>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</si>
  <si>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</si>
  <si>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</si>
  <si>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</si>
  <si>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</si>
  <si>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</si>
  <si>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</si>
  <si>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</si>
  <si>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</si>
  <si>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</si>
  <si>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</si>
  <si>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</si>
  <si>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</si>
  <si>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</si>
  <si>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</si>
  <si>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</si>
  <si>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</si>
  <si>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</si>
  <si>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</si>
  <si>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</si>
  <si>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</si>
  <si>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</si>
  <si>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</si>
  <si>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</si>
  <si>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</si>
  <si>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</si>
  <si>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</si>
  <si>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</si>
  <si>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</si>
  <si>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</si>
  <si>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</si>
  <si>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</si>
  <si>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</si>
  <si>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</si>
  <si>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</si>
  <si>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</si>
  <si>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</si>
  <si>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</si>
  <si>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</si>
  <si>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</si>
  <si>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</si>
  <si>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</si>
  <si>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</si>
  <si>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</si>
  <si>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</si>
  <si>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</si>
  <si>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</si>
  <si>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</si>
  <si>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</si>
  <si>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</si>
  <si>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</si>
  <si>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</si>
  <si>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</si>
  <si>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</si>
  <si>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</si>
  <si>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</si>
  <si>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</si>
  <si>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</si>
  <si>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</si>
  <si>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</si>
  <si>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</si>
  <si>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</si>
  <si>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</si>
  <si>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</si>
  <si>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</si>
  <si>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</si>
  <si>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</si>
  <si>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</si>
  <si>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</si>
  <si>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</si>
  <si>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</si>
  <si>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</si>
  <si>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</si>
  <si>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</si>
  <si>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</si>
  <si>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</si>
  <si>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</si>
  <si>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</si>
  <si>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</si>
  <si>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</si>
  <si>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</si>
  <si>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</si>
  <si>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</si>
  <si>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</si>
  <si>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</si>
  <si>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</si>
  <si>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</si>
  <si>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</si>
  <si>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</si>
  <si>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</si>
  <si>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</si>
  <si>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</si>
  <si>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</si>
  <si>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</si>
  <si>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</si>
  <si>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</si>
  <si>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</si>
  <si>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</si>
  <si>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</si>
  <si>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</si>
  <si>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</si>
  <si>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</si>
  <si>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</si>
  <si>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</si>
  <si>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</si>
  <si>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</si>
  <si>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</si>
  <si>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</si>
  <si>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</si>
  <si>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</si>
  <si>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</si>
  <si>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</si>
  <si>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</si>
  <si>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</si>
  <si>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</si>
  <si>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</si>
  <si>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</si>
  <si>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</si>
  <si>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</si>
  <si>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</si>
  <si>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</si>
  <si>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</si>
  <si>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</si>
  <si>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</si>
  <si>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</si>
  <si>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</si>
  <si>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</si>
  <si>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</si>
  <si>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</si>
  <si>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</si>
  <si>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</si>
  <si>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</si>
  <si>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</si>
  <si>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</si>
  <si>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</si>
  <si>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</si>
  <si>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</si>
  <si>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</si>
  <si>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</si>
  <si>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</si>
  <si>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</si>
  <si>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</si>
  <si>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</si>
  <si>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</si>
  <si>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</si>
  <si>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</si>
  <si>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</si>
  <si>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</si>
  <si>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</si>
  <si>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</si>
  <si>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</si>
  <si>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</si>
  <si>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</si>
  <si>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</si>
  <si>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</si>
  <si>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</si>
  <si>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</si>
  <si>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</si>
  <si>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</si>
  <si>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</si>
  <si>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</si>
  <si>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</si>
  <si>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</si>
  <si>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</si>
  <si>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</si>
  <si>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</si>
  <si>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</si>
  <si>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</si>
  <si>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</si>
  <si>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</si>
  <si>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</si>
  <si>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</si>
  <si>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</si>
  <si>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</si>
  <si>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</si>
  <si>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</si>
  <si>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</si>
  <si>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</si>
  <si>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</si>
  <si>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</si>
  <si>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</si>
  <si>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</si>
  <si>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</si>
  <si>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</si>
  <si>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</si>
  <si>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</si>
  <si>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</si>
  <si>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</si>
  <si>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</si>
  <si>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</si>
  <si>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</si>
  <si>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</si>
  <si>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</si>
  <si>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</si>
  <si>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</si>
  <si>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</si>
  <si>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</si>
  <si>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</si>
  <si>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</si>
  <si>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</si>
  <si>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</si>
  <si>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</si>
  <si>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</si>
  <si>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</si>
  <si>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</si>
  <si>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</si>
  <si>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</si>
  <si>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</si>
  <si>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</si>
  <si>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</si>
  <si>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</si>
  <si>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</si>
  <si>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</si>
  <si>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</si>
  <si>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</si>
  <si>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</si>
  <si>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</si>
  <si>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</si>
  <si>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</si>
  <si>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</si>
  <si>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</si>
  <si>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</si>
  <si>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</si>
  <si>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</si>
  <si>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</si>
  <si>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</si>
  <si>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</si>
  <si>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</si>
  <si>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</si>
  <si>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</si>
  <si>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</si>
  <si>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</si>
  <si>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</si>
  <si>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</si>
  <si>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</si>
  <si>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</si>
  <si>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</si>
  <si>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</si>
  <si>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</si>
  <si>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</si>
  <si>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</si>
  <si>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</si>
  <si>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</si>
  <si>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</si>
  <si>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</si>
  <si>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</si>
  <si>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</si>
  <si>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</si>
  <si>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</si>
  <si>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</si>
  <si>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</si>
  <si>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</si>
  <si>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</si>
  <si>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</si>
  <si>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</si>
  <si>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</si>
  <si>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</si>
  <si>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</si>
  <si>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</si>
  <si>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</si>
  <si>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</si>
  <si>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</si>
  <si>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</si>
  <si>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</si>
  <si>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</si>
  <si>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</si>
  <si>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</si>
  <si>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</si>
  <si>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</si>
  <si>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</si>
  <si>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</si>
  <si>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</si>
  <si>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</si>
  <si>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</si>
  <si>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</si>
  <si>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</si>
  <si>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</si>
  <si>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</si>
  <si>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</si>
  <si>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</si>
  <si>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</si>
  <si>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</si>
  <si>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</si>
  <si>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</si>
  <si>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</si>
  <si>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</si>
  <si>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</si>
  <si>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</si>
  <si>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</si>
  <si>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</si>
  <si>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</si>
  <si>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</si>
  <si>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</si>
  <si>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</si>
  <si>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</si>
  <si>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</si>
  <si>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</si>
  <si>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</si>
  <si>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</si>
  <si>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</si>
  <si>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</si>
  <si>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</si>
  <si>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</si>
  <si>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</si>
  <si>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</si>
  <si>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</si>
  <si>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</si>
  <si>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</si>
  <si>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</si>
  <si>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</si>
  <si>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</si>
  <si>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</si>
  <si>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</si>
  <si>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</si>
  <si>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</si>
  <si>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</si>
  <si>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</si>
  <si>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</si>
  <si>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</si>
  <si>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</si>
  <si>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</si>
  <si>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</si>
  <si>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</si>
  <si>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</si>
  <si>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</si>
  <si>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</si>
  <si>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</si>
  <si>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</si>
  <si>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</si>
  <si>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</si>
  <si>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</si>
  <si>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</si>
  <si>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</si>
  <si>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</si>
  <si>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</si>
  <si>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</si>
  <si>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</si>
  <si>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</si>
  <si>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</si>
  <si>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</si>
  <si>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</si>
  <si>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</si>
  <si>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</si>
  <si>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</si>
  <si>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</si>
  <si>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</si>
  <si>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</si>
  <si>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</si>
  <si>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</si>
  <si>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</si>
  <si>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</si>
  <si>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</si>
  <si>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</si>
  <si>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</si>
  <si>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</si>
  <si>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</si>
  <si>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</si>
  <si>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</si>
  <si>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</si>
  <si>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</si>
  <si>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</si>
  <si>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</si>
  <si>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</si>
  <si>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</si>
  <si>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</si>
  <si>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</si>
  <si>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</si>
  <si>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</si>
  <si>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</si>
  <si>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</si>
  <si>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</si>
  <si>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</si>
  <si>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</si>
  <si>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</si>
  <si>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</si>
  <si>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</si>
  <si>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</si>
  <si>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</si>
  <si>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</si>
  <si>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</si>
  <si>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</si>
  <si>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</si>
  <si>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</si>
  <si>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</si>
  <si>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</si>
  <si>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</si>
  <si>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</si>
  <si>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</si>
  <si>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</si>
  <si>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</si>
  <si>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</si>
  <si>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</si>
  <si>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</si>
  <si>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</si>
  <si>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</si>
  <si>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</si>
  <si>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</si>
  <si>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</si>
  <si>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</si>
  <si>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</si>
  <si>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</si>
  <si>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</si>
  <si>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</si>
  <si>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</si>
  <si>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</si>
  <si>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</si>
  <si>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</si>
  <si>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</si>
  <si>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</si>
  <si>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</si>
  <si>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</si>
  <si>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</si>
  <si>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</si>
  <si>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</si>
  <si>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</si>
  <si>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</si>
  <si>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</si>
  <si>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</si>
  <si>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</si>
  <si>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</si>
  <si>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</si>
  <si>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</si>
  <si>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</si>
  <si>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</si>
  <si>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</si>
  <si>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</si>
  <si>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</si>
  <si>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</si>
  <si>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</si>
  <si>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</si>
  <si>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</si>
  <si>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</si>
  <si>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</si>
  <si>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</si>
  <si>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</si>
  <si>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</si>
  <si>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</si>
  <si>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</si>
  <si>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</si>
  <si>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</si>
  <si>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</si>
  <si>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</si>
  <si>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</si>
  <si>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</si>
  <si>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</si>
  <si>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</si>
  <si>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</si>
  <si>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</si>
  <si>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</si>
  <si>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</si>
  <si>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</si>
  <si>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</si>
  <si>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</si>
  <si>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</si>
  <si>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</si>
  <si>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</si>
  <si>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</si>
  <si>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</si>
  <si>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</si>
  <si>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</si>
  <si>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</si>
  <si>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</si>
  <si>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</si>
  <si>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</si>
  <si>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</si>
  <si>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</si>
  <si>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</si>
  <si>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</si>
  <si>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</si>
  <si>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</si>
  <si>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</si>
  <si>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</si>
  <si>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</si>
  <si>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</si>
  <si>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</si>
  <si>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</si>
  <si>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</si>
  <si>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</si>
  <si>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</si>
  <si>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</si>
  <si>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</si>
  <si>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</si>
  <si>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</si>
  <si>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</si>
  <si>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</si>
  <si>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</si>
  <si>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</si>
  <si>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</si>
  <si>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</si>
  <si>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</si>
  <si>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</si>
  <si>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</si>
  <si>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</si>
  <si>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</si>
  <si>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</si>
  <si>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</si>
  <si>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</si>
  <si>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</si>
  <si>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</si>
  <si>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</si>
  <si>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</si>
  <si>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</si>
  <si>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</si>
  <si>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</si>
  <si>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</si>
  <si>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</si>
  <si>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</si>
  <si>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</si>
  <si>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</si>
  <si>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</si>
  <si>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</si>
  <si>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</si>
  <si>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</si>
  <si>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</si>
  <si>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</si>
  <si>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</si>
  <si>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</si>
  <si>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</si>
  <si>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</si>
  <si>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</si>
  <si>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</si>
  <si>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</si>
  <si>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</si>
  <si>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</si>
  <si>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</si>
  <si>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</si>
  <si>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</si>
  <si>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</si>
  <si>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</si>
  <si>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</si>
  <si>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</si>
  <si>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</si>
  <si>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</si>
  <si>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</si>
  <si>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</si>
  <si>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</si>
  <si>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</si>
  <si>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</si>
  <si>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</si>
  <si>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</si>
  <si>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</si>
  <si>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</si>
  <si>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</si>
  <si>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</si>
  <si>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</si>
  <si>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</si>
  <si>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</si>
  <si>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</si>
  <si>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</si>
  <si>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</si>
  <si>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</si>
  <si>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</si>
  <si>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</si>
  <si>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</si>
  <si>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</si>
  <si>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</si>
  <si>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</si>
  <si>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</si>
  <si>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</si>
  <si>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</si>
  <si>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</si>
  <si>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</si>
  <si>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</si>
  <si>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</si>
  <si>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</si>
  <si>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</si>
  <si>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</si>
  <si>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</si>
  <si>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</si>
  <si>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</si>
  <si>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</si>
  <si>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</si>
  <si>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</si>
  <si>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</si>
  <si>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</si>
  <si>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</si>
  <si>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</si>
  <si>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</si>
  <si>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</si>
  <si>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</si>
  <si>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</si>
  <si>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</si>
  <si>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</si>
  <si>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</si>
  <si>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</si>
  <si>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</si>
  <si>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</si>
  <si>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</si>
  <si>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</si>
  <si>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</si>
  <si>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</si>
  <si>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</si>
  <si>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</si>
  <si>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</si>
  <si>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</si>
  <si>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</si>
  <si>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</si>
  <si>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</si>
  <si>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</si>
  <si>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</si>
  <si>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</si>
  <si>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</si>
  <si>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</si>
  <si>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</si>
  <si>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</si>
  <si>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</si>
  <si>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</si>
  <si>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</si>
  <si>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</si>
  <si>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</si>
  <si>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</si>
  <si>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</si>
  <si>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</si>
  <si>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</si>
  <si>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</si>
  <si>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</si>
  <si>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</si>
  <si>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</si>
  <si>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</si>
  <si>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</si>
  <si>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</si>
  <si>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</si>
  <si>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</si>
  <si>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</si>
  <si>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</si>
  <si>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</si>
  <si>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</si>
  <si>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</si>
  <si>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</si>
  <si>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</si>
  <si>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</si>
  <si>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</si>
  <si>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</si>
  <si>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</si>
  <si>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</si>
  <si>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</si>
  <si>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</si>
  <si>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</si>
  <si>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</si>
  <si>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</si>
  <si>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</si>
  <si>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</si>
  <si>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</si>
  <si>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</si>
  <si>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</si>
  <si>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</si>
  <si>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</si>
  <si>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</si>
  <si>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</si>
  <si>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</si>
  <si>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</si>
  <si>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</si>
  <si>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</si>
  <si>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</si>
  <si>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</si>
  <si>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</si>
  <si>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</si>
  <si>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</si>
  <si>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</si>
  <si>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</si>
  <si>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</si>
  <si>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</si>
  <si>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</si>
  <si>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</si>
  <si>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</si>
  <si>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</si>
  <si>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</si>
  <si>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</si>
  <si>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</si>
  <si>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</si>
  <si>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</si>
  <si>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</si>
  <si>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</si>
  <si>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</si>
  <si>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</si>
  <si>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</si>
  <si>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</si>
  <si>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</si>
  <si>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</si>
  <si>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</si>
  <si>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</si>
  <si>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</si>
  <si>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</si>
  <si>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</si>
  <si>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</si>
  <si>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</si>
  <si>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</si>
  <si>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</si>
  <si>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</si>
  <si>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</si>
  <si>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</si>
  <si>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</si>
  <si>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</si>
  <si>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</si>
  <si>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</si>
  <si>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</si>
  <si>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</si>
  <si>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</si>
  <si>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</si>
  <si>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</si>
  <si>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</si>
  <si>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</si>
  <si>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</si>
  <si>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</si>
  <si>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</si>
  <si>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</si>
  <si>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</si>
  <si>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</si>
  <si>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</si>
  <si>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</si>
  <si>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</si>
  <si>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</si>
  <si>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</si>
  <si>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</si>
  <si>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</si>
  <si>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</si>
  <si>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</si>
  <si>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</si>
  <si>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</si>
  <si>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</si>
  <si>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</si>
  <si>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</si>
  <si>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</si>
  <si>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</si>
  <si>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</si>
  <si>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</si>
  <si>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</si>
  <si>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</si>
  <si>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</si>
  <si>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</si>
  <si>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</si>
  <si>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</si>
  <si>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</si>
  <si>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</si>
  <si>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</si>
  <si>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</si>
  <si>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</si>
  <si>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</si>
  <si>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</si>
  <si>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</si>
  <si>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</si>
  <si>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</si>
  <si>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</si>
  <si>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</si>
  <si>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</si>
  <si>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</si>
  <si>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</si>
  <si>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</si>
  <si>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</si>
  <si>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</si>
  <si>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</si>
  <si>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</si>
  <si>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</si>
  <si>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</si>
  <si>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</si>
  <si>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</si>
  <si>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</si>
  <si>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</si>
  <si>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</si>
  <si>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</si>
  <si>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</si>
  <si>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</si>
  <si>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</si>
  <si>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</si>
  <si>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</si>
  <si>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</si>
  <si>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</si>
  <si>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</si>
  <si>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</si>
  <si>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</si>
  <si>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</si>
  <si>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</si>
  <si>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</si>
  <si>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</si>
  <si>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</si>
  <si>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</si>
  <si>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</si>
  <si>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</si>
  <si>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</si>
  <si>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</si>
  <si>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</si>
  <si>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</si>
  <si>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</si>
  <si>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</si>
  <si>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</si>
  <si>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</si>
  <si>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</si>
  <si>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</si>
  <si>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</si>
  <si>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</si>
  <si>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</si>
  <si>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</si>
  <si>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</si>
  <si>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</si>
  <si>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</si>
  <si>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</si>
  <si>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</si>
  <si>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</si>
  <si>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</si>
  <si>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</si>
  <si>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</si>
  <si>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</si>
  <si>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</si>
  <si>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</si>
  <si>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</si>
  <si>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</si>
  <si>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</si>
  <si>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</si>
  <si>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</si>
  <si>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</si>
  <si>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</si>
  <si>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</si>
  <si>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</si>
  <si>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</si>
  <si>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</si>
  <si>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</si>
  <si>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</si>
  <si>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</si>
  <si>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</si>
  <si>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</si>
  <si>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</si>
  <si>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</si>
  <si>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</si>
  <si>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</si>
  <si>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</si>
  <si>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</si>
  <si>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</si>
  <si>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</si>
  <si>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</si>
  <si>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</si>
  <si>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</si>
  <si>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</si>
  <si>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</si>
  <si>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</si>
  <si>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</si>
  <si>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</si>
  <si>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</si>
  <si>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</si>
  <si>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</si>
  <si>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</si>
  <si>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</si>
  <si>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</si>
  <si>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</si>
  <si>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</si>
  <si>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</si>
  <si>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</si>
  <si>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</si>
  <si>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</si>
  <si>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</si>
  <si>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</si>
  <si>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</si>
  <si>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</si>
  <si>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</si>
  <si>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</si>
  <si>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</si>
  <si>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</si>
  <si>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</si>
  <si>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</si>
  <si>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</si>
  <si>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</si>
  <si>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</si>
  <si>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</si>
  <si>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</si>
  <si>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</si>
  <si>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</si>
  <si>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</si>
  <si>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</si>
  <si>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</si>
  <si>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</si>
  <si>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</si>
  <si>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</si>
  <si>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</si>
  <si>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</si>
  <si>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</si>
  <si>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</si>
  <si>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</si>
  <si>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</si>
  <si>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</si>
  <si>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</si>
  <si>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</si>
  <si>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</si>
  <si>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</si>
  <si>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</si>
  <si>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</si>
  <si>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</si>
  <si>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</si>
  <si>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</si>
  <si>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</si>
  <si>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</si>
  <si>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</si>
  <si>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</si>
  <si>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</si>
  <si>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</si>
  <si>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</si>
  <si>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</si>
  <si>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</si>
  <si>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</si>
  <si>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</si>
  <si>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</si>
  <si>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</si>
  <si>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</si>
  <si>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</si>
  <si>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</si>
  <si>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</si>
  <si>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</si>
  <si>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</si>
  <si>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</si>
  <si>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</si>
  <si>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</si>
  <si>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</si>
  <si>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</si>
  <si>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</si>
  <si>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</si>
  <si>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</si>
  <si>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</si>
  <si>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</si>
  <si>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</si>
  <si>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</si>
  <si>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</si>
  <si>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</si>
  <si>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</si>
  <si>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</si>
  <si>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</si>
  <si>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</si>
  <si>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</si>
  <si>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</si>
  <si>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</si>
  <si>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</si>
  <si>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</si>
  <si>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</si>
  <si>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</si>
  <si>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</si>
  <si>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</si>
  <si>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</si>
  <si>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</si>
  <si>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</si>
  <si>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</si>
  <si>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</si>
  <si>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</si>
  <si>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</si>
  <si>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</si>
  <si>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</si>
  <si>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</si>
  <si>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</si>
  <si>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</si>
  <si>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</si>
  <si>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</si>
  <si>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</si>
  <si>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</si>
  <si>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</si>
  <si>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</si>
  <si>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</si>
  <si>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</si>
  <si>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</si>
  <si>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</si>
  <si>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</si>
  <si>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</si>
  <si>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</si>
  <si>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</si>
  <si>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</si>
  <si>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</si>
  <si>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</si>
  <si>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</si>
  <si>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</si>
  <si>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</si>
  <si>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</si>
  <si>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</si>
  <si>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</si>
  <si>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</si>
  <si>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</si>
  <si>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</si>
  <si>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</si>
  <si>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</si>
  <si>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</si>
  <si>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</si>
  <si>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</si>
  <si>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</si>
  <si>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</si>
  <si>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</si>
  <si>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</si>
  <si>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</si>
  <si>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</si>
  <si>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</si>
  <si>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</si>
  <si>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</si>
  <si>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</si>
  <si>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</si>
  <si>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</si>
  <si>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</si>
  <si>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</si>
  <si>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</si>
  <si>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</si>
  <si>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</si>
  <si>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</si>
  <si>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</si>
  <si>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</si>
  <si>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</si>
  <si>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</si>
  <si>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</si>
  <si>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</si>
  <si>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</si>
  <si>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</si>
  <si>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</si>
  <si>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</si>
  <si>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</si>
  <si>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</si>
  <si>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</si>
  <si>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</si>
  <si>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</si>
  <si>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</si>
  <si>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</si>
  <si>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</si>
  <si>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</si>
  <si>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</si>
  <si>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</si>
  <si>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</si>
  <si>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</si>
  <si>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</si>
  <si>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</si>
  <si>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</si>
  <si>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</si>
  <si>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</si>
  <si>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</si>
  <si>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</si>
  <si>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</si>
  <si>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</si>
  <si>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</si>
  <si>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</si>
  <si>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</si>
  <si>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</si>
  <si>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</si>
  <si>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</si>
  <si>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</si>
  <si>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</si>
  <si>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</si>
  <si>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</si>
  <si>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</si>
  <si>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</si>
  <si>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</si>
  <si>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</si>
  <si>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</si>
  <si>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</si>
  <si>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</si>
  <si>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</si>
  <si>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</si>
  <si>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</si>
  <si>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</si>
  <si>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</si>
  <si>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</si>
  <si>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</si>
  <si>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</si>
  <si>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</si>
  <si>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</si>
  <si>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</si>
  <si>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</si>
  <si>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</si>
  <si>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</si>
  <si>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</si>
  <si>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</si>
  <si>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</si>
  <si>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</si>
  <si>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</si>
  <si>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</si>
  <si>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</si>
  <si>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</si>
  <si>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</si>
  <si>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</si>
  <si>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</si>
  <si>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</si>
  <si>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</si>
  <si>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</si>
  <si>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</si>
  <si>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</si>
  <si>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</si>
  <si>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</si>
  <si>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</si>
  <si>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</si>
  <si>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</si>
  <si>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</si>
  <si>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</si>
  <si>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</si>
  <si>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</si>
  <si>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</si>
  <si>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</si>
  <si>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</si>
  <si>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</si>
  <si>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</si>
  <si>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</si>
  <si>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</si>
  <si>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</si>
  <si>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</si>
  <si>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</si>
  <si>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</si>
  <si>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</si>
  <si>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</si>
  <si>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</si>
  <si>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</si>
  <si>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</si>
  <si>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</si>
  <si>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</si>
  <si>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</si>
  <si>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</si>
  <si>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</si>
  <si>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</si>
  <si>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</si>
  <si>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</si>
  <si>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</si>
  <si>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</si>
  <si>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</si>
  <si>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</si>
  <si>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</si>
  <si>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</si>
  <si>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</si>
  <si>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</si>
  <si>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</si>
  <si>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</si>
  <si>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</si>
  <si>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</si>
  <si>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</si>
  <si>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</si>
  <si>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</si>
  <si>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</si>
  <si>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</si>
  <si>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</si>
  <si>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</si>
  <si>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</si>
  <si>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</si>
  <si>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</si>
  <si>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</si>
  <si>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</si>
  <si>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</si>
  <si>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</si>
  <si>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</si>
  <si>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</si>
  <si>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</si>
  <si>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</si>
  <si>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</si>
  <si>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</si>
  <si>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</si>
  <si>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</si>
  <si>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</si>
  <si>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</si>
  <si>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</si>
  <si>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</si>
  <si>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</si>
  <si>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</si>
  <si>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</si>
  <si>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</si>
  <si>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</si>
  <si>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</si>
  <si>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</si>
  <si>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</si>
  <si>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</si>
  <si>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</si>
  <si>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</si>
  <si>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</si>
  <si>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</si>
  <si>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</si>
  <si>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</si>
  <si>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</si>
  <si>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</si>
  <si>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</si>
  <si>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</si>
  <si>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</si>
  <si>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</si>
  <si>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</si>
  <si>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</si>
  <si>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</si>
  <si>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</si>
  <si>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</si>
  <si>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</si>
  <si>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</si>
  <si>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</si>
  <si>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</si>
  <si>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</si>
  <si>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</si>
  <si>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</si>
  <si>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</si>
  <si>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</si>
  <si>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</si>
  <si>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</si>
  <si>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</si>
  <si>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</si>
  <si>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</si>
  <si>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</si>
  <si>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</si>
  <si>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</si>
  <si>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</si>
  <si>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</si>
  <si>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</si>
  <si>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</si>
  <si>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</si>
  <si>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</si>
  <si>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</si>
  <si>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</si>
  <si>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</si>
  <si>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</si>
  <si>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</si>
  <si>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</si>
  <si>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</si>
  <si>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</si>
  <si>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</si>
  <si>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</si>
  <si>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</si>
  <si>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</si>
  <si>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</si>
  <si>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</si>
  <si>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</si>
  <si>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</si>
  <si>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</si>
  <si>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</si>
  <si>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</si>
  <si>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</si>
  <si>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</si>
  <si>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</si>
  <si>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</si>
  <si>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</si>
  <si>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</si>
  <si>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</si>
  <si>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</si>
  <si>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</si>
  <si>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</si>
  <si>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</si>
  <si>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</si>
  <si>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</si>
  <si>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</si>
  <si>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</si>
  <si>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</si>
  <si>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</si>
  <si>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</si>
  <si>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</si>
  <si>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</si>
  <si>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</si>
  <si>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</si>
  <si>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</si>
  <si>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</si>
  <si>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</si>
  <si>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</si>
  <si>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</si>
  <si>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</si>
  <si>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</si>
  <si>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</si>
  <si>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</si>
  <si>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</si>
  <si>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</si>
  <si>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</si>
  <si>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</si>
  <si>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</si>
  <si>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</si>
  <si>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</si>
  <si>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</si>
  <si>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</si>
  <si>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</si>
  <si>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</si>
  <si>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</si>
  <si>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</si>
  <si>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</si>
  <si>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</si>
  <si>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</si>
  <si>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</si>
  <si>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</si>
  <si>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</si>
  <si>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</si>
  <si>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</si>
  <si>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</si>
  <si>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</si>
  <si>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</si>
  <si>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</si>
  <si>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</si>
  <si>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</si>
  <si>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</si>
  <si>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</si>
  <si>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</si>
  <si>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</si>
  <si>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</si>
  <si>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</si>
  <si>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</si>
  <si>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</si>
  <si>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</si>
  <si>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</si>
  <si>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</si>
  <si>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</si>
  <si>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</si>
  <si>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</si>
  <si>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</si>
  <si>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</si>
  <si>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</si>
  <si>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</si>
  <si>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</si>
  <si>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</si>
  <si>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</si>
  <si>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</si>
  <si>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</si>
  <si>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</si>
  <si>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</si>
  <si>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</si>
  <si>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</si>
  <si>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</si>
  <si>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</si>
  <si>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</si>
  <si>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</si>
  <si>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</si>
  <si>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</si>
  <si>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</si>
  <si>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</si>
  <si>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</si>
  <si>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</si>
  <si>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</si>
  <si>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</si>
  <si>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</si>
  <si>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</si>
  <si>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</si>
  <si>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</si>
  <si>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</si>
  <si>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</si>
  <si>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</si>
  <si>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</si>
  <si>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</si>
  <si>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</si>
  <si>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</si>
  <si>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</si>
  <si>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</si>
  <si>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</si>
  <si>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</si>
  <si>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</si>
  <si>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</si>
  <si>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</si>
  <si>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</si>
  <si>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</si>
  <si>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</si>
  <si>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</si>
  <si>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</si>
  <si>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</si>
  <si>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</si>
  <si>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</si>
  <si>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</si>
  <si>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</si>
  <si>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</si>
  <si>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</si>
  <si>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</si>
  <si>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</si>
  <si>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</si>
  <si>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</si>
  <si>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</si>
  <si>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</si>
  <si>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</si>
  <si>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</si>
  <si>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</si>
  <si>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</si>
  <si>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</si>
  <si>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</si>
  <si>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</si>
  <si>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</si>
  <si>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</si>
  <si>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</si>
  <si>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</si>
  <si>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</si>
  <si>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</si>
  <si>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</si>
  <si>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</si>
  <si>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</si>
  <si>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</si>
  <si>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</si>
  <si>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</si>
  <si>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</si>
  <si>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</si>
  <si>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</si>
  <si>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</si>
  <si>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</si>
  <si>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</si>
  <si>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</si>
  <si>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</si>
  <si>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</si>
  <si>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</si>
  <si>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</si>
  <si>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</si>
  <si>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</si>
  <si>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</si>
  <si>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</si>
  <si>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</si>
  <si>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</si>
  <si>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</si>
  <si>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</si>
  <si>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</si>
  <si>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</si>
  <si>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</si>
  <si>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</si>
  <si>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</si>
  <si>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</si>
  <si>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</si>
  <si>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</si>
  <si>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</si>
  <si>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</si>
  <si>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</si>
  <si>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</si>
  <si>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</si>
  <si>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</si>
  <si>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</si>
  <si>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</si>
  <si>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</si>
  <si>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</si>
  <si>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</si>
  <si>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</si>
  <si>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</si>
  <si>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</si>
  <si>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</si>
  <si>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</si>
  <si>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</si>
  <si>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</si>
  <si>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</si>
  <si>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</si>
  <si>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</si>
  <si>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</si>
  <si>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</si>
  <si>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</si>
  <si>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</si>
  <si>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</si>
  <si>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</si>
  <si>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</si>
  <si>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</si>
  <si>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</si>
  <si>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</si>
  <si>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</si>
  <si>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</si>
  <si>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</si>
  <si>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</si>
  <si>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</si>
  <si>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</si>
  <si>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</si>
  <si>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</si>
  <si>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</si>
  <si>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</si>
  <si>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</si>
  <si>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</si>
  <si>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</si>
  <si>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</si>
  <si>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</si>
  <si>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</si>
  <si>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</si>
  <si>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</si>
  <si>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</si>
  <si>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</si>
  <si>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</si>
  <si>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</si>
  <si>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</si>
  <si>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</si>
  <si>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</si>
  <si>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</si>
  <si>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</si>
  <si>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</si>
  <si>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</si>
  <si>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</si>
  <si>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</si>
  <si>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</si>
  <si>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</si>
  <si>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</si>
  <si>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</si>
  <si>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</si>
  <si>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</si>
  <si>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</si>
  <si>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</si>
  <si>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</si>
  <si>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</si>
  <si>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</si>
  <si>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</si>
  <si>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</si>
  <si>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</si>
  <si>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</si>
  <si>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</si>
  <si>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</si>
  <si>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</si>
  <si>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</si>
  <si>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</si>
  <si>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</si>
  <si>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</si>
  <si>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</si>
  <si>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</si>
  <si>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</si>
  <si>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</si>
  <si>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</si>
  <si>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</si>
  <si>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</si>
  <si>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</si>
  <si>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</si>
  <si>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</si>
  <si>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</si>
  <si>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</si>
  <si>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</si>
  <si>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</si>
  <si>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</si>
  <si>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</si>
  <si>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</si>
  <si>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</si>
  <si>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</si>
  <si>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</si>
  <si>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</si>
  <si>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</si>
  <si>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</si>
  <si>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</si>
  <si>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</si>
  <si>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</si>
  <si>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</si>
  <si>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</si>
  <si>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</si>
  <si>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</si>
  <si>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</si>
  <si>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</si>
  <si>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</si>
  <si>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</si>
  <si>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</si>
  <si>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</si>
  <si>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</si>
  <si>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</si>
  <si>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</si>
  <si>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</si>
  <si>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</si>
  <si>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</si>
  <si>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</si>
  <si>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</si>
  <si>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</si>
  <si>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</si>
  <si>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</si>
  <si>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</si>
  <si>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</si>
  <si>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</si>
  <si>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</si>
  <si>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</si>
  <si>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</si>
  <si>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</si>
  <si>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</si>
  <si>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</si>
  <si>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</si>
  <si>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</si>
  <si>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</si>
  <si>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</si>
  <si>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</si>
  <si>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</si>
  <si>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</si>
  <si>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</si>
  <si>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</si>
  <si>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</si>
  <si>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</si>
  <si>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</si>
  <si>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</si>
  <si>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</si>
  <si>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</si>
  <si>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</si>
  <si>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</si>
  <si>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</si>
  <si>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</si>
  <si>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</si>
  <si>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</si>
  <si>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</si>
  <si>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</si>
  <si>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</si>
  <si>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</si>
  <si>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</si>
  <si>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</si>
  <si>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</si>
  <si>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</si>
  <si>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</si>
  <si>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</si>
  <si>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</si>
  <si>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</si>
  <si>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</si>
  <si>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</si>
  <si>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</si>
  <si>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</si>
  <si>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</si>
  <si>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</si>
  <si>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</si>
  <si>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</si>
  <si>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</si>
  <si>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</si>
  <si>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</si>
  <si>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</si>
  <si>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</si>
  <si>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</si>
  <si>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</si>
  <si>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</si>
  <si>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</si>
  <si>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</si>
  <si>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</si>
  <si>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</si>
  <si>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</si>
  <si>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</si>
  <si>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</si>
  <si>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</si>
  <si>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</si>
  <si>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</si>
  <si>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</si>
  <si>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</si>
  <si>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</si>
  <si>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</si>
  <si>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</si>
  <si>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</si>
  <si>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</si>
  <si>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</si>
  <si>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</si>
  <si>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</si>
  <si>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</si>
  <si>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</si>
  <si>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</si>
  <si>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</si>
  <si>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</si>
  <si>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</si>
  <si>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</si>
  <si>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</si>
  <si>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</si>
  <si>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</si>
  <si>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</si>
  <si>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</si>
  <si>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</si>
  <si>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</si>
  <si>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</si>
  <si>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</si>
  <si>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</si>
  <si>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</si>
  <si>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</si>
  <si>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</si>
  <si>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</si>
  <si>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</si>
  <si>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</si>
  <si>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</si>
  <si>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</si>
  <si>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</si>
  <si>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</si>
  <si>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</si>
  <si>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</si>
  <si>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</si>
  <si>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</si>
  <si>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</si>
  <si>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</si>
  <si>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</si>
  <si>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</si>
  <si>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</si>
  <si>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</si>
  <si>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</si>
  <si>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</si>
  <si>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</si>
  <si>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</si>
  <si>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</si>
  <si>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</si>
  <si>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</si>
  <si>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</si>
  <si>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</si>
  <si>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</si>
  <si>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</si>
  <si>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</si>
  <si>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</si>
  <si>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</si>
  <si>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</si>
  <si>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</si>
  <si>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</si>
  <si>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</si>
  <si>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</si>
  <si>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</si>
  <si>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</si>
  <si>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</si>
  <si>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</si>
  <si>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</si>
  <si>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</si>
  <si>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</si>
  <si>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</si>
  <si>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</si>
  <si>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</si>
  <si>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</si>
  <si>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</si>
  <si>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</si>
  <si>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</si>
  <si>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</si>
  <si>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</si>
  <si>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</si>
  <si>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</si>
  <si>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</si>
  <si>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</si>
  <si>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</si>
  <si>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</si>
  <si>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</si>
  <si>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</si>
  <si>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</si>
  <si>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</si>
  <si>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</si>
  <si>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</si>
  <si>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</si>
  <si>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</si>
  <si>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</si>
  <si>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</si>
  <si>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</si>
  <si>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</si>
  <si>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</si>
  <si>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</si>
  <si>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</si>
  <si>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</si>
  <si>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</si>
  <si>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</si>
  <si>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</si>
  <si>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</si>
  <si>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</si>
  <si>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</si>
  <si>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</si>
  <si>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</si>
  <si>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</si>
  <si>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</si>
  <si>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</si>
  <si>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</si>
  <si>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</si>
  <si>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</si>
  <si>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</si>
  <si>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</si>
  <si>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</si>
  <si>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</si>
  <si>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</si>
  <si>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</si>
  <si>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</si>
  <si>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</si>
  <si>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</si>
  <si>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</si>
  <si>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</si>
  <si>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</si>
  <si>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</si>
  <si>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</si>
  <si>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</si>
  <si>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</si>
  <si>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</si>
  <si>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</si>
  <si>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</si>
  <si>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</si>
  <si>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</si>
  <si>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</si>
  <si>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</si>
  <si>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</si>
  <si>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</si>
  <si>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</si>
  <si>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</si>
  <si>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</si>
  <si>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</si>
  <si>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</si>
  <si>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</si>
  <si>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</si>
  <si>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</si>
  <si>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</si>
  <si>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</si>
  <si>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</si>
  <si>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</si>
  <si>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</si>
  <si>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</si>
  <si>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</si>
  <si>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</si>
  <si>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</si>
  <si>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</si>
  <si>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</si>
  <si>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</si>
  <si>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</si>
  <si>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</si>
  <si>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</si>
  <si>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</si>
  <si>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</si>
  <si>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</si>
  <si>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</si>
  <si>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</si>
  <si>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</si>
  <si>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</si>
  <si>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</si>
  <si>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</si>
  <si>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</si>
  <si>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</si>
  <si>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</si>
  <si>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</si>
  <si>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</si>
  <si>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</si>
  <si>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</si>
  <si>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</si>
  <si>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</si>
  <si>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</si>
  <si>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</si>
  <si>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</si>
  <si>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</si>
  <si>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</si>
  <si>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</si>
  <si>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</si>
  <si>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</si>
  <si>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</si>
  <si>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</si>
  <si>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</si>
  <si>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</si>
  <si>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</si>
  <si>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</si>
  <si>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</si>
  <si>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</si>
  <si>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</si>
  <si>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</si>
  <si>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</si>
  <si>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</si>
  <si>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</si>
  <si>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</si>
  <si>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</si>
  <si>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</si>
  <si>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</si>
  <si>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</si>
  <si>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</si>
  <si>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</si>
  <si>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</si>
  <si>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</si>
  <si>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</si>
  <si>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</si>
  <si>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</si>
  <si>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</si>
  <si>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</si>
  <si>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</si>
  <si>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</si>
  <si>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</si>
  <si>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</si>
  <si>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</si>
  <si>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</si>
  <si>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</si>
  <si>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</si>
  <si>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</si>
  <si>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</si>
  <si>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</si>
  <si>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</si>
  <si>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</si>
  <si>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</si>
  <si>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</si>
  <si>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</si>
  <si>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</si>
  <si>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</si>
  <si>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</si>
  <si>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</si>
  <si>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</si>
  <si>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</si>
  <si>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</si>
  <si>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</si>
  <si>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</si>
  <si>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</si>
  <si>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</si>
  <si>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</si>
  <si>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</si>
  <si>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</si>
  <si>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</si>
  <si>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</si>
  <si>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</si>
  <si>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</si>
  <si>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</si>
  <si>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</si>
  <si>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</si>
  <si>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</si>
  <si>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</si>
  <si>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</si>
  <si>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</si>
  <si>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</si>
  <si>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</si>
  <si>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</si>
  <si>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</si>
  <si>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</si>
  <si>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</si>
  <si>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</si>
  <si>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</si>
  <si>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</si>
  <si>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</si>
  <si>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</si>
  <si>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</si>
  <si>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</si>
  <si>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</si>
  <si>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</si>
  <si>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</si>
  <si>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</si>
  <si>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</si>
  <si>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</si>
  <si>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</si>
  <si>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</si>
  <si>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</si>
  <si>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</si>
  <si>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</si>
  <si>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</si>
  <si>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</si>
  <si>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</si>
  <si>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</si>
  <si>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</si>
  <si>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</si>
  <si>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</si>
  <si>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</si>
  <si>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</si>
  <si>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</si>
  <si>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</si>
  <si>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</si>
  <si>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</si>
  <si>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</si>
  <si>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</si>
  <si>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</si>
  <si>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</si>
  <si>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</si>
  <si>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</si>
  <si>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</si>
  <si>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</si>
  <si>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</si>
  <si>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</si>
  <si>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</si>
  <si>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</si>
  <si>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</si>
  <si>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</si>
  <si>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</si>
  <si>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</si>
  <si>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</si>
  <si>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</si>
  <si>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</si>
  <si>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</si>
  <si>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</si>
  <si>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</si>
  <si>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</si>
  <si>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</si>
  <si>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</si>
  <si>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</si>
  <si>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</si>
  <si>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</si>
  <si>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</si>
  <si>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</si>
  <si>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</si>
  <si>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</si>
  <si>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</si>
  <si>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</si>
  <si>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</si>
  <si>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</si>
  <si>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</si>
  <si>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</si>
  <si>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</si>
  <si>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</si>
  <si>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</si>
  <si>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</si>
  <si>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</si>
  <si>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</si>
  <si>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</si>
  <si>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</si>
  <si>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</si>
  <si>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</si>
  <si>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</si>
  <si>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</si>
  <si>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</si>
  <si>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</si>
  <si>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</si>
  <si>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</si>
  <si>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</si>
  <si>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</si>
  <si>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</si>
  <si>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</si>
  <si>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</si>
  <si>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</si>
  <si>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</si>
  <si>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</si>
  <si>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</si>
  <si>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</si>
  <si>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</si>
  <si>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</si>
  <si>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</si>
  <si>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</si>
  <si>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</si>
  <si>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</si>
  <si>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</si>
  <si>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</si>
  <si>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</si>
  <si>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</si>
  <si>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</si>
  <si>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</si>
  <si>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</si>
  <si>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</si>
  <si>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</si>
  <si>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</si>
  <si>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</si>
  <si>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</si>
  <si>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</si>
  <si>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</si>
  <si>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</si>
  <si>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</si>
  <si>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</si>
  <si>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</si>
  <si>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</si>
  <si>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</si>
  <si>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</si>
  <si>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</si>
  <si>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</si>
  <si>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</si>
  <si>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</si>
  <si>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</si>
  <si>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</si>
  <si>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</si>
  <si>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</si>
  <si>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</si>
  <si>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</si>
  <si>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</si>
  <si>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</si>
  <si>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</si>
  <si>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</si>
  <si>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</si>
  <si>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</si>
  <si>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</si>
  <si>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</si>
  <si>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</si>
  <si>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</si>
  <si>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</si>
  <si>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</si>
  <si>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</si>
  <si>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</si>
  <si>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</si>
  <si>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</si>
  <si>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</si>
  <si>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</si>
  <si>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</si>
  <si>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</si>
  <si>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</si>
  <si>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</si>
  <si>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</si>
  <si>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</si>
  <si>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</si>
  <si>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</si>
  <si>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</si>
  <si>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</si>
  <si>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</si>
  <si>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</si>
  <si>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</si>
  <si>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</si>
  <si>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</si>
  <si>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</si>
  <si>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</si>
  <si>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</si>
  <si>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</si>
  <si>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</si>
  <si>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</si>
  <si>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</si>
  <si>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</si>
  <si>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</si>
  <si>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</si>
  <si>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</si>
  <si>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</si>
  <si>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</si>
  <si>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</si>
  <si>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</si>
  <si>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</si>
  <si>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</si>
  <si>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</si>
  <si>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</si>
  <si>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</si>
  <si>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</si>
  <si>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</si>
  <si>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</si>
  <si>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</si>
  <si>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</si>
  <si>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</si>
  <si>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</si>
  <si>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</si>
  <si>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</si>
  <si>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</si>
  <si>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</si>
  <si>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</si>
  <si>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</si>
  <si>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</si>
  <si>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</si>
  <si>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</si>
  <si>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</si>
  <si>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</si>
  <si>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</si>
  <si>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</si>
  <si>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</si>
  <si>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</si>
  <si>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</si>
  <si>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</si>
  <si>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</si>
  <si>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</si>
  <si>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</si>
  <si>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</si>
  <si>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</si>
  <si>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</si>
  <si>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</si>
  <si>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</si>
  <si>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</si>
  <si>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</si>
  <si>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</si>
  <si>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</si>
  <si>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</si>
  <si>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</si>
  <si>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</si>
  <si>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</si>
  <si>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</si>
  <si>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</si>
  <si>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</si>
  <si>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</si>
  <si>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</si>
  <si>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</si>
  <si>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</si>
  <si>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</si>
  <si>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</si>
  <si>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</si>
  <si>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</si>
  <si>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</si>
  <si>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</si>
  <si>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</si>
  <si>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</si>
  <si>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</si>
  <si>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</si>
  <si>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</si>
  <si>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</si>
  <si>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</si>
  <si>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</si>
  <si>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</si>
  <si>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</si>
  <si>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</si>
  <si>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</si>
  <si>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</si>
  <si>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</si>
  <si>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</si>
  <si>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</si>
  <si>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</si>
  <si>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</si>
  <si>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</si>
  <si>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</si>
  <si>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</si>
  <si>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</si>
  <si>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</si>
  <si>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</si>
  <si>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</si>
  <si>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</si>
  <si>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</si>
  <si>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</si>
  <si>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</si>
  <si>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</si>
  <si>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</si>
  <si>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</si>
  <si>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</si>
  <si>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</si>
  <si>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</si>
  <si>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</si>
  <si>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</si>
  <si>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</si>
  <si>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</si>
  <si>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</si>
  <si>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</si>
  <si>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</si>
  <si>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</si>
  <si>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</si>
  <si>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</si>
  <si>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</si>
  <si>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</si>
  <si>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</si>
  <si>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</si>
  <si>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</si>
  <si>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</si>
  <si>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</si>
  <si>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</si>
  <si>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</si>
  <si>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</si>
  <si>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</si>
  <si>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</si>
  <si>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</si>
  <si>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</si>
  <si>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</si>
  <si>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</si>
  <si>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</si>
  <si>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</si>
  <si>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</si>
  <si>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</si>
  <si>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</si>
  <si>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</si>
  <si>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</si>
  <si>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</si>
  <si>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</si>
  <si>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</si>
  <si>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</si>
  <si>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</si>
  <si>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</si>
  <si>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</si>
  <si>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</si>
  <si>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</si>
  <si>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</si>
  <si>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</si>
  <si>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</si>
  <si>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</si>
  <si>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</si>
  <si>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</si>
  <si>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</si>
  <si>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</si>
  <si>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</si>
  <si>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</si>
  <si>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</si>
  <si>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</si>
  <si>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</si>
  <si>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</si>
  <si>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</si>
  <si>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</si>
  <si>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</si>
  <si>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</si>
  <si>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</si>
  <si>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</si>
  <si>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</si>
  <si>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</si>
  <si>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</si>
  <si>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</si>
  <si>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</si>
  <si>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</si>
  <si>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</si>
  <si>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</si>
  <si>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</si>
  <si>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</si>
  <si>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</si>
  <si>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</si>
  <si>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</si>
  <si>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</si>
  <si>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</si>
  <si>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</si>
  <si>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</si>
  <si>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</si>
  <si>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</si>
  <si>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</si>
  <si>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</si>
  <si>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</si>
  <si>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</si>
  <si>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</si>
  <si>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</si>
  <si>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</si>
  <si>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</si>
  <si>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</si>
  <si>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</si>
  <si>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</si>
  <si>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</si>
  <si>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</si>
  <si>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</si>
  <si>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</si>
  <si>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</si>
  <si>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</si>
  <si>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</si>
  <si>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</si>
  <si>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</si>
  <si>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</si>
  <si>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</si>
  <si>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</si>
  <si>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</si>
  <si>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</si>
  <si>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</si>
  <si>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</si>
  <si>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</si>
  <si>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</si>
  <si>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</si>
  <si>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</si>
  <si>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</si>
  <si>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</si>
  <si>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</si>
  <si>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</si>
  <si>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</si>
  <si>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</si>
  <si>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</si>
  <si>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</si>
  <si>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</si>
  <si>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</si>
  <si>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</si>
  <si>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</si>
  <si>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</si>
  <si>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</si>
  <si>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</si>
  <si>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</si>
  <si>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</si>
  <si>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</si>
  <si>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</si>
  <si>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</si>
  <si>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</si>
  <si>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</si>
  <si>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</si>
  <si>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</si>
  <si>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</si>
  <si>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</si>
  <si>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</si>
  <si>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</si>
  <si>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</si>
  <si>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</si>
  <si>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</si>
  <si>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</si>
  <si>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</si>
  <si>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</si>
  <si>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</si>
  <si>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</si>
  <si>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</si>
  <si>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</si>
  <si>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</si>
  <si>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</si>
  <si>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</si>
  <si>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</si>
  <si>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</si>
  <si>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</si>
  <si>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</si>
  <si>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</si>
  <si>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</si>
  <si>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</si>
  <si>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</si>
  <si>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</si>
  <si>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</si>
  <si>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</si>
  <si>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</si>
  <si>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</si>
  <si>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</si>
  <si>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</si>
  <si>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</si>
  <si>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</si>
  <si>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</si>
  <si>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</si>
  <si>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</si>
  <si>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</si>
  <si>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</si>
  <si>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</si>
  <si>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</si>
  <si>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</si>
  <si>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</si>
  <si>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</si>
  <si>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</si>
  <si>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</si>
  <si>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</si>
  <si>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</si>
  <si>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</si>
  <si>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</si>
  <si>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</si>
  <si>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</si>
  <si>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</si>
  <si>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</si>
  <si>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</si>
  <si>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</si>
  <si>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</si>
  <si>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</si>
  <si>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</si>
  <si>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</si>
  <si>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</si>
  <si>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</si>
  <si>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</si>
  <si>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</si>
  <si>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</si>
  <si>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</si>
  <si>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</si>
  <si>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</si>
  <si>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</si>
  <si>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</si>
  <si>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</si>
  <si>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</si>
  <si>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</si>
  <si>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</si>
  <si>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</si>
  <si>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楼面单价</t>
  </si>
  <si>
    <t>收益法 (元)</t>
  </si>
  <si>
    <t>非生产用房</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</si>
  <si>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</si>
  <si>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吴薇</t>
  </si>
  <si>
    <t>车位</t>
  </si>
  <si>
    <t>车位</t>
    <phoneticPr fontId="7" type="noConversion"/>
  </si>
  <si>
    <t>钢混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</si>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</sst>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估价对象为房地产，为所有。根据《国有土地使用证》[]，估价对象（分摊）出让国有建设用地使用权面积为0平方米，建筑面积为35平方米。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2</v>
      </c>
    </row>
    <row r="21" spans="1:2">
      <c r="A21" s="1119" t="s">
        <v>537</v>
      </c>
      <c r="B21" s="1120">
        <f ca="1">'预评函-2'!D7</f>
        <v>487</v>
      </c>
    </row>
    <row r="22" spans="1:2">
      <c r="A22" s="1119" t="s">
        <v>538</v>
      </c>
      <c r="B22" s="1120" t="str">
        <f ca="1">'预评函-2'!D6</f>
        <v>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v>
      </c>
    </row>
    <row r="31" spans="1:2">
      <c r="A31" s="1119" t="s">
        <v>576</v>
      </c>
      <c r="B31" s="1120">
        <f ca="1">'预评函-2'!D15</f>
        <v>487</v>
      </c>
    </row>
    <row r="32" spans="1:2">
      <c r="A32" s="1119" t="s">
        <v>543</v>
      </c>
      <c r="B32" s="1120" t="str">
        <f ca="1">'预评函-2'!D14</f>
        <v>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8" t="s">
        <v>2583</v>
      </c>
      <c r="J2" s="3198"/>
      <c r="K2" s="3198"/>
      <c r="L2" s="3198"/>
      <c r="M2" s="3198"/>
      <c r="N2" s="3198"/>
      <c r="O2" s="3198"/>
      <c r="P2" s="3198"/>
      <c r="Q2" s="3198"/>
      <c r="R2" s="3198"/>
    </row>
    <row r="3" spans="1:18">
      <c r="A3" s="2762" t="s">
        <v>2504</v>
      </c>
      <c r="B3" s="2763">
        <f>项目基本情况!D3</f>
        <v>44942</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6" t="str">
        <f>IF(B10="北京市","北京市",C10)&amp;F10&amp;IF(结果表!G1="在建","出让国有建设用地使用权及在建建筑物",IF(结果表!G1="土地","出让国有建设用地使用权",))&amp;B9&amp;"预评估"</f>
        <v>房地产市场价值预评估</v>
      </c>
      <c r="C1" s="3207"/>
      <c r="D1" s="3207"/>
      <c r="E1" s="3207"/>
      <c r="F1" s="3207"/>
      <c r="G1" s="3207"/>
      <c r="H1" s="3207"/>
      <c r="I1" s="320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3411</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9"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10"/>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65385</v>
      </c>
      <c r="D13" s="803"/>
      <c r="E13" s="803"/>
      <c r="F13" s="803">
        <v>58082</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56</v>
      </c>
      <c r="D15" s="2220" t="str">
        <f>IF(A13="出让",IF(D13="","",ROUNDDOWN(MIN((D13-$D$3)/365,D14),2)),D14)</f>
        <v/>
      </c>
      <c r="E15" s="2220" t="str">
        <f>IF(A13="出让",IF(E13="","",ROUNDDOWN(MIN((E13-$D$3)/365,E14),2)),E14)</f>
        <v/>
      </c>
      <c r="F15" s="2220">
        <f>IF(A13="出让",IF(F13="","",ROUNDDOWN(MIN((F13-$D$3)/365,F14),2)),F14)</f>
        <v>36</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6"/>
      <c r="C16" s="3217"/>
      <c r="D16" s="3218"/>
      <c r="E16" s="2221" t="s">
        <v>2194</v>
      </c>
      <c r="F16" s="3219"/>
      <c r="G16" s="3220"/>
      <c r="H16" s="3220"/>
      <c r="I16" s="3221"/>
      <c r="J16" s="2244"/>
      <c r="K16" s="2402"/>
      <c r="L16" s="1670"/>
      <c r="M16" s="1670"/>
      <c r="N16" s="2244"/>
      <c r="O16" s="1670"/>
      <c r="P16" s="2244"/>
      <c r="Q16" s="2244"/>
      <c r="R16" s="2244"/>
    </row>
    <row r="17" spans="1:28">
      <c r="A17" s="305" t="s">
        <v>2195</v>
      </c>
      <c r="B17" s="294" t="s">
        <v>2196</v>
      </c>
      <c r="C17" s="8">
        <f>'数据-汇总表'!E3</f>
        <v>35</v>
      </c>
      <c r="D17" s="1256" t="s">
        <v>2197</v>
      </c>
      <c r="E17" s="3222" t="s">
        <v>2198</v>
      </c>
      <c r="F17" s="3223"/>
      <c r="G17" s="3223"/>
      <c r="H17" s="3223"/>
      <c r="I17" s="322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5" t="s">
        <v>2202</v>
      </c>
      <c r="F18" s="3226"/>
      <c r="G18" s="3226"/>
      <c r="H18" s="3226"/>
      <c r="I18" s="3227"/>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1"/>
      <c r="B30" s="294" t="s">
        <v>2218</v>
      </c>
      <c r="C30" s="3202"/>
      <c r="D30" s="3203"/>
      <c r="E30" s="2441"/>
      <c r="F30" s="2441"/>
      <c r="G30" s="2441"/>
      <c r="H30" s="2441"/>
      <c r="I30" s="2441"/>
      <c r="J30" s="2244"/>
      <c r="K30" s="2401"/>
      <c r="L30" s="2398"/>
      <c r="M30" s="2398"/>
      <c r="N30" s="2244"/>
      <c r="O30" s="1670"/>
      <c r="P30" s="2244"/>
      <c r="Q30" s="2244"/>
      <c r="R30" s="2244"/>
      <c r="S30" s="2244"/>
      <c r="T30" s="2244"/>
      <c r="U30" s="2244"/>
      <c r="V30" s="2244"/>
    </row>
    <row r="31" spans="1:28">
      <c r="A31" s="3204"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9" t="s">
        <v>2228</v>
      </c>
      <c r="T34" s="315" t="str">
        <f>NUMBERSTRING(7-K34,1)&amp;"通"</f>
        <v>七通</v>
      </c>
      <c r="U34" s="2244"/>
      <c r="V34" s="2244"/>
    </row>
    <row r="35" spans="1:30">
      <c r="A35" s="2235"/>
      <c r="B35" s="3199" t="s">
        <v>2229</v>
      </c>
      <c r="C35" s="3199"/>
      <c r="D35" s="3199"/>
      <c r="E35" s="319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35</v>
      </c>
      <c r="H5" s="13">
        <f t="shared" ref="H5:AT5" si="0">SUM(H13:H656)</f>
        <v>35</v>
      </c>
      <c r="I5" s="13">
        <f t="shared" si="0"/>
        <v>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v>
      </c>
      <c r="BA5" s="15">
        <f t="shared" si="1"/>
        <v>35</v>
      </c>
      <c r="BB5" s="15">
        <f t="shared" si="1"/>
        <v>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0</v>
      </c>
      <c r="F13" s="29"/>
      <c r="G13" s="30">
        <f>H13+AC13+AT13</f>
        <v>35</v>
      </c>
      <c r="H13" s="17">
        <f>SUMIF(I$12:AB$12,"总值",I13:AB13)</f>
        <v>35</v>
      </c>
      <c r="I13" s="1514">
        <v>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v>
      </c>
      <c r="BA13" s="13">
        <f>SUM(BB13:BK13)</f>
        <v>35</v>
      </c>
      <c r="BB13" s="13">
        <f>IF($D13="是",I13-J13,0)</f>
        <v>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0</v>
      </c>
      <c r="E3" s="41">
        <f>'数据-基础表'!AZ5</f>
        <v>35</v>
      </c>
      <c r="F3" s="2438"/>
      <c r="G3" s="42"/>
      <c r="H3" s="43" t="s">
        <v>1106</v>
      </c>
      <c r="I3" s="802" t="e">
        <f>ROUND('数据-基础表'!B3/'数据-基础表'!A3,2)</f>
        <v>#DIV/0!</v>
      </c>
      <c r="J3" s="2438"/>
      <c r="K3" s="2438"/>
      <c r="L3" s="2438"/>
      <c r="M3" s="2438"/>
      <c r="N3" s="2439"/>
      <c r="O3" s="2438"/>
      <c r="P3" s="2438"/>
    </row>
    <row r="4" spans="1:16" ht="15">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2" t="s">
        <v>1110</v>
      </c>
      <c r="C5" s="3242"/>
      <c r="D5" s="43">
        <f>ROUND($D$3*E5/$E$3,2)</f>
        <v>0</v>
      </c>
      <c r="E5" s="44">
        <f>SUMIF('数据-基础表'!$11:$11,"住宅",'数据-基础表'!$5:$5)</f>
        <v>35</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34"/>
      <c r="B7" s="3235"/>
      <c r="C7" s="323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35</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3413</v>
      </c>
      <c r="D19" s="43">
        <f>ROUND($D$3*E19/$E$3,2)</f>
        <v>0</v>
      </c>
      <c r="E19" s="51">
        <f t="shared" ref="E19:E26" si="1">SUM(F19:G19)</f>
        <v>35</v>
      </c>
      <c r="F19" s="2557">
        <f>'数据-基础表'!I13</f>
        <v>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35</v>
      </c>
      <c r="F27" s="1072">
        <f>IF(SUM(F19:F26)=E8,SUM(F19:F26),"地上面积有误")</f>
        <v>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35</v>
      </c>
      <c r="F31" s="644">
        <f>F27+F30</f>
        <v>35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27" activePane="bottomRight" state="frozen"/>
      <selection activeCell="C50" sqref="C50"/>
      <selection pane="topRight" activeCell="C50" sqref="C50"/>
      <selection pane="bottomLeft" activeCell="C50" sqref="C50"/>
      <selection pane="bottomRight" activeCell="N43" sqref="N4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3340</v>
      </c>
      <c r="D6" s="805">
        <f>SUMIF(项目基本情况!C$12:I$12,C6,项目基本情况!C$14:I$14)</f>
        <v>50</v>
      </c>
      <c r="E6" s="804">
        <f>IF(B6="","",SUMIF(项目基本情况!C$12:I$12,C6,项目基本情况!C$13:I$13))</f>
        <v>58082</v>
      </c>
      <c r="F6" s="61">
        <f>SUMIF(项目基本情况!C$12:I$12,C6,项目基本情况!C$15:I$15)</f>
        <v>36</v>
      </c>
      <c r="G6" s="62">
        <f>IF(ISERROR(ROUND(POWER(1+H6,D6-F6)*(POWER(1+H6,F6)-1)/(POWER(1+H6,D6)-1),3)),0,ROUND(POWER(1+H6,D6-F6)*(POWER(1+H6,F6)-1)/(POWER(1+H6,D6)-1),3))</f>
        <v>0.88</v>
      </c>
      <c r="H6" s="691">
        <v>0.04</v>
      </c>
      <c r="I6" s="691">
        <v>4.4999999999999998E-2</v>
      </c>
      <c r="J6" s="63">
        <v>0.06</v>
      </c>
      <c r="K6" s="970">
        <f>SUMIF('数据-汇总表'!C$19:C$33,A6,'数据-汇总表'!E$19:E$33)</f>
        <v>35</v>
      </c>
      <c r="L6" s="692">
        <v>2000</v>
      </c>
      <c r="M6" s="64">
        <f t="shared" ref="M6:M14" si="0">ROUND(K6*L6/10000,0)</f>
        <v>7</v>
      </c>
      <c r="N6" s="690">
        <f>ROUND(1-(2023-2011)/60,2)</f>
        <v>0.8</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200</v>
      </c>
      <c r="V6" s="67">
        <v>0.02</v>
      </c>
      <c r="W6" s="67">
        <v>0.1</v>
      </c>
      <c r="X6" s="979"/>
      <c r="Y6" s="68">
        <f>N6</f>
        <v>0.8</v>
      </c>
      <c r="Z6" s="69"/>
      <c r="AA6" s="63"/>
      <c r="AB6" s="63"/>
      <c r="AC6" s="979"/>
      <c r="AD6" s="70"/>
      <c r="AE6" s="980">
        <f ca="1">IF(AN6="",0,SUMIF(INDIRECT("'"&amp;AN6&amp;"'"&amp;"!E:E"),$AE$5,INDIRECT("'"&amp;AN6&amp;"'"&amp;"!F:F")))</f>
        <v>36</v>
      </c>
      <c r="AF6" s="74"/>
      <c r="AG6" s="130">
        <f>IF(AF6="",0,AE6-AF6)</f>
        <v>0</v>
      </c>
      <c r="AH6" s="71">
        <v>1</v>
      </c>
      <c r="AI6" s="73">
        <v>12</v>
      </c>
      <c r="AJ6" s="74"/>
      <c r="AK6" s="75">
        <v>0.01</v>
      </c>
      <c r="AL6" s="76">
        <v>1E-3</v>
      </c>
      <c r="AM6" s="77">
        <v>0.01</v>
      </c>
      <c r="AN6" s="1589" t="s">
        <v>3408</v>
      </c>
      <c r="AO6" s="50">
        <f ca="1">SUMIF(INDIRECT("'"&amp;AN6&amp;"'"&amp;"!A:A"),"总价",INDIRECT("'"&amp;AN6&amp;"'"&amp;"!B:B"))</f>
        <v>1.7057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0.04</v>
      </c>
      <c r="I16" s="85"/>
      <c r="J16" s="85"/>
      <c r="K16" s="86">
        <f>SUM(K6:K15)</f>
        <v>35</v>
      </c>
      <c r="L16" s="87">
        <f>ROUND(M16*10000/SUM(K6:K14),0)</f>
        <v>2000</v>
      </c>
      <c r="M16" s="87">
        <f>SUM(M6:M14)</f>
        <v>7</v>
      </c>
      <c r="N16" s="88">
        <f>ROUND(SUMPRODUCT(M6:M14,N6:N14)/M16,3)</f>
        <v>0.8</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v>2011</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3395</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3410</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44942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1.7057</v>
      </c>
      <c r="C5" s="2299">
        <f ca="1">IF(B5=D14,结果表!H102,ROUND(B5*10000/$B$1,0))</f>
        <v>487</v>
      </c>
      <c r="D5" s="2299" t="e">
        <f ca="1">ROUND(B5*10000/$B$2,0)</f>
        <v>#DIV/0!</v>
      </c>
      <c r="E5" s="2461"/>
      <c r="F5" s="2462"/>
      <c r="G5" s="2462"/>
      <c r="H5" s="2462"/>
      <c r="I5" s="2462"/>
      <c r="J5" s="2462"/>
      <c r="K5" s="2462"/>
    </row>
    <row r="6" spans="1:11" ht="16.5">
      <c r="A6" s="2299" t="s">
        <v>656</v>
      </c>
      <c r="B6" s="2299">
        <f>SUM(G14:G23)</f>
        <v>0</v>
      </c>
      <c r="C6" s="2299">
        <f ca="1">IF(B6=G14,结果表!H108,ROUND(B6*10000/$B$1,0))</f>
        <v>487</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35</v>
      </c>
      <c r="C14" s="2305"/>
      <c r="D14" s="2305">
        <f ca="1">结果表!C19</f>
        <v>1.7057</v>
      </c>
      <c r="E14" s="2305">
        <f ca="1">ROUND(D14*10000/B14,0)</f>
        <v>487</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118" sqref="H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9" t="str">
        <f>项目基本情况!S2</f>
        <v>房地产</v>
      </c>
      <c r="B2" s="3280"/>
      <c r="C2" s="3280"/>
      <c r="D2" s="3280"/>
      <c r="E2" s="3280"/>
      <c r="F2" s="3280"/>
      <c r="G2" s="3280"/>
      <c r="H2" s="3280"/>
      <c r="I2" s="3281"/>
    </row>
    <row r="3" spans="1:12" ht="12.75">
      <c r="A3" s="3283" t="s">
        <v>1264</v>
      </c>
      <c r="B3" s="3284"/>
      <c r="C3" s="3284"/>
      <c r="D3" s="3284"/>
      <c r="E3" s="3284"/>
      <c r="F3" s="3284"/>
      <c r="G3" s="3284"/>
      <c r="H3" s="3284"/>
      <c r="I3" s="3284"/>
    </row>
    <row r="4" spans="1:12" ht="14.25">
      <c r="A4" s="1624" t="s">
        <v>1265</v>
      </c>
      <c r="B4" s="1625" t="s">
        <v>1266</v>
      </c>
      <c r="C4" s="1626" t="s">
        <v>3408</v>
      </c>
      <c r="D4" s="1626" t="s">
        <v>3408</v>
      </c>
      <c r="E4" s="3285" t="s">
        <v>1267</v>
      </c>
      <c r="F4" s="3286"/>
      <c r="G4" s="3286"/>
      <c r="H4" s="3286"/>
      <c r="I4" s="328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246">
        <v>25</v>
      </c>
      <c r="C5" s="3262"/>
      <c r="D5" s="3282"/>
      <c r="E5" s="123" t="s">
        <v>1269</v>
      </c>
      <c r="F5" s="1627"/>
      <c r="G5" s="1627"/>
      <c r="H5" s="1627"/>
      <c r="I5" s="1281"/>
    </row>
    <row r="6" spans="1:12" ht="12.75">
      <c r="A6" s="3259"/>
      <c r="B6" s="3246"/>
      <c r="C6" s="3263"/>
      <c r="D6" s="3282"/>
      <c r="E6" s="123" t="s">
        <v>1270</v>
      </c>
      <c r="F6" s="1627"/>
      <c r="G6" s="1627"/>
      <c r="H6" s="1627"/>
      <c r="I6" s="1281"/>
    </row>
    <row r="7" spans="1:12" ht="12.75">
      <c r="A7" s="3259"/>
      <c r="B7" s="3246"/>
      <c r="C7" s="3264"/>
      <c r="D7" s="3282"/>
      <c r="E7" s="123" t="s">
        <v>1271</v>
      </c>
      <c r="F7" s="1627"/>
      <c r="G7" s="1627"/>
      <c r="H7" s="1627"/>
      <c r="I7" s="1281"/>
    </row>
    <row r="8" spans="1:12" ht="12.75">
      <c r="A8" s="3259" t="s">
        <v>1272</v>
      </c>
      <c r="B8" s="3246">
        <v>15</v>
      </c>
      <c r="C8" s="3262"/>
      <c r="D8" s="3282"/>
      <c r="E8" s="123" t="s">
        <v>1273</v>
      </c>
      <c r="F8" s="1627"/>
      <c r="G8" s="1627"/>
      <c r="H8" s="1627"/>
      <c r="I8" s="1281"/>
    </row>
    <row r="9" spans="1:12" ht="12.75">
      <c r="A9" s="3259"/>
      <c r="B9" s="3246"/>
      <c r="C9" s="3264"/>
      <c r="D9" s="3282"/>
      <c r="E9" s="123" t="s">
        <v>1274</v>
      </c>
      <c r="F9" s="1627"/>
      <c r="G9" s="1627"/>
      <c r="H9" s="1627"/>
      <c r="I9" s="1281"/>
    </row>
    <row r="10" spans="1:12" ht="12.75">
      <c r="A10" s="3259" t="s">
        <v>1275</v>
      </c>
      <c r="B10" s="3246">
        <v>15</v>
      </c>
      <c r="C10" s="3262"/>
      <c r="D10" s="3282"/>
      <c r="E10" s="123" t="s">
        <v>1276</v>
      </c>
      <c r="F10" s="1627"/>
      <c r="G10" s="1627"/>
      <c r="H10" s="1627"/>
      <c r="I10" s="1281"/>
    </row>
    <row r="11" spans="1:12" ht="12.75">
      <c r="A11" s="3259"/>
      <c r="B11" s="3246"/>
      <c r="C11" s="3264"/>
      <c r="D11" s="3282"/>
      <c r="E11" s="123" t="s">
        <v>1277</v>
      </c>
      <c r="F11" s="1627"/>
      <c r="G11" s="1627"/>
      <c r="H11" s="1627"/>
      <c r="I11" s="1281"/>
    </row>
    <row r="12" spans="1:12" ht="12.75">
      <c r="A12" s="3259" t="s">
        <v>1278</v>
      </c>
      <c r="B12" s="3246">
        <v>15</v>
      </c>
      <c r="C12" s="3262"/>
      <c r="D12" s="3282"/>
      <c r="E12" s="123" t="s">
        <v>1279</v>
      </c>
      <c r="F12" s="1627"/>
      <c r="G12" s="1627"/>
      <c r="H12" s="1627"/>
      <c r="I12" s="1281"/>
    </row>
    <row r="13" spans="1:12" ht="12.75">
      <c r="A13" s="3259"/>
      <c r="B13" s="3246"/>
      <c r="C13" s="3264"/>
      <c r="D13" s="3282"/>
      <c r="E13" s="123" t="s">
        <v>1280</v>
      </c>
      <c r="F13" s="1627"/>
      <c r="G13" s="1627"/>
      <c r="H13" s="1627"/>
      <c r="I13" s="1281"/>
    </row>
    <row r="14" spans="1:12" ht="12.75">
      <c r="A14" s="3259" t="s">
        <v>1281</v>
      </c>
      <c r="B14" s="3246">
        <v>30</v>
      </c>
      <c r="C14" s="3262">
        <v>1</v>
      </c>
      <c r="D14" s="3282">
        <v>0</v>
      </c>
      <c r="E14" s="123" t="s">
        <v>1282</v>
      </c>
      <c r="F14" s="1627"/>
      <c r="G14" s="1627"/>
      <c r="H14" s="1627"/>
      <c r="I14" s="1281"/>
    </row>
    <row r="15" spans="1:12" ht="12.75">
      <c r="A15" s="3259"/>
      <c r="B15" s="3246"/>
      <c r="C15" s="3263"/>
      <c r="D15" s="3282"/>
      <c r="E15" s="123" t="s">
        <v>1283</v>
      </c>
      <c r="F15" s="1627"/>
      <c r="G15" s="1627"/>
      <c r="H15" s="1627"/>
      <c r="I15" s="1281"/>
    </row>
    <row r="16" spans="1:12" ht="12.75">
      <c r="A16" s="3259"/>
      <c r="B16" s="3246"/>
      <c r="C16" s="3264"/>
      <c r="D16" s="3282"/>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269" t="s">
        <v>2131</v>
      </c>
      <c r="F18" s="3270"/>
      <c r="G18" s="3270"/>
      <c r="H18" s="3270"/>
      <c r="I18" s="3270"/>
      <c r="K18" s="294" t="s">
        <v>1289</v>
      </c>
      <c r="L18" s="294">
        <f>IF(C1="",'数据-汇总表'!E3,SUMIF(项目类型,C1,'数据-汇总表'!E17:E26)+SUMIF(项目类型,C1,'数据-汇总表'!I17:I26))</f>
        <v>35</v>
      </c>
      <c r="M18" s="294">
        <f>IF(C1="",'数据-汇总表'!E3,SUMIF(项目类型,C1,'数据-汇总表'!E17:E26))</f>
        <v>35</v>
      </c>
    </row>
    <row r="19" spans="1:36" ht="15">
      <c r="A19" s="1630" t="s">
        <v>1290</v>
      </c>
      <c r="B19" s="1631" t="s">
        <v>1291</v>
      </c>
      <c r="C19" s="126">
        <f ca="1">SUMIF(INDIRECT("'"&amp;C4&amp;"'"&amp;"!A:A"),结果表!B19,INDIRECT("'"&amp;C4&amp;"'"&amp;"!B:B"))</f>
        <v>1.7057</v>
      </c>
      <c r="D19" s="127">
        <f ca="1">SUMIF(INDIRECT("'"&amp;D4&amp;"'"&amp;"!A:A"),结果表!B19,INDIRECT("'"&amp;D4&amp;"'"&amp;"!B:B"))</f>
        <v>1.7057</v>
      </c>
      <c r="E19" s="1630" t="s">
        <v>1292</v>
      </c>
      <c r="F19" s="1631" t="s">
        <v>1291</v>
      </c>
      <c r="G19" s="128">
        <f ca="1">ROUND(C19*$C$18+D19*$D$18,0)</f>
        <v>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487</v>
      </c>
      <c r="D20" s="130">
        <f ca="1">SUMIF(INDIRECT("'"&amp;D4&amp;"'"&amp;"!A:A"),结果表!B20,INDIRECT("'"&amp;D4&amp;"'"&amp;"!B:B"))</f>
        <v>487</v>
      </c>
      <c r="E20" s="1633"/>
      <c r="F20" s="43" t="s">
        <v>1295</v>
      </c>
      <c r="G20" s="131">
        <f ca="1">ROUND(C20*$C$18+D20*$D$18,0)</f>
        <v>487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253" t="s">
        <v>1299</v>
      </c>
      <c r="B24" s="1631" t="s">
        <v>1291</v>
      </c>
      <c r="C24" s="128">
        <f>IF(B30=0,0,D30)</f>
        <v>0</v>
      </c>
      <c r="D24" s="1637"/>
      <c r="E24" s="121"/>
      <c r="F24" s="121"/>
      <c r="G24" s="121"/>
      <c r="H24" s="121"/>
      <c r="I24" s="121"/>
    </row>
    <row r="25" spans="1:36" ht="14.25">
      <c r="A25" s="32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487</v>
      </c>
      <c r="D32" s="1641" t="s">
        <v>3407</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3" t="s">
        <v>1312</v>
      </c>
      <c r="B36" s="1652" t="s">
        <v>1313</v>
      </c>
      <c r="C36" s="137"/>
      <c r="D36" s="1653"/>
      <c r="E36" s="1567"/>
      <c r="F36" s="1654"/>
      <c r="G36" s="121"/>
      <c r="H36" s="121"/>
      <c r="I36" s="121"/>
    </row>
    <row r="37" spans="1:15" ht="15.75" thickBot="1">
      <c r="A37" s="3274"/>
      <c r="B37" s="1555" t="s">
        <v>1314</v>
      </c>
      <c r="C37" s="139"/>
      <c r="D37" s="1071"/>
      <c r="E37" s="1071"/>
      <c r="F37" s="1654"/>
      <c r="G37" s="121"/>
      <c r="H37" s="121"/>
      <c r="I37" s="121"/>
    </row>
    <row r="38" spans="1:15" ht="15.75" thickBot="1">
      <c r="A38" s="327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0" t="s">
        <v>1326</v>
      </c>
      <c r="B45" s="3251"/>
      <c r="C45" s="3252"/>
      <c r="D45" s="147">
        <f ca="1">ROUND(H101*F45,0)</f>
        <v>2</v>
      </c>
      <c r="E45" s="148" t="s">
        <v>1327</v>
      </c>
      <c r="F45" s="149">
        <v>1</v>
      </c>
      <c r="G45" s="150" t="s">
        <v>1328</v>
      </c>
      <c r="H45" s="121"/>
      <c r="I45" s="121"/>
      <c r="J45" s="3328" t="s">
        <v>1329</v>
      </c>
      <c r="K45" s="3328"/>
      <c r="L45" s="3328"/>
      <c r="M45" s="3328"/>
      <c r="N45" s="3328"/>
      <c r="O45" s="3328"/>
    </row>
    <row r="46" spans="1:15" ht="14.25" customHeight="1">
      <c r="A46" s="3247" t="s">
        <v>1330</v>
      </c>
      <c r="B46" s="3248"/>
      <c r="C46" s="3248"/>
      <c r="D46" s="3248"/>
      <c r="E46" s="3248"/>
      <c r="F46" s="3248"/>
      <c r="G46" s="3249"/>
      <c r="H46" s="1668"/>
      <c r="I46" s="151"/>
      <c r="J46" s="2309">
        <v>1</v>
      </c>
      <c r="K46" s="3309" t="s">
        <v>1331</v>
      </c>
      <c r="L46" s="3309"/>
      <c r="M46" s="3329"/>
      <c r="N46" s="3329"/>
      <c r="O46" s="3329"/>
    </row>
    <row r="47" spans="1:15" ht="12" customHeight="1">
      <c r="A47" s="152" t="s">
        <v>1332</v>
      </c>
      <c r="B47" s="153"/>
      <c r="C47" s="154"/>
      <c r="D47" s="1024" t="s">
        <v>1333</v>
      </c>
      <c r="E47" s="294" t="s">
        <v>1334</v>
      </c>
      <c r="F47" s="155" t="s">
        <v>1335</v>
      </c>
      <c r="G47" s="2332" t="s">
        <v>1336</v>
      </c>
      <c r="H47" s="2333"/>
      <c r="I47" s="151"/>
      <c r="J47" s="2309">
        <v>2</v>
      </c>
      <c r="K47" s="3309" t="s">
        <v>1337</v>
      </c>
      <c r="L47" s="3309"/>
      <c r="M47" s="3330">
        <f>'数据-取费表'!B2</f>
        <v>44942</v>
      </c>
      <c r="N47" s="3330"/>
      <c r="O47" s="3330"/>
    </row>
    <row r="48" spans="1:15" ht="25.5">
      <c r="A48" s="3278" t="s">
        <v>1338</v>
      </c>
      <c r="B48" s="3261"/>
      <c r="C48" s="3261"/>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309" t="s">
        <v>1340</v>
      </c>
      <c r="L48" s="3309"/>
      <c r="M48" s="3331">
        <f ca="1">H101</f>
        <v>2</v>
      </c>
      <c r="N48" s="3331"/>
      <c r="O48" s="3331"/>
    </row>
    <row r="49" spans="1:35" ht="25.5" customHeight="1">
      <c r="A49" s="2151" t="s">
        <v>1341</v>
      </c>
      <c r="B49" s="3245" t="s">
        <v>1342</v>
      </c>
      <c r="C49" s="3245"/>
      <c r="D49" s="1478">
        <v>0</v>
      </c>
      <c r="E49" s="316" t="s">
        <v>1343</v>
      </c>
      <c r="F49" s="2232" t="s">
        <v>28</v>
      </c>
      <c r="G49" s="3315"/>
      <c r="H49" s="2133" t="s">
        <v>2134</v>
      </c>
      <c r="I49" s="2134"/>
      <c r="J49" s="2309">
        <v>4</v>
      </c>
      <c r="K49" s="3309" t="str">
        <f>IF(项目基本情况!E8="房地产抵押价值","房地产抵押价值","抵押担保权已注销时的房地产抵押价值")</f>
        <v>抵押担保权已注销时的房地产抵押价值</v>
      </c>
      <c r="L49" s="3309"/>
      <c r="M49" s="3331" t="str">
        <f>IF(项目基本情况!E8="房地产抵押价值",H107,H109)</f>
        <v>——</v>
      </c>
      <c r="N49" s="3331"/>
      <c r="O49" s="3331"/>
    </row>
    <row r="50" spans="1:35" ht="25.5" customHeight="1">
      <c r="A50" s="2337"/>
      <c r="B50" s="3245" t="s">
        <v>1344</v>
      </c>
      <c r="C50" s="3245"/>
      <c r="D50" s="2188"/>
      <c r="E50" s="323"/>
      <c r="F50" s="2232"/>
      <c r="G50" s="3316"/>
      <c r="H50" s="2135" t="s">
        <v>2135</v>
      </c>
      <c r="I50" s="2134"/>
      <c r="J50" s="3328" t="s">
        <v>1345</v>
      </c>
      <c r="K50" s="3328"/>
      <c r="L50" s="3328"/>
      <c r="M50" s="3328"/>
      <c r="N50" s="3328"/>
      <c r="O50" s="3328"/>
    </row>
    <row r="51" spans="1:35" ht="20.45" customHeight="1">
      <c r="A51" s="2338"/>
      <c r="B51" s="3245" t="s">
        <v>1346</v>
      </c>
      <c r="C51" s="3245"/>
      <c r="D51" s="1024"/>
      <c r="E51" s="319"/>
      <c r="F51" s="2232"/>
      <c r="G51" s="3317"/>
      <c r="H51" s="2135" t="s">
        <v>2136</v>
      </c>
      <c r="I51" s="2134"/>
      <c r="J51" s="2310" t="s">
        <v>1347</v>
      </c>
      <c r="K51" s="3309" t="s">
        <v>1348</v>
      </c>
      <c r="L51" s="3309"/>
      <c r="M51" s="2310" t="s">
        <v>1349</v>
      </c>
      <c r="N51" s="2310" t="s">
        <v>1350</v>
      </c>
      <c r="O51" s="2310" t="s">
        <v>1351</v>
      </c>
    </row>
    <row r="52" spans="1:35" ht="24" customHeight="1">
      <c r="A52" s="2152" t="s">
        <v>1352</v>
      </c>
      <c r="B52" s="3245" t="s">
        <v>1353</v>
      </c>
      <c r="C52" s="3245"/>
      <c r="D52" s="1024">
        <f ca="1">ROUND(D45*'数据-取费表'!B41/(1+'数据-取费表'!C42),0)</f>
        <v>0</v>
      </c>
      <c r="E52" s="1256" t="s">
        <v>1354</v>
      </c>
      <c r="F52" s="2339">
        <f>'数据-取费表'!B41</f>
        <v>5.6500000000000002E-2</v>
      </c>
      <c r="G52" s="2340"/>
      <c r="H52" s="2330"/>
      <c r="I52" s="1669"/>
      <c r="J52" s="2309">
        <v>1</v>
      </c>
      <c r="K52" s="3310" t="s">
        <v>1355</v>
      </c>
      <c r="L52" s="3310"/>
      <c r="M52" s="2311" t="b">
        <f>D48</f>
        <v>0</v>
      </c>
      <c r="N52" s="2309" t="str">
        <f>E48</f>
        <v>销售额×税（费）率</v>
      </c>
      <c r="O52" s="2312">
        <f>F48</f>
        <v>5.6500000000000002E-2</v>
      </c>
    </row>
    <row r="53" spans="1:35" ht="12" customHeight="1">
      <c r="A53" s="2152" t="s">
        <v>1356</v>
      </c>
      <c r="B53" s="3271" t="s">
        <v>2291</v>
      </c>
      <c r="C53" s="3272"/>
      <c r="D53" s="1024">
        <f ca="1">ROUND(D45*'数据-取费表'!B41/(1+'数据-取费表'!C42),0)</f>
        <v>0</v>
      </c>
      <c r="E53" s="1256" t="s">
        <v>1354</v>
      </c>
      <c r="F53" s="2339">
        <f>'数据-取费表'!B41</f>
        <v>5.6500000000000002E-2</v>
      </c>
      <c r="G53" s="2340"/>
      <c r="H53" s="2330"/>
      <c r="I53" s="1669"/>
      <c r="J53" s="2309">
        <v>2</v>
      </c>
      <c r="K53" s="3310" t="s">
        <v>1357</v>
      </c>
      <c r="L53" s="3310"/>
      <c r="M53" s="2311">
        <f t="shared" ref="M53:O54" ca="1" si="0">D55</f>
        <v>0</v>
      </c>
      <c r="N53" s="2309" t="str">
        <f t="shared" si="0"/>
        <v>销售额×税（费）率</v>
      </c>
      <c r="O53" s="2312" t="str">
        <f t="shared" si="0"/>
        <v>免征</v>
      </c>
    </row>
    <row r="54" spans="1:35" ht="12" customHeight="1">
      <c r="A54" s="2152" t="s">
        <v>1358</v>
      </c>
      <c r="B54" s="3271" t="s">
        <v>2292</v>
      </c>
      <c r="C54" s="3272"/>
      <c r="D54" s="1024">
        <f ca="1">C68</f>
        <v>0</v>
      </c>
      <c r="E54" s="319" t="s">
        <v>1359</v>
      </c>
      <c r="F54" s="2339">
        <f>'数据-取费表'!B41</f>
        <v>5.6500000000000002E-2</v>
      </c>
      <c r="G54" s="2340"/>
      <c r="H54" s="2341"/>
      <c r="I54" s="1669"/>
      <c r="J54" s="2309">
        <v>3</v>
      </c>
      <c r="K54" s="3310" t="s">
        <v>1360</v>
      </c>
      <c r="L54" s="3310"/>
      <c r="M54" s="2311" t="e">
        <f t="shared" ca="1" si="0"/>
        <v>#DIV/0!</v>
      </c>
      <c r="N54" s="2309" t="str">
        <f t="shared" si="0"/>
        <v>增值额×税（费）率</v>
      </c>
      <c r="O54" s="2313" t="str">
        <f t="shared" si="0"/>
        <v>免征</v>
      </c>
    </row>
    <row r="55" spans="1:35" ht="24" customHeight="1">
      <c r="A55" s="3260" t="s">
        <v>1361</v>
      </c>
      <c r="B55" s="3261"/>
      <c r="C55" s="3261"/>
      <c r="D55" s="12">
        <f ca="1">IF(H55="个人住宅",0,ROUND(D45*I55,0))</f>
        <v>0</v>
      </c>
      <c r="E55" s="1256" t="s">
        <v>1362</v>
      </c>
      <c r="F55" s="2339" t="str">
        <f>IF(H55="正常",I55,"免征")</f>
        <v>免征</v>
      </c>
      <c r="G55" s="2340"/>
      <c r="H55" s="2336"/>
      <c r="I55" s="157">
        <f>'数据-取费表'!B49</f>
        <v>5.0000000000000001E-4</v>
      </c>
      <c r="J55" s="2309">
        <f>IF(H59="非个人房产","",4)</f>
        <v>4</v>
      </c>
      <c r="K55" s="3310" t="str">
        <f>IF(H59="非个人房产","——","个人所得税")</f>
        <v>个人所得税</v>
      </c>
      <c r="L55" s="3310"/>
      <c r="M55" s="2314">
        <f ca="1">D59</f>
        <v>0</v>
      </c>
      <c r="N55" s="1882" t="str">
        <f>E59</f>
        <v>差额计税</v>
      </c>
      <c r="O55" s="2315">
        <f>F59</f>
        <v>0.01</v>
      </c>
    </row>
    <row r="56" spans="1:35" ht="24.75">
      <c r="A56" s="3260" t="s">
        <v>1363</v>
      </c>
      <c r="B56" s="3261"/>
      <c r="C56" s="3261"/>
      <c r="D56" s="12" t="e">
        <f ca="1">IF(H56="个人住宅",D57,D58)</f>
        <v>#DIV/0!</v>
      </c>
      <c r="E56" s="1256" t="s">
        <v>1364</v>
      </c>
      <c r="F56" s="2339" t="str">
        <f>IF(H56="正常",F58,"免征")</f>
        <v>免征</v>
      </c>
      <c r="G56" s="2342" t="s">
        <v>1365</v>
      </c>
      <c r="H56" s="2343"/>
      <c r="I56" s="1670"/>
      <c r="J56" s="2309" t="str">
        <f>IF(项目基本情况!K6="上海银行",IF(J55="",4,J55+1),"")</f>
        <v/>
      </c>
      <c r="K56" s="3333" t="str">
        <f>IF(项目基本情况!K6="上海银行","其他处置费用","")</f>
        <v/>
      </c>
      <c r="L56" s="3334"/>
      <c r="M56" s="2311" t="str">
        <f>IF(项目基本情况!K6="上海银行",M69,"")</f>
        <v/>
      </c>
      <c r="N56" s="3333" t="str">
        <f>IF(项目基本情况!K6="上海银行","包含处置中涉及的律师、诉讼、拍卖、评估等费用","")</f>
        <v/>
      </c>
      <c r="O56" s="3336"/>
    </row>
    <row r="57" spans="1:35" ht="12.75">
      <c r="A57" s="2152" t="s">
        <v>1341</v>
      </c>
      <c r="B57" s="3271" t="s">
        <v>1366</v>
      </c>
      <c r="C57" s="3272"/>
      <c r="D57" s="1478">
        <v>0</v>
      </c>
      <c r="E57" s="316" t="s">
        <v>1343</v>
      </c>
      <c r="F57" s="294"/>
      <c r="G57" s="2340"/>
      <c r="H57" s="2344"/>
      <c r="I57" s="1670"/>
      <c r="J57" s="3310">
        <f>IF(AND(J55="",J56=""),4,IF(项目基本情况!K6="上海银行",结果表!J56+1,结果表!J55+1))</f>
        <v>5</v>
      </c>
      <c r="K57" s="3310" t="s">
        <v>1367</v>
      </c>
      <c r="L57" s="2316" t="s">
        <v>1368</v>
      </c>
      <c r="M57" s="2317"/>
      <c r="N57" s="2318">
        <f ca="1">SUMIF(M52:M56,"&lt;9e307")</f>
        <v>0</v>
      </c>
      <c r="O57" s="2319"/>
      <c r="P57" s="2464" t="e">
        <f ca="1">N57/M49</f>
        <v>#VALUE!</v>
      </c>
    </row>
    <row r="58" spans="1:35" ht="24.75">
      <c r="A58" s="2152" t="s">
        <v>1352</v>
      </c>
      <c r="B58" s="3271" t="s">
        <v>1369</v>
      </c>
      <c r="C58" s="3245"/>
      <c r="D58" s="12" t="e">
        <f ca="1">IF(H58="转让取得",C81,C97)</f>
        <v>#DIV/0!</v>
      </c>
      <c r="E58" s="1256" t="s">
        <v>1364</v>
      </c>
      <c r="F58" s="294" t="s">
        <v>28</v>
      </c>
      <c r="G58" s="2340"/>
      <c r="H58" s="2343"/>
      <c r="I58" s="1670"/>
      <c r="J58" s="3310"/>
      <c r="K58" s="3310"/>
      <c r="L58" s="2316" t="s">
        <v>1370</v>
      </c>
      <c r="M58" s="2320"/>
      <c r="N58" s="2321" t="str">
        <f ca="1">NUMBERSTRING(INT(N57*10000),2)&amp;"元整"</f>
        <v>零元整</v>
      </c>
      <c r="O58" s="2322"/>
    </row>
    <row r="59" spans="1:35" ht="24.75" thickBot="1">
      <c r="A59" s="3313" t="s">
        <v>1371</v>
      </c>
      <c r="B59" s="3314"/>
      <c r="C59" s="3314"/>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1">
        <f>J57+1</f>
        <v>6</v>
      </c>
      <c r="K59" s="3310" t="s">
        <v>1372</v>
      </c>
      <c r="L59" s="2309" t="s">
        <v>1368</v>
      </c>
      <c r="M59" s="2323"/>
      <c r="N59" s="2324" t="e">
        <f ca="1">M49-N57</f>
        <v>#VALUE!</v>
      </c>
      <c r="O59" s="2325"/>
    </row>
    <row r="60" spans="1:35" ht="12" customHeight="1">
      <c r="A60" s="1671"/>
      <c r="B60" s="646"/>
      <c r="C60" s="646"/>
      <c r="D60" s="646"/>
      <c r="E60" s="1466"/>
      <c r="F60" s="1670"/>
      <c r="G60" s="1670"/>
      <c r="H60" s="151"/>
      <c r="I60" s="121"/>
      <c r="J60" s="3312"/>
      <c r="K60" s="3310"/>
      <c r="L60" s="2316" t="s">
        <v>1370</v>
      </c>
      <c r="M60" s="2320"/>
      <c r="N60" s="2321" t="e">
        <f ca="1">NUMBERSTRING(INT(N59*10000),2)&amp;"元整"</f>
        <v>#VALUE!</v>
      </c>
      <c r="O60" s="2322"/>
    </row>
    <row r="61" spans="1:35" ht="13.5" thickBot="1">
      <c r="A61" s="3258" t="s">
        <v>1373</v>
      </c>
      <c r="B61" s="3258"/>
      <c r="C61" s="3258"/>
      <c r="D61" s="3258"/>
      <c r="E61" s="3258"/>
      <c r="F61" s="1670"/>
      <c r="G61" s="1670"/>
      <c r="H61" s="151"/>
      <c r="I61" s="121"/>
      <c r="J61" s="2309">
        <f>J59+1</f>
        <v>7</v>
      </c>
      <c r="K61" s="3310" t="s">
        <v>1374</v>
      </c>
      <c r="L61" s="3310"/>
      <c r="M61" s="2326"/>
      <c r="N61" s="2327" t="e">
        <f ca="1">ROUND(N59*10000/'数据-汇总表'!E3,0)</f>
        <v>#VALUE!</v>
      </c>
      <c r="O61" s="2328"/>
    </row>
    <row r="62" spans="1:35" ht="12.75">
      <c r="A62" s="3276" t="s">
        <v>1375</v>
      </c>
      <c r="B62" s="3277"/>
      <c r="C62" s="1864"/>
      <c r="D62" s="1864" t="s">
        <v>1376</v>
      </c>
      <c r="E62" s="158" t="s">
        <v>1377</v>
      </c>
      <c r="F62" s="1670"/>
      <c r="G62" s="1670"/>
      <c r="H62" s="151"/>
      <c r="I62" s="121"/>
    </row>
    <row r="63" spans="1:35" ht="12.75">
      <c r="A63" s="165" t="s">
        <v>330</v>
      </c>
      <c r="B63" s="159" t="s">
        <v>1378</v>
      </c>
      <c r="C63" s="2349">
        <f ca="1">ROUND((C64+C65)/(1+'数据-取费表'!C42),0)</f>
        <v>2</v>
      </c>
      <c r="D63" s="159"/>
      <c r="E63" s="160"/>
      <c r="F63" s="1670"/>
      <c r="G63" s="1670"/>
      <c r="H63" s="151"/>
      <c r="I63" s="121"/>
      <c r="J63" s="333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v>
      </c>
      <c r="D64" s="162" t="s">
        <v>26</v>
      </c>
      <c r="E64" s="164"/>
      <c r="F64" s="1670"/>
      <c r="G64" s="1670"/>
      <c r="H64" s="151"/>
      <c r="I64" s="121"/>
      <c r="J64" s="333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5"/>
      <c r="K66" s="1245" t="s">
        <v>1387</v>
      </c>
      <c r="L66" s="1245" t="e">
        <f>M49*0.5%</f>
        <v>#VALUE!</v>
      </c>
      <c r="M66" s="294" t="e">
        <f>IF(L66&gt;0.5,0.5,ROUND(L66,0))</f>
        <v>#VALUE!</v>
      </c>
      <c r="N66" s="2330" t="s">
        <v>1388</v>
      </c>
      <c r="Z66" s="1623"/>
      <c r="AI66" s="1561"/>
    </row>
    <row r="67" spans="1:35" ht="14.25" customHeight="1">
      <c r="A67" s="165" t="s">
        <v>328</v>
      </c>
      <c r="B67" s="166" t="s">
        <v>1389</v>
      </c>
      <c r="C67" s="2353">
        <f ca="1">C63-C66</f>
        <v>2</v>
      </c>
      <c r="D67" s="162" t="s">
        <v>26</v>
      </c>
      <c r="E67" s="164"/>
      <c r="F67" s="1670"/>
      <c r="G67" s="1670"/>
      <c r="H67" s="151"/>
      <c r="I67" s="121"/>
      <c r="J67" s="333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0</v>
      </c>
      <c r="D68" s="2355">
        <f>'数据-取费表'!B41</f>
        <v>5.6500000000000002E-2</v>
      </c>
      <c r="E68" s="170"/>
      <c r="F68" s="1670"/>
      <c r="G68" s="1670"/>
      <c r="H68" s="151"/>
      <c r="I68" s="121"/>
      <c r="J68" s="333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5"/>
      <c r="K69" s="1245" t="s">
        <v>1393</v>
      </c>
      <c r="L69" s="1245"/>
      <c r="M69" s="294" t="e">
        <f>ROUND(SUM(M63:M68),0)</f>
        <v>#VALUE!</v>
      </c>
      <c r="N69" s="2331" t="e">
        <f>M69/M49</f>
        <v>#VALUE!</v>
      </c>
      <c r="Z69" s="1623"/>
      <c r="AI69" s="1561"/>
    </row>
    <row r="70" spans="1:35" s="642" customFormat="1" ht="15"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6" t="s">
        <v>1375</v>
      </c>
      <c r="B71" s="3277"/>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1" t="s">
        <v>1402</v>
      </c>
      <c r="F76" s="3245"/>
      <c r="G76" s="3245"/>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6.5000000000000006E-3</v>
      </c>
      <c r="E78" s="3255" t="s">
        <v>1406</v>
      </c>
      <c r="F78" s="3256"/>
      <c r="G78" s="3256"/>
      <c r="H78" s="326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6" t="s">
        <v>1375</v>
      </c>
      <c r="B84" s="3277"/>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37" t="s">
        <v>2129</v>
      </c>
      <c r="H90" s="333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5" t="s">
        <v>1419</v>
      </c>
      <c r="F91" s="3256"/>
      <c r="G91" s="32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5" t="s">
        <v>1422</v>
      </c>
      <c r="F92" s="3256"/>
      <c r="G92" s="3256"/>
      <c r="H92" s="326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6.5000000000000006E-3</v>
      </c>
      <c r="E93" s="3255" t="s">
        <v>1406</v>
      </c>
      <c r="F93" s="3256"/>
      <c r="G93" s="3256"/>
      <c r="H93" s="326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6" t="s">
        <v>1426</v>
      </c>
      <c r="F94" s="3267"/>
      <c r="G94" s="3267"/>
      <c r="H94" s="32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57"/>
      <c r="E100" s="3240" t="s">
        <v>1429</v>
      </c>
      <c r="F100" s="3240"/>
      <c r="G100" s="3240"/>
      <c r="H100" s="3257"/>
      <c r="I100" s="121"/>
    </row>
    <row r="101" spans="1:35" ht="18.75" customHeight="1">
      <c r="A101" s="3318" t="s">
        <v>1430</v>
      </c>
      <c r="B101" s="3319"/>
      <c r="C101" s="2370" t="str">
        <f>C4</f>
        <v>收益法 (元)</v>
      </c>
      <c r="D101" s="2371" t="str">
        <f>D4</f>
        <v>收益法 (元)</v>
      </c>
      <c r="E101" s="3332" t="s">
        <v>1431</v>
      </c>
      <c r="F101" s="3289"/>
      <c r="G101" s="1687" t="s">
        <v>1432</v>
      </c>
      <c r="H101" s="2380">
        <f ca="1">H118</f>
        <v>2</v>
      </c>
      <c r="I101" s="121"/>
    </row>
    <row r="102" spans="1:35" ht="18.75" customHeight="1">
      <c r="A102" s="3291" t="s">
        <v>1433</v>
      </c>
      <c r="B102" s="2369" t="s">
        <v>1432</v>
      </c>
      <c r="C102" s="2370">
        <f ca="1">IF(D32="楼面单价",ROUND(C19,0),C19)</f>
        <v>2</v>
      </c>
      <c r="D102" s="2371">
        <f ca="1">IF(D32="楼面单价",ROUND(D19,0),D19)</f>
        <v>2</v>
      </c>
      <c r="E102" s="3332"/>
      <c r="F102" s="3289"/>
      <c r="G102" s="1687" t="s">
        <v>1434</v>
      </c>
      <c r="H102" s="2340">
        <f ca="1">I118</f>
        <v>487</v>
      </c>
      <c r="I102" s="121"/>
    </row>
    <row r="103" spans="1:35" ht="42.75" customHeight="1">
      <c r="A103" s="3291"/>
      <c r="B103" s="2369" t="s">
        <v>1434</v>
      </c>
      <c r="C103" s="2372">
        <f ca="1">C20</f>
        <v>487</v>
      </c>
      <c r="D103" s="2373">
        <f ca="1">D20</f>
        <v>487</v>
      </c>
      <c r="E103" s="3326" t="s">
        <v>1435</v>
      </c>
      <c r="F103" s="3327"/>
      <c r="G103" s="1688" t="s">
        <v>1436</v>
      </c>
      <c r="H103" s="2380">
        <f>IF(D36="正常操作",H104+H105+H106,H105+H106)</f>
        <v>0</v>
      </c>
      <c r="I103" s="121"/>
    </row>
    <row r="104" spans="1:35" ht="18.75" customHeight="1">
      <c r="A104" s="3291" t="s">
        <v>1437</v>
      </c>
      <c r="B104" s="2374" t="s">
        <v>1432</v>
      </c>
      <c r="C104" s="2375">
        <f ca="1">H118</f>
        <v>2</v>
      </c>
      <c r="D104" s="2376"/>
      <c r="E104" s="1555" t="s">
        <v>1438</v>
      </c>
      <c r="F104" s="1548"/>
      <c r="G104" s="1688" t="s">
        <v>1436</v>
      </c>
      <c r="H104" s="2381">
        <f>IF(D36="同一抵押权人同一抵押物续贷",C36&amp;"（续贷，未扣减，详见特别提示）",C36)</f>
        <v>0</v>
      </c>
      <c r="I104" s="121"/>
    </row>
    <row r="105" spans="1:35" ht="18.75" customHeight="1" thickBot="1">
      <c r="A105" s="3292"/>
      <c r="B105" s="2377" t="s">
        <v>1434</v>
      </c>
      <c r="C105" s="2378">
        <f ca="1">I118</f>
        <v>487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8" t="str">
        <f>IF(项目基本情况!E8="已注销","——","3.房地产抵押价值")</f>
        <v>3.房地产抵押价值</v>
      </c>
      <c r="F107" s="3289"/>
      <c r="G107" s="1687" t="s">
        <v>1432</v>
      </c>
      <c r="H107" s="2380">
        <f ca="1">IF(E107="——","——",H101-H103)</f>
        <v>2</v>
      </c>
      <c r="I107" s="121"/>
    </row>
    <row r="108" spans="1:35" ht="18.75" customHeight="1">
      <c r="A108" s="121"/>
      <c r="B108" s="121"/>
      <c r="C108" s="121"/>
      <c r="D108" s="121"/>
      <c r="E108" s="3288"/>
      <c r="F108" s="3289"/>
      <c r="G108" s="1687" t="s">
        <v>1434</v>
      </c>
      <c r="H108" s="2340">
        <f ca="1">IF(H107=H101,H102,ROUND(H107*10000/'数据-汇总表'!E3,0))</f>
        <v>487</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89"/>
      <c r="G109" s="1687" t="s">
        <v>1432</v>
      </c>
      <c r="H109" s="2383" t="str">
        <f>IF(E109="——","——",H101-H105-H106)</f>
        <v>——</v>
      </c>
      <c r="I109" s="121"/>
    </row>
    <row r="110" spans="1:35" ht="18.75" customHeight="1">
      <c r="A110" s="121"/>
      <c r="B110" s="121"/>
      <c r="C110" s="121"/>
      <c r="D110" s="121"/>
      <c r="E110" s="3288"/>
      <c r="F110" s="3289"/>
      <c r="G110" s="1687"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290"/>
      <c r="G111" s="1687" t="s">
        <v>1432</v>
      </c>
      <c r="H111" s="2380" t="str">
        <f>IF(E111="——","——",N59)</f>
        <v>——</v>
      </c>
      <c r="I111" s="121"/>
    </row>
    <row r="112" spans="1:35" ht="18.75" customHeight="1" thickBot="1">
      <c r="A112" s="121"/>
      <c r="B112" s="121"/>
      <c r="C112" s="121"/>
      <c r="D112" s="121"/>
      <c r="E112" s="3321"/>
      <c r="F112" s="3322"/>
      <c r="G112" s="1690" t="s">
        <v>1434</v>
      </c>
      <c r="H112" s="2384"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59" t="s">
        <v>1443</v>
      </c>
      <c r="B116" s="3294" t="s">
        <v>1444</v>
      </c>
      <c r="C116" s="3294" t="s">
        <v>1445</v>
      </c>
      <c r="D116" s="3307" t="s">
        <v>1446</v>
      </c>
      <c r="E116" s="3308"/>
      <c r="F116" s="3302" t="s">
        <v>1447</v>
      </c>
      <c r="G116" s="3302"/>
      <c r="H116" s="3259" t="s">
        <v>1448</v>
      </c>
      <c r="I116" s="3259"/>
    </row>
    <row r="117" spans="1:27" ht="18.75" customHeight="1">
      <c r="A117" s="3259"/>
      <c r="B117" s="3295"/>
      <c r="C117" s="3295"/>
      <c r="D117" s="2149" t="s">
        <v>1449</v>
      </c>
      <c r="E117" s="2149" t="s">
        <v>1450</v>
      </c>
      <c r="F117" s="2149" t="s">
        <v>1449</v>
      </c>
      <c r="G117" s="2149" t="s">
        <v>1451</v>
      </c>
      <c r="H117" s="2149" t="s">
        <v>1449</v>
      </c>
      <c r="I117" s="2149" t="s">
        <v>1451</v>
      </c>
    </row>
    <row r="118" spans="1:27" ht="24.75" customHeight="1">
      <c r="A118" s="2385" t="str">
        <f>项目基本情况!S2</f>
        <v>房地产</v>
      </c>
      <c r="B118" s="2149">
        <f>M18</f>
        <v>35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2</v>
      </c>
      <c r="I118" s="2149">
        <f ca="1">ROUND(IF(D32="楼面单价",C32,H118*10000/B118),0)</f>
        <v>487</v>
      </c>
    </row>
    <row r="119" spans="1:27" ht="18.75" customHeight="1">
      <c r="A119" s="3259" t="s">
        <v>1452</v>
      </c>
      <c r="B119" s="3259"/>
      <c r="C119" s="3259"/>
      <c r="D119" s="3299" t="e">
        <f ca="1">NUMBERSTRING(INT(D118*10000),2)&amp;"元整"</f>
        <v>#REF!</v>
      </c>
      <c r="E119" s="3301"/>
      <c r="F119" s="3299" t="e">
        <f ca="1">NUMBERSTRING(INT(F118*10000),2)&amp;"元整"</f>
        <v>#REF!</v>
      </c>
      <c r="G119" s="3301"/>
      <c r="H119" s="3299" t="str">
        <f ca="1">NUMBERSTRING(INT(H118*10000),2)&amp;"元整"</f>
        <v>贰万元整</v>
      </c>
      <c r="I119" s="3301"/>
    </row>
    <row r="120" spans="1:27" ht="18.75" customHeight="1">
      <c r="A120" s="3323" t="str">
        <f>IF(项目基本情况!B9="房地产市场价值","",MID(E103,3,LEN(E103)-2))</f>
        <v/>
      </c>
      <c r="B120" s="3324"/>
      <c r="C120" s="3325"/>
      <c r="D120" s="3323">
        <f>H103</f>
        <v>0</v>
      </c>
      <c r="E120" s="3324"/>
      <c r="F120" s="3324"/>
      <c r="G120" s="3324"/>
      <c r="H120" s="3324"/>
      <c r="I120" s="332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9" t="s">
        <v>1452</v>
      </c>
      <c r="B121" s="3300"/>
      <c r="C121" s="3301"/>
      <c r="D121" s="3299" t="str">
        <f>IF(D120=0,"零元整",NUMBERSTRING(INT(D120*10000),2)&amp;"元整")</f>
        <v>零元整</v>
      </c>
      <c r="E121" s="3300"/>
      <c r="F121" s="3300"/>
      <c r="G121" s="3300"/>
      <c r="H121" s="3300"/>
      <c r="I121" s="3301"/>
      <c r="AA121" s="684"/>
    </row>
    <row r="122" spans="1:27" ht="18.75" customHeight="1">
      <c r="A122" s="3290" t="str">
        <f>IF(项目基本情况!B9="房地产市场价值","",MID(E107,3,LEN(E107)-2))</f>
        <v/>
      </c>
      <c r="B122" s="3290"/>
      <c r="C122" s="3290"/>
      <c r="D122" s="3323">
        <f ca="1">H107</f>
        <v>2</v>
      </c>
      <c r="E122" s="3324"/>
      <c r="F122" s="3324"/>
      <c r="G122" s="3324"/>
      <c r="H122" s="3324"/>
      <c r="I122" s="3325"/>
      <c r="AA122" s="684"/>
    </row>
    <row r="123" spans="1:27" ht="18.75" customHeight="1">
      <c r="A123" s="3259" t="s">
        <v>1452</v>
      </c>
      <c r="B123" s="3259"/>
      <c r="C123" s="3259"/>
      <c r="D123" s="3299" t="str">
        <f ca="1">NUMBERSTRING(INT(D122*10000),2)&amp;"元整"</f>
        <v>贰万元整</v>
      </c>
      <c r="E123" s="3300"/>
      <c r="F123" s="3300"/>
      <c r="G123" s="3300"/>
      <c r="H123" s="3300"/>
      <c r="I123" s="3301"/>
      <c r="AA123" s="684"/>
    </row>
    <row r="124" spans="1:27" ht="18.75" customHeight="1">
      <c r="A124" s="3290" t="str">
        <f>IF(项目基本情况!B9="房地产市场价值","",MID(E109,3,LEN(E109)-2))</f>
        <v/>
      </c>
      <c r="B124" s="3290"/>
      <c r="C124" s="3290"/>
      <c r="D124" s="3323" t="str">
        <f>H109</f>
        <v>——</v>
      </c>
      <c r="E124" s="3324"/>
      <c r="F124" s="3324"/>
      <c r="G124" s="3324"/>
      <c r="H124" s="3324"/>
      <c r="I124" s="3325"/>
      <c r="AA124" s="684"/>
    </row>
    <row r="125" spans="1:27" ht="18.75" customHeight="1">
      <c r="A125" s="3259" t="s">
        <v>1452</v>
      </c>
      <c r="B125" s="3259"/>
      <c r="C125" s="3259"/>
      <c r="D125" s="3299" t="e">
        <f>NUMBERSTRING(INT(D124*10000),2)&amp;"元整"</f>
        <v>#VALUE!</v>
      </c>
      <c r="E125" s="3300"/>
      <c r="F125" s="3300"/>
      <c r="G125" s="3300"/>
      <c r="H125" s="3300"/>
      <c r="I125" s="3301"/>
      <c r="AA125" s="684"/>
    </row>
    <row r="126" spans="1:27" ht="18.75" customHeight="1">
      <c r="A126" s="3290" t="str">
        <f>IF(项目基本情况!B9="房地产市场价值","",MID(E111,3,LEN(E111)-2))</f>
        <v/>
      </c>
      <c r="B126" s="3290"/>
      <c r="C126" s="3290"/>
      <c r="D126" s="3323" t="str">
        <f>H111</f>
        <v>——</v>
      </c>
      <c r="E126" s="3324"/>
      <c r="F126" s="3324"/>
      <c r="G126" s="3324"/>
      <c r="H126" s="3324"/>
      <c r="I126" s="3325"/>
      <c r="AA126" s="684"/>
    </row>
    <row r="127" spans="1:27" ht="18.75" customHeight="1">
      <c r="A127" s="3259" t="s">
        <v>1452</v>
      </c>
      <c r="B127" s="3259"/>
      <c r="C127" s="3259"/>
      <c r="D127" s="3299" t="e">
        <f>NUMBERSTRING(INT(D126*10000),2)&amp;"元整"</f>
        <v>#VALUE!</v>
      </c>
      <c r="E127" s="3300"/>
      <c r="F127" s="3300"/>
      <c r="G127" s="3300"/>
      <c r="H127" s="3300"/>
      <c r="I127" s="3301"/>
      <c r="AA127" s="684"/>
    </row>
    <row r="128" spans="1:27" ht="21.75" customHeight="1">
      <c r="A128" s="3306" t="s">
        <v>1453</v>
      </c>
      <c r="B128" s="3306"/>
      <c r="C128" s="3306"/>
      <c r="D128" s="3306"/>
      <c r="E128" s="3306"/>
      <c r="F128" s="3306"/>
      <c r="G128" s="3306"/>
      <c r="H128" s="3306"/>
      <c r="I128" s="33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35</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35</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8.0000000000000004E-4</v>
      </c>
      <c r="D44" s="230"/>
      <c r="E44" s="230"/>
      <c r="F44" s="231"/>
      <c r="G44" s="3341"/>
    </row>
    <row r="45" spans="1:7" s="206" customFormat="1" ht="13.5" customHeight="1">
      <c r="A45" s="247" t="s">
        <v>1547</v>
      </c>
      <c r="B45" s="236" t="s">
        <v>1513</v>
      </c>
      <c r="C45" s="237">
        <f ca="1">C46</f>
        <v>0</v>
      </c>
      <c r="D45" s="227">
        <f ca="1">C47</f>
        <v>1E-3</v>
      </c>
      <c r="E45" s="228" t="s">
        <v>1539</v>
      </c>
      <c r="F45" s="238">
        <f ca="1">F27</f>
        <v>0.05</v>
      </c>
      <c r="G45" s="239" t="s">
        <v>1548</v>
      </c>
    </row>
    <row r="46" spans="1:7" s="206" customFormat="1" ht="13.5" customHeight="1">
      <c r="A46" s="734" t="s">
        <v>346</v>
      </c>
      <c r="B46" s="240" t="s">
        <v>1549</v>
      </c>
      <c r="C46" s="241">
        <f ca="1">ROUND((C33+C39)*F27,0)</f>
        <v>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房地产市场价值预评估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8.5983999999999998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35</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7000</v>
      </c>
      <c r="D19" s="204">
        <f ca="1">D9+D10</f>
        <v>35</v>
      </c>
      <c r="E19" s="203">
        <f>'数据-取费表'!B31</f>
        <v>200</v>
      </c>
      <c r="F19" s="223"/>
      <c r="G19" s="1714"/>
    </row>
    <row r="20" spans="1:7" s="206" customFormat="1" ht="13.5" customHeight="1">
      <c r="A20" s="247" t="s">
        <v>1574</v>
      </c>
      <c r="B20" s="202" t="s">
        <v>1575</v>
      </c>
      <c r="C20" s="224">
        <f ca="1">ROUND((C5+C19)*F20,0)</f>
        <v>140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599</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593</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357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357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8758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80150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70000</v>
      </c>
      <c r="D34" s="209"/>
      <c r="E34" s="212"/>
      <c r="F34" s="249"/>
      <c r="G34" s="211"/>
    </row>
    <row r="35" spans="1:7" ht="13.5" customHeight="1">
      <c r="A35" s="734" t="s">
        <v>351</v>
      </c>
      <c r="B35" s="207" t="s">
        <v>1527</v>
      </c>
      <c r="C35" s="212">
        <f ca="1">ROUND(C34*F35,0)</f>
        <v>2100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7000</v>
      </c>
      <c r="D37" s="209">
        <f ca="1">D19</f>
        <v>35</v>
      </c>
      <c r="E37" s="241">
        <f>'数据-取费表'!B35</f>
        <v>200</v>
      </c>
      <c r="F37" s="251"/>
      <c r="G37" s="253"/>
    </row>
    <row r="38" spans="1:7" ht="13.5" customHeight="1">
      <c r="A38" s="734" t="s">
        <v>354</v>
      </c>
      <c r="B38" s="207" t="s">
        <v>1533</v>
      </c>
      <c r="C38" s="212">
        <f ca="1">ROUND(C34*F38,0)</f>
        <v>1050</v>
      </c>
      <c r="D38" s="212"/>
      <c r="E38" s="212"/>
      <c r="F38" s="251">
        <f>'数据-取费表'!B36</f>
        <v>1.4999999999999999E-2</v>
      </c>
      <c r="G38" s="211" t="s">
        <v>1528</v>
      </c>
    </row>
    <row r="39" spans="1:7" s="206" customFormat="1" ht="13.5" customHeight="1">
      <c r="A39" s="247" t="s">
        <v>1534</v>
      </c>
      <c r="B39" s="202" t="s">
        <v>1535</v>
      </c>
      <c r="C39" s="224">
        <f ca="1">ROUND(C33*F20,0)</f>
        <v>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3393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3326</v>
      </c>
      <c r="D42" s="230"/>
      <c r="E42" s="230"/>
      <c r="F42" s="231"/>
      <c r="G42" s="3339" t="s">
        <v>1591</v>
      </c>
    </row>
    <row r="43" spans="1:7" ht="13.5" customHeight="1">
      <c r="A43" s="734" t="s">
        <v>347</v>
      </c>
      <c r="B43" s="207" t="s">
        <v>1545</v>
      </c>
      <c r="C43" s="230">
        <f ca="1">ROUND(IF('数据-取费表'!B22&lt;=1,C39*F22*'数据-取费表'!B20/2,C39*(POWER((1+F22),'数据-取费表'!B20/2)-1)),0)</f>
        <v>67</v>
      </c>
      <c r="D43" s="230"/>
      <c r="E43" s="230"/>
      <c r="F43" s="231"/>
      <c r="G43" s="3340"/>
    </row>
    <row r="44" spans="1:7" ht="13.5" customHeight="1">
      <c r="A44" s="734" t="s">
        <v>348</v>
      </c>
      <c r="B44" s="207" t="s">
        <v>1546</v>
      </c>
      <c r="C44" s="230">
        <f ca="1">ROUND(IF('数据-取费表'!B22&lt;=1,C40*F22*'数据-取费表'!B20/2,C40*(POWER((1+F22),'数据-取费表'!B20/2)-1)),4)</f>
        <v>8.0000000000000004E-4</v>
      </c>
      <c r="D44" s="230"/>
      <c r="E44" s="230"/>
      <c r="F44" s="231"/>
      <c r="G44" s="3341"/>
    </row>
    <row r="45" spans="1:7" s="206" customFormat="1" ht="13.5" customHeight="1">
      <c r="A45" s="247" t="s">
        <v>1547</v>
      </c>
      <c r="B45" s="236" t="s">
        <v>1513</v>
      </c>
      <c r="C45" s="237">
        <f ca="1">C46</f>
        <v>4088</v>
      </c>
      <c r="D45" s="227">
        <f ca="1">C47</f>
        <v>1E-3</v>
      </c>
      <c r="E45" s="228" t="s">
        <v>1539</v>
      </c>
      <c r="F45" s="238">
        <f ca="1">F27</f>
        <v>0.05</v>
      </c>
      <c r="G45" s="239" t="s">
        <v>1548</v>
      </c>
    </row>
    <row r="46" spans="1:7" s="206" customFormat="1" ht="13.5" customHeight="1">
      <c r="A46" s="734" t="s">
        <v>346</v>
      </c>
      <c r="B46" s="240" t="s">
        <v>1549</v>
      </c>
      <c r="C46" s="241">
        <f ca="1">ROUND((C33+C39)*F27,0)</f>
        <v>4088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96532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77226</v>
      </c>
      <c r="D51" s="224"/>
      <c r="E51" s="224"/>
      <c r="F51" s="256"/>
      <c r="G51" s="226" t="s">
        <v>1560</v>
      </c>
    </row>
    <row r="52" spans="1:7" s="200" customFormat="1" ht="16.5" thickBot="1">
      <c r="A52" s="257" t="s">
        <v>1561</v>
      </c>
      <c r="B52" s="258"/>
      <c r="C52" s="259">
        <f ca="1">C31+C51</f>
        <v>85984</v>
      </c>
      <c r="D52" s="258"/>
      <c r="E52" s="258"/>
      <c r="F52" s="258"/>
      <c r="G52" s="260"/>
    </row>
    <row r="55" spans="1:7" ht="15">
      <c r="B55" s="262" t="s">
        <v>1562</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35</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53" t="s">
        <v>2320</v>
      </c>
      <c r="K2" s="3354"/>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55" t="s">
        <v>2330</v>
      </c>
      <c r="K3" s="3356"/>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55" t="s">
        <v>2332</v>
      </c>
      <c r="K4" s="3356"/>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61" t="s">
        <v>2336</v>
      </c>
      <c r="B6" s="3362"/>
      <c r="C6" s="3363"/>
      <c r="D6" s="2621"/>
      <c r="E6" s="2622"/>
      <c r="F6" s="2623"/>
      <c r="G6" s="2624"/>
      <c r="H6" s="2599"/>
      <c r="I6" s="2600"/>
      <c r="J6" s="3347">
        <v>1</v>
      </c>
      <c r="K6" s="3348"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47"/>
      <c r="K7" s="3349"/>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64" t="s">
        <v>2350</v>
      </c>
      <c r="C8" s="3365"/>
      <c r="D8" s="2640" t="s">
        <v>2351</v>
      </c>
      <c r="E8" s="2641" t="s">
        <v>2352</v>
      </c>
      <c r="F8" s="2642" t="s">
        <v>2353</v>
      </c>
      <c r="G8" s="2643"/>
      <c r="H8" s="2599"/>
      <c r="I8" s="2600"/>
      <c r="J8" s="3347"/>
      <c r="K8" s="3349"/>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64" t="s">
        <v>2356</v>
      </c>
      <c r="C9" s="3365"/>
      <c r="D9" s="2640">
        <f>ROUND(D6*E9,0)</f>
        <v>0</v>
      </c>
      <c r="E9" s="2644"/>
      <c r="F9" s="2645" t="s">
        <v>2357</v>
      </c>
      <c r="G9" s="2624"/>
      <c r="H9" s="2599"/>
      <c r="I9" s="2600"/>
      <c r="J9" s="3347"/>
      <c r="K9" s="3349"/>
      <c r="L9" s="2634" t="s">
        <v>2358</v>
      </c>
      <c r="M9" s="2635"/>
      <c r="N9" s="2611"/>
      <c r="O9" s="2636"/>
      <c r="P9" s="2636"/>
      <c r="Q9" s="2637">
        <v>365</v>
      </c>
      <c r="R9" s="2638">
        <f t="shared" si="0"/>
        <v>0</v>
      </c>
      <c r="S9" s="2592"/>
      <c r="T9" s="2592"/>
      <c r="U9" s="2592"/>
      <c r="V9" s="2600"/>
    </row>
    <row r="10" spans="1:22" s="2604" customFormat="1" ht="13.15" customHeight="1">
      <c r="A10" s="2639">
        <v>2</v>
      </c>
      <c r="B10" s="3364" t="s">
        <v>2359</v>
      </c>
      <c r="C10" s="3365"/>
      <c r="D10" s="2640">
        <f>ROUND(D6*E10,0)</f>
        <v>0</v>
      </c>
      <c r="E10" s="2644"/>
      <c r="F10" s="2645" t="s">
        <v>2360</v>
      </c>
      <c r="G10" s="2624"/>
      <c r="H10" s="2599"/>
      <c r="I10" s="2600"/>
      <c r="J10" s="3347"/>
      <c r="K10" s="3349"/>
      <c r="L10" s="2634" t="s">
        <v>2361</v>
      </c>
      <c r="M10" s="2635"/>
      <c r="N10" s="2611"/>
      <c r="O10" s="2636"/>
      <c r="P10" s="2636"/>
      <c r="Q10" s="2637">
        <v>365</v>
      </c>
      <c r="R10" s="2638">
        <f t="shared" si="0"/>
        <v>0</v>
      </c>
      <c r="S10" s="2592"/>
      <c r="T10" s="2592"/>
      <c r="U10" s="2592"/>
      <c r="V10" s="2600"/>
    </row>
    <row r="11" spans="1:22" s="2604" customFormat="1" ht="13.15" customHeight="1">
      <c r="A11" s="2639">
        <v>3</v>
      </c>
      <c r="B11" s="3364" t="s">
        <v>2362</v>
      </c>
      <c r="C11" s="3365"/>
      <c r="D11" s="2640">
        <f>D12+D14+D15+D16</f>
        <v>0</v>
      </c>
      <c r="E11" s="2646" t="e">
        <f>D11/D6</f>
        <v>#DIV/0!</v>
      </c>
      <c r="F11" s="2642"/>
      <c r="G11" s="2643"/>
      <c r="H11" s="2599"/>
      <c r="I11" s="2600"/>
      <c r="J11" s="3347"/>
      <c r="K11" s="3349"/>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57" t="s">
        <v>2365</v>
      </c>
      <c r="C12" s="3358"/>
      <c r="D12" s="2648">
        <f>ROUND(D13*1.2%*(1-30%),0)</f>
        <v>0</v>
      </c>
      <c r="E12" s="2649">
        <v>1.2E-2</v>
      </c>
      <c r="F12" s="2642" t="s">
        <v>2366</v>
      </c>
      <c r="G12" s="2643"/>
      <c r="H12" s="2599"/>
      <c r="I12" s="2600"/>
      <c r="J12" s="3347"/>
      <c r="K12" s="3349"/>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47"/>
      <c r="K13" s="3349"/>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57" t="s">
        <v>2371</v>
      </c>
      <c r="C14" s="3358"/>
      <c r="D14" s="2648">
        <f>ROUND(E14*B5/10000,0)</f>
        <v>0</v>
      </c>
      <c r="E14" s="2637"/>
      <c r="F14" s="2642" t="s">
        <v>2372</v>
      </c>
      <c r="G14" s="2643"/>
      <c r="H14" s="2599"/>
      <c r="I14" s="2600"/>
      <c r="J14" s="3347"/>
      <c r="K14" s="3350"/>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57" t="s">
        <v>2375</v>
      </c>
      <c r="C15" s="3358"/>
      <c r="D15" s="2648">
        <f>ROUND(D6*E15,0)</f>
        <v>0</v>
      </c>
      <c r="E15" s="2649">
        <v>5.5E-2</v>
      </c>
      <c r="F15" s="2642" t="s">
        <v>2376</v>
      </c>
      <c r="G15" s="2624"/>
      <c r="H15" s="2599"/>
      <c r="I15" s="2600"/>
      <c r="J15" s="3347">
        <v>2</v>
      </c>
      <c r="K15" s="3348"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57" t="s">
        <v>2384</v>
      </c>
      <c r="C16" s="3358"/>
      <c r="D16" s="2659">
        <f>D6*E16</f>
        <v>0</v>
      </c>
      <c r="E16" s="2660"/>
      <c r="F16" s="2645" t="s">
        <v>2385</v>
      </c>
      <c r="G16" s="2624"/>
      <c r="H16" s="2599"/>
      <c r="I16" s="2600"/>
      <c r="J16" s="3347"/>
      <c r="K16" s="3349"/>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59" t="s">
        <v>2387</v>
      </c>
      <c r="C17" s="3360"/>
      <c r="D17" s="2662">
        <f>ROUND(D6*E17,0)</f>
        <v>0</v>
      </c>
      <c r="E17" s="2663"/>
      <c r="F17" s="2664" t="s">
        <v>2388</v>
      </c>
      <c r="G17" s="2624"/>
      <c r="H17" s="2599"/>
      <c r="I17" s="2600"/>
      <c r="J17" s="3347"/>
      <c r="K17" s="3349"/>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47"/>
      <c r="K18" s="3349"/>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47"/>
      <c r="K19" s="3350"/>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7">
        <v>3</v>
      </c>
      <c r="K20" s="3348"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47"/>
      <c r="K21" s="3349"/>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47"/>
      <c r="K22" s="3349"/>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47"/>
      <c r="K23" s="3349"/>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47"/>
      <c r="K24" s="3350"/>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51">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5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53" t="s">
        <v>2320</v>
      </c>
      <c r="K32" s="3354"/>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55" t="s">
        <v>2330</v>
      </c>
      <c r="K33" s="3356"/>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55" t="s">
        <v>2332</v>
      </c>
      <c r="K34" s="335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47">
        <v>1</v>
      </c>
      <c r="K36" s="3348"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47"/>
      <c r="K37" s="3349"/>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7"/>
      <c r="K38" s="3349"/>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47"/>
      <c r="K39" s="3349"/>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47"/>
      <c r="K40" s="3350"/>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1">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5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1.7057</v>
      </c>
      <c r="C2" s="1729" t="s">
        <v>1651</v>
      </c>
      <c r="D2" s="1730" t="s">
        <v>1652</v>
      </c>
      <c r="E2" s="2392">
        <f>SUM(E6:E13)</f>
        <v>35</v>
      </c>
      <c r="F2" s="2479"/>
      <c r="G2" s="459"/>
      <c r="H2" s="459"/>
      <c r="I2" s="459"/>
      <c r="J2" s="459"/>
      <c r="K2" s="459"/>
      <c r="L2" s="459"/>
      <c r="M2" s="459"/>
      <c r="N2" s="459"/>
      <c r="O2" s="459"/>
      <c r="P2" s="459"/>
      <c r="Q2" s="459"/>
      <c r="R2" s="459"/>
      <c r="S2" s="459"/>
    </row>
    <row r="3" spans="1:22" ht="15.75">
      <c r="A3" s="1728" t="s">
        <v>686</v>
      </c>
      <c r="B3" s="2386">
        <f ca="1">ROUND(B2*10000/E2,0)</f>
        <v>487</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6" t="s">
        <v>1654</v>
      </c>
      <c r="C5" s="336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1.7057</v>
      </c>
      <c r="C6" s="1729" t="s">
        <v>1651</v>
      </c>
      <c r="D6" s="2479"/>
      <c r="E6" s="2391">
        <f>IF(OR(A6=0,F6="否"),0,'数据-取费表'!K6+'数据-取费表'!S6)</f>
        <v>35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6" sqref="A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15346</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6" t="s">
        <v>1667</v>
      </c>
      <c r="D4" s="3387"/>
      <c r="E4" s="3388" t="s">
        <v>1668</v>
      </c>
      <c r="F4" s="3389"/>
      <c r="G4" s="3386" t="s">
        <v>1669</v>
      </c>
      <c r="H4" s="3387"/>
      <c r="I4" s="3386" t="s">
        <v>1670</v>
      </c>
      <c r="J4" s="3387"/>
      <c r="K4" s="1744" t="s">
        <v>1671</v>
      </c>
      <c r="L4" s="2486"/>
      <c r="M4" s="2487"/>
      <c r="N4" s="2487"/>
      <c r="O4" s="2487"/>
      <c r="P4" s="3390" t="s">
        <v>1672</v>
      </c>
      <c r="Q4" s="3391"/>
      <c r="R4" s="3396" t="s">
        <v>1668</v>
      </c>
      <c r="S4" s="3397"/>
      <c r="T4" s="3396" t="s">
        <v>1669</v>
      </c>
      <c r="U4" s="3397"/>
      <c r="V4" s="3372" t="s">
        <v>1670</v>
      </c>
      <c r="W4" s="3372"/>
      <c r="X4" s="1265"/>
      <c r="Y4" s="3396" t="s">
        <v>1672</v>
      </c>
      <c r="Z4" s="3397"/>
      <c r="AA4" s="3383" t="s">
        <v>1668</v>
      </c>
      <c r="AB4" s="3383" t="s">
        <v>1669</v>
      </c>
      <c r="AC4" s="3383" t="s">
        <v>1670</v>
      </c>
    </row>
    <row r="5" spans="1:29" ht="15">
      <c r="A5" s="348"/>
      <c r="B5" s="349"/>
      <c r="C5" s="3404" t="s">
        <v>1673</v>
      </c>
      <c r="D5" s="3405"/>
      <c r="E5" s="3411" t="str">
        <f>Sheet1!C146</f>
        <v>安太里</v>
      </c>
      <c r="F5" s="3412"/>
      <c r="G5" s="3404" t="str">
        <f>Sheet1!C147</f>
        <v>安太里</v>
      </c>
      <c r="H5" s="3405"/>
      <c r="I5" s="3404" t="str">
        <f>Sheet1!C148</f>
        <v>安太里</v>
      </c>
      <c r="J5" s="3405"/>
      <c r="K5" s="1745"/>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1745"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406" t="s">
        <v>1680</v>
      </c>
      <c r="Q7" s="3408"/>
      <c r="R7" s="664" t="s">
        <v>20</v>
      </c>
      <c r="S7" s="665">
        <f t="shared" ref="S7:S15" si="0">F7</f>
        <v>100</v>
      </c>
      <c r="T7" s="664" t="s">
        <v>20</v>
      </c>
      <c r="U7" s="665">
        <f t="shared" ref="U7:U15" si="1">H7</f>
        <v>100</v>
      </c>
      <c r="V7" s="664" t="s">
        <v>20</v>
      </c>
      <c r="W7" s="665">
        <f t="shared" ref="W7:W15" si="2">J7</f>
        <v>100</v>
      </c>
      <c r="X7" s="666"/>
      <c r="Y7" s="3406" t="s">
        <v>1680</v>
      </c>
      <c r="Z7" s="3407"/>
      <c r="AA7" s="50">
        <f>D7/F7</f>
        <v>1</v>
      </c>
      <c r="AB7" s="50">
        <f>D7/H7</f>
        <v>1</v>
      </c>
      <c r="AC7" s="50">
        <f>D7/J7</f>
        <v>1</v>
      </c>
    </row>
    <row r="8" spans="1:29" s="102" customFormat="1" ht="15.75" thickBot="1">
      <c r="A8" s="352" t="s">
        <v>1681</v>
      </c>
      <c r="B8" s="353"/>
      <c r="C8" s="3145" t="s">
        <v>3399</v>
      </c>
      <c r="D8" s="355">
        <v>100</v>
      </c>
      <c r="E8" s="3146" t="s">
        <v>3399</v>
      </c>
      <c r="F8" s="357">
        <f>SUMIF(61:61,E8,62:62)-SUMIF(61:61,C8,62:62)+100</f>
        <v>100</v>
      </c>
      <c r="G8" s="3145" t="s">
        <v>3399</v>
      </c>
      <c r="H8" s="355">
        <f>SUMIF(61:61,G8,62:62)-SUMIF(61:61,C8,62:62)+100</f>
        <v>100</v>
      </c>
      <c r="I8" s="3146" t="s">
        <v>3399</v>
      </c>
      <c r="J8" s="355">
        <f>SUMIF(61:61,I8,62:62)-SUMIF(61:61,C8,62:62)+100</f>
        <v>100</v>
      </c>
      <c r="K8" s="1746"/>
      <c r="L8" s="2488"/>
      <c r="M8" s="2439"/>
      <c r="N8" s="2439"/>
      <c r="O8" s="2439"/>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c r="A9" s="359" t="s">
        <v>1684</v>
      </c>
      <c r="B9" s="60" t="s">
        <v>1685</v>
      </c>
      <c r="C9" s="3144" t="s">
        <v>3398</v>
      </c>
      <c r="D9" s="59">
        <v>100</v>
      </c>
      <c r="E9" s="3147" t="s">
        <v>3398</v>
      </c>
      <c r="F9" s="60">
        <f>SUMIF(63:63,E9,64:64)-SUMIF(63:63,C9,64:64)+100</f>
        <v>100</v>
      </c>
      <c r="G9" s="3148" t="s">
        <v>3398</v>
      </c>
      <c r="H9" s="59">
        <f>SUMIF(63:63,G9,64:64)-SUMIF(63:63,C9,64:64)+100</f>
        <v>100</v>
      </c>
      <c r="I9" s="3148" t="s">
        <v>3398</v>
      </c>
      <c r="J9" s="59">
        <f>SUMIF(63:63,I9,64:64)-SUMIF(63:63,C9,64:64)+100</f>
        <v>100</v>
      </c>
      <c r="K9" s="1746"/>
      <c r="L9" s="2488"/>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2"/>
      <c r="Q11" s="530" t="str">
        <f t="shared" si="6"/>
        <v>容积率</v>
      </c>
      <c r="R11" s="664" t="s">
        <v>18</v>
      </c>
      <c r="S11" s="665">
        <f t="shared" si="0"/>
        <v>100</v>
      </c>
      <c r="T11" s="664" t="s">
        <v>18</v>
      </c>
      <c r="U11" s="665">
        <f t="shared" si="1"/>
        <v>100</v>
      </c>
      <c r="V11" s="664" t="s">
        <v>18</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2"/>
      <c r="Q12" s="530">
        <f t="shared" si="6"/>
        <v>111</v>
      </c>
      <c r="R12" s="664" t="s">
        <v>18</v>
      </c>
      <c r="S12" s="665">
        <f t="shared" si="0"/>
        <v>100</v>
      </c>
      <c r="T12" s="664" t="s">
        <v>18</v>
      </c>
      <c r="U12" s="665">
        <f t="shared" si="1"/>
        <v>100</v>
      </c>
      <c r="V12" s="664" t="s">
        <v>18</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2"/>
      <c r="Q13" s="530">
        <f t="shared" si="6"/>
        <v>111</v>
      </c>
      <c r="R13" s="664" t="s">
        <v>18</v>
      </c>
      <c r="S13" s="665">
        <f t="shared" si="0"/>
        <v>100</v>
      </c>
      <c r="T13" s="664" t="s">
        <v>18</v>
      </c>
      <c r="U13" s="665">
        <f t="shared" si="1"/>
        <v>100</v>
      </c>
      <c r="V13" s="664" t="s">
        <v>18</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2"/>
      <c r="Q14" s="530">
        <f t="shared" si="6"/>
        <v>111</v>
      </c>
      <c r="R14" s="664" t="s">
        <v>18</v>
      </c>
      <c r="S14" s="665">
        <f t="shared" si="0"/>
        <v>100</v>
      </c>
      <c r="T14" s="664" t="s">
        <v>18</v>
      </c>
      <c r="U14" s="665">
        <f t="shared" si="1"/>
        <v>100</v>
      </c>
      <c r="V14" s="664" t="s">
        <v>18</v>
      </c>
      <c r="W14" s="665">
        <f t="shared" si="2"/>
        <v>100</v>
      </c>
      <c r="X14" s="666"/>
      <c r="Y14" s="324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0"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81"/>
      <c r="Q16" s="1263"/>
      <c r="R16" s="667"/>
      <c r="S16" s="668"/>
      <c r="T16" s="667"/>
      <c r="U16" s="668"/>
      <c r="V16" s="667"/>
      <c r="W16" s="668"/>
      <c r="X16" s="1265"/>
      <c r="Y16" s="3374"/>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1"/>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81"/>
      <c r="Q18" s="1263"/>
      <c r="R18" s="667"/>
      <c r="S18" s="668"/>
      <c r="T18" s="667"/>
      <c r="U18" s="668"/>
      <c r="V18" s="667"/>
      <c r="W18" s="668"/>
      <c r="X18" s="1265"/>
      <c r="Y18" s="3374"/>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1"/>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81"/>
      <c r="Q20" s="1263"/>
      <c r="R20" s="667"/>
      <c r="S20" s="668"/>
      <c r="T20" s="667"/>
      <c r="U20" s="668"/>
      <c r="V20" s="667"/>
      <c r="W20" s="668"/>
      <c r="X20" s="1265"/>
      <c r="Y20" s="3374"/>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81"/>
      <c r="Q22" s="1263"/>
      <c r="R22" s="667"/>
      <c r="S22" s="668"/>
      <c r="T22" s="667"/>
      <c r="U22" s="668"/>
      <c r="V22" s="667"/>
      <c r="W22" s="668"/>
      <c r="X22" s="1265"/>
      <c r="Y22" s="3374"/>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1"/>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81"/>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3402</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381"/>
      <c r="Q26" s="1263" t="str">
        <f t="shared" si="11"/>
        <v>朝向</v>
      </c>
      <c r="R26" s="667" t="s">
        <v>18</v>
      </c>
      <c r="S26" s="668">
        <f t="shared" si="12"/>
        <v>99</v>
      </c>
      <c r="T26" s="667" t="s">
        <v>18</v>
      </c>
      <c r="U26" s="668">
        <f t="shared" si="13"/>
        <v>100</v>
      </c>
      <c r="V26" s="667" t="s">
        <v>18</v>
      </c>
      <c r="W26" s="668">
        <f t="shared" si="14"/>
        <v>99</v>
      </c>
      <c r="X26" s="1265"/>
      <c r="Y26" s="3374"/>
      <c r="Z26" s="1264" t="str">
        <f>Q26</f>
        <v>朝向</v>
      </c>
      <c r="AA26" s="1264">
        <f t="shared" si="15"/>
        <v>1.0101010101010102</v>
      </c>
      <c r="AB26" s="1264">
        <f t="shared" si="16"/>
        <v>1</v>
      </c>
      <c r="AC26" s="1264">
        <f t="shared" si="17"/>
        <v>1.0101010101010102</v>
      </c>
    </row>
    <row r="27" spans="1:29" s="102" customFormat="1" ht="15">
      <c r="A27" s="370"/>
      <c r="B27" s="3149" t="s">
        <v>3400</v>
      </c>
      <c r="C27" s="3150" t="s">
        <v>3401</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381"/>
      <c r="Q27" s="530" t="str">
        <f t="shared" si="11"/>
        <v>楼层</v>
      </c>
      <c r="R27" s="664" t="s">
        <v>18</v>
      </c>
      <c r="S27" s="665">
        <f t="shared" si="12"/>
        <v>110</v>
      </c>
      <c r="T27" s="664" t="s">
        <v>18</v>
      </c>
      <c r="U27" s="665">
        <f t="shared" si="13"/>
        <v>100</v>
      </c>
      <c r="V27" s="664" t="s">
        <v>18</v>
      </c>
      <c r="W27" s="665">
        <f t="shared" si="14"/>
        <v>110</v>
      </c>
      <c r="X27" s="666"/>
      <c r="Y27" s="3374"/>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1"/>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1"/>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1"/>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1"/>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f>D3</f>
        <v>0</v>
      </c>
      <c r="D33" s="119">
        <v>100</v>
      </c>
      <c r="E33" s="369">
        <f>Sheet1!D146</f>
        <v>79.52</v>
      </c>
      <c r="F33" s="364">
        <f>LOOKUP(E33,103:103,104:104)-LOOKUP(C33,103:103,104:104)+100</f>
        <v>98</v>
      </c>
      <c r="G33" s="368">
        <f>Sheet1!D147</f>
        <v>45.46</v>
      </c>
      <c r="H33" s="119">
        <f>LOOKUP(G33,103:103,104:104)-LOOKUP(C33,103:103,104:104)+100</f>
        <v>100</v>
      </c>
      <c r="I33" s="369">
        <f>Sheet1!D148</f>
        <v>42.11</v>
      </c>
      <c r="J33" s="119">
        <f>LOOKUP(I33,103:103,104:104)-LOOKUP(C33,103:103,104:104)+100</f>
        <v>100</v>
      </c>
      <c r="K33" s="1747"/>
      <c r="L33" s="2491"/>
      <c r="M33" s="2493"/>
      <c r="N33" s="2493"/>
      <c r="O33" s="2493"/>
      <c r="P33" s="3376"/>
      <c r="Q33" s="531" t="str">
        <f t="shared" si="11"/>
        <v>项目建筑规模</v>
      </c>
      <c r="R33" s="669" t="s">
        <v>18</v>
      </c>
      <c r="S33" s="670">
        <f t="shared" si="12"/>
        <v>98</v>
      </c>
      <c r="T33" s="669" t="s">
        <v>18</v>
      </c>
      <c r="U33" s="670">
        <f t="shared" si="13"/>
        <v>100</v>
      </c>
      <c r="V33" s="669" t="s">
        <v>18</v>
      </c>
      <c r="W33" s="670">
        <f t="shared" si="14"/>
        <v>100</v>
      </c>
      <c r="X33" s="671"/>
      <c r="Y33" s="3378"/>
      <c r="Z33" s="672" t="str">
        <f t="shared" si="18"/>
        <v>项目建筑规模</v>
      </c>
      <c r="AA33" s="1264">
        <f t="shared" si="15"/>
        <v>1.0204081632653061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376"/>
      <c r="Q37" s="530" t="str">
        <f t="shared" si="11"/>
        <v>成新度</v>
      </c>
      <c r="R37" s="664" t="s">
        <v>18</v>
      </c>
      <c r="S37" s="665">
        <f t="shared" si="12"/>
        <v>100</v>
      </c>
      <c r="T37" s="664" t="s">
        <v>18</v>
      </c>
      <c r="U37" s="665">
        <f t="shared" si="13"/>
        <v>100</v>
      </c>
      <c r="V37" s="664" t="s">
        <v>18</v>
      </c>
      <c r="W37" s="665">
        <f t="shared" si="14"/>
        <v>100</v>
      </c>
      <c r="X37" s="666"/>
      <c r="Y37" s="3378"/>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3152" t="s">
        <v>3403</v>
      </c>
      <c r="D42" s="374">
        <v>100</v>
      </c>
      <c r="E42" s="3153" t="s">
        <v>3403</v>
      </c>
      <c r="F42" s="400">
        <f>SUMIF(122:122,E42,123:123)-SUMIF(122:122,C42,123:123)+100</f>
        <v>100</v>
      </c>
      <c r="G42" s="3152" t="s">
        <v>3403</v>
      </c>
      <c r="H42" s="374">
        <f>SUMIF(122:122,G42,123:123)-SUMIF(122:122,C42,123:123)+100</f>
        <v>100</v>
      </c>
      <c r="I42" s="3153" t="s">
        <v>3403</v>
      </c>
      <c r="J42" s="374">
        <f>SUMIF(122:122,I42,123:123)-SUMIF(122:122,C42,123:123)+100</f>
        <v>100</v>
      </c>
      <c r="K42" s="365"/>
      <c r="L42" s="2492"/>
      <c r="M42" s="2487"/>
      <c r="N42" s="2487"/>
      <c r="O42" s="2487"/>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371" t="str">
        <f>A47</f>
        <v>成交单价（元/平方米）</v>
      </c>
      <c r="Q47" s="3371"/>
      <c r="R47" s="3372">
        <f>E47</f>
        <v>15720</v>
      </c>
      <c r="S47" s="3372"/>
      <c r="T47" s="3372">
        <f>G47</f>
        <v>14299</v>
      </c>
      <c r="U47" s="3372"/>
      <c r="V47" s="3372">
        <f>I47</f>
        <v>18523</v>
      </c>
      <c r="W47" s="3372"/>
      <c r="X47" s="385"/>
      <c r="Y47" s="673"/>
      <c r="Z47" s="385"/>
      <c r="AA47" s="385"/>
      <c r="AB47" s="385"/>
      <c r="AC47" s="385"/>
    </row>
    <row r="48" spans="1:29" ht="15.75" thickBot="1">
      <c r="A48" s="423" t="s">
        <v>1709</v>
      </c>
      <c r="B48" s="424"/>
      <c r="C48" s="1082">
        <f>R49</f>
        <v>15346</v>
      </c>
      <c r="D48" s="2140" t="s">
        <v>2138</v>
      </c>
      <c r="E48" s="1083">
        <f>R48</f>
        <v>14730</v>
      </c>
      <c r="F48" s="2141"/>
      <c r="G48" s="1082">
        <f>T48</f>
        <v>14299</v>
      </c>
      <c r="H48" s="2141"/>
      <c r="I48" s="1083">
        <f>V48</f>
        <v>17009</v>
      </c>
      <c r="J48" s="2141"/>
      <c r="K48" s="2142">
        <f>F48+H48+J48</f>
        <v>0</v>
      </c>
      <c r="L48" s="2494"/>
      <c r="M48" s="2487"/>
      <c r="N48" s="2487"/>
      <c r="O48" s="2487"/>
      <c r="P48" s="3371" t="str">
        <f>A48</f>
        <v>比较价值（元/平方米）</v>
      </c>
      <c r="Q48" s="3371"/>
      <c r="R48" s="3372">
        <f>IF(F1="售价",ROUND(PRODUCT(R47,AA7:AA46),0),ROUND(PRODUCT(R47,AA7:AA46),1))</f>
        <v>14730</v>
      </c>
      <c r="S48" s="3372"/>
      <c r="T48" s="3372">
        <f>IF(F1="售价",ROUND(PRODUCT(T47,AB7:AB46),0),ROUND(PRODUCT(T47,AB7:AB46),1))</f>
        <v>14299</v>
      </c>
      <c r="U48" s="3372"/>
      <c r="V48" s="3372">
        <f>IF(F1="售价",ROUND(PRODUCT(V47,AC7:AC46),0),ROUND(PRODUCT(V47,AC7:AC46),1))</f>
        <v>17009</v>
      </c>
      <c r="W48" s="3372"/>
      <c r="X48" s="385"/>
      <c r="Y48" s="385"/>
      <c r="Z48" s="385"/>
      <c r="AA48" s="385"/>
      <c r="AB48" s="385"/>
      <c r="AC48" s="385"/>
    </row>
    <row r="49" spans="1:29" ht="15.75" thickBot="1">
      <c r="A49" s="427" t="s">
        <v>1710</v>
      </c>
      <c r="B49" s="428"/>
      <c r="C49" s="1084">
        <f>R49</f>
        <v>15346</v>
      </c>
      <c r="D49" s="351"/>
      <c r="E49" s="351"/>
      <c r="F49" s="351"/>
      <c r="G49" s="351"/>
      <c r="H49" s="351"/>
      <c r="I49" s="351"/>
      <c r="J49" s="351"/>
      <c r="K49" s="1767"/>
      <c r="L49" s="2494"/>
      <c r="M49" s="2487"/>
      <c r="N49" s="2487"/>
      <c r="O49" s="2487"/>
      <c r="P49" s="3368" t="str">
        <f>A49</f>
        <v>估价对象XX用房的比较价值（楼面单价，元/平方米）</v>
      </c>
      <c r="Q49" s="3369"/>
      <c r="R49" s="3370">
        <f>IF(F1="售价",ROUND(IF(D48="简单平均",AVERAGE(R48:V48),R48*F48+T48*H48+V48*J48),0),ROUND(IF(D48="简单平均",AVERAGE(R48:V48),R48*F48+T48*H48+V48*J48),1))</f>
        <v>15346</v>
      </c>
      <c r="S49" s="3370"/>
      <c r="T49" s="3370"/>
      <c r="U49" s="3370"/>
      <c r="V49" s="3370"/>
      <c r="W49" s="337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6.720977596741351E-2</v>
      </c>
      <c r="F52" s="435" t="str">
        <f>IF(OR(E52&gt;=0.3,E52&lt;=-0.3),"超过30%","")</f>
        <v/>
      </c>
      <c r="G52" s="434">
        <f>IF(G47&lt;G48,G48/G47-1,G47/G48-1)</f>
        <v>0</v>
      </c>
      <c r="H52" s="435" t="str">
        <f>IF(OR(G52&gt;=0.3,G52&lt;=-0.3),"超过30%","")</f>
        <v/>
      </c>
      <c r="I52" s="434">
        <f>IF(I47&lt;I48,I48/I47-1,I47/I48-1)</f>
        <v>8.9011699688400281E-2</v>
      </c>
      <c r="J52" s="435" t="str">
        <f>IF(OR(I52&gt;=0.3,I52&lt;=-0.3),"超过30%","")</f>
        <v/>
      </c>
      <c r="K52" s="2499"/>
      <c r="L52" s="2495"/>
      <c r="M52" s="2487"/>
      <c r="N52" s="2487"/>
      <c r="O52" s="2487"/>
    </row>
    <row r="53" spans="1:29" ht="13.5" customHeight="1">
      <c r="A53" s="2487"/>
      <c r="B53" s="2487"/>
      <c r="C53" s="432" t="s">
        <v>1712</v>
      </c>
      <c r="D53" s="436"/>
      <c r="E53" s="434">
        <f>IF(E48&lt;G48,G48/E48-1,E48/G48-1)</f>
        <v>3.0141967969788075E-2</v>
      </c>
      <c r="F53" s="435" t="str">
        <f>IF(OR(E53&gt;=0.2,E53&lt;=-0.2),"超过20%","")</f>
        <v/>
      </c>
      <c r="G53" s="434">
        <f>IF(G48&lt;I48,I48/G48-1,G48/I48-1)</f>
        <v>0.18952374291908525</v>
      </c>
      <c r="H53" s="435" t="str">
        <f>IF(OR(G53&gt;=0.2,G53&lt;=-0.2),"超过20%","")</f>
        <v/>
      </c>
      <c r="I53" s="434">
        <f>IF(I48&lt;E48,E48/I48-1,I48/E48-1)</f>
        <v>0.15471826205023764</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3402</v>
      </c>
      <c r="D88" s="3154" t="s">
        <v>3406</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3404</v>
      </c>
      <c r="D90" s="3154" t="s">
        <v>3405</v>
      </c>
      <c r="E90" s="3154" t="s">
        <v>3401</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72"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72"/>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72"/>
      <c r="AC6" s="3385"/>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2"/>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0"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1"/>
      <c r="Q16" s="1263"/>
      <c r="R16" s="667"/>
      <c r="S16" s="668"/>
      <c r="T16" s="667"/>
      <c r="U16" s="668"/>
      <c r="V16" s="667"/>
      <c r="W16" s="668"/>
      <c r="X16" s="1265"/>
      <c r="Y16" s="3374"/>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1"/>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381"/>
      <c r="Q18" s="1263"/>
      <c r="R18" s="667"/>
      <c r="S18" s="668"/>
      <c r="T18" s="667"/>
      <c r="U18" s="668"/>
      <c r="V18" s="667"/>
      <c r="W18" s="668"/>
      <c r="X18" s="1265"/>
      <c r="Y18" s="3374"/>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1"/>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381"/>
      <c r="Q20" s="1263"/>
      <c r="R20" s="667"/>
      <c r="S20" s="668"/>
      <c r="T20" s="667"/>
      <c r="U20" s="668"/>
      <c r="V20" s="667"/>
      <c r="W20" s="668"/>
      <c r="X20" s="1265"/>
      <c r="Y20" s="3374"/>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381"/>
      <c r="Q22" s="1263"/>
      <c r="R22" s="667"/>
      <c r="S22" s="668"/>
      <c r="T22" s="667"/>
      <c r="U22" s="668"/>
      <c r="V22" s="667"/>
      <c r="W22" s="668"/>
      <c r="X22" s="1265"/>
      <c r="Y22" s="3374"/>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1"/>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381"/>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1"/>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1"/>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1"/>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1"/>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1"/>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1"/>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6"/>
      <c r="Q33" s="531" t="str">
        <f t="shared" si="11"/>
        <v>项目建筑规模</v>
      </c>
      <c r="R33" s="669" t="s">
        <v>14</v>
      </c>
      <c r="S33" s="670" t="e">
        <f t="shared" si="12"/>
        <v>#N/A</v>
      </c>
      <c r="T33" s="669" t="s">
        <v>14</v>
      </c>
      <c r="U33" s="670" t="e">
        <f t="shared" si="13"/>
        <v>#N/A</v>
      </c>
      <c r="V33" s="669" t="s">
        <v>14</v>
      </c>
      <c r="W33" s="670" t="e">
        <f t="shared" si="14"/>
        <v>#N/A</v>
      </c>
      <c r="X33" s="671"/>
      <c r="Y33" s="337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6"/>
      <c r="Q36" s="1263" t="str">
        <f t="shared" si="11"/>
        <v>成新度</v>
      </c>
      <c r="R36" s="667" t="s">
        <v>14</v>
      </c>
      <c r="S36" s="668" t="e">
        <f t="shared" si="12"/>
        <v>#N/A</v>
      </c>
      <c r="T36" s="667" t="s">
        <v>14</v>
      </c>
      <c r="U36" s="668" t="e">
        <f t="shared" si="13"/>
        <v>#N/A</v>
      </c>
      <c r="V36" s="667" t="s">
        <v>14</v>
      </c>
      <c r="W36" s="668" t="e">
        <f t="shared" si="14"/>
        <v>#N/A</v>
      </c>
      <c r="X36" s="1265"/>
      <c r="Y36" s="3378"/>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419" t="s">
        <v>1775</v>
      </c>
      <c r="Q4" s="3420"/>
      <c r="R4" s="3423" t="s">
        <v>1771</v>
      </c>
      <c r="S4" s="3424"/>
      <c r="T4" s="3423" t="s">
        <v>1772</v>
      </c>
      <c r="U4" s="3424"/>
      <c r="V4" s="3425" t="s">
        <v>1773</v>
      </c>
      <c r="W4" s="3425"/>
      <c r="X4" s="1808"/>
      <c r="Y4" s="3423" t="s">
        <v>1775</v>
      </c>
      <c r="Z4" s="3424"/>
      <c r="AA4" s="3427" t="s">
        <v>1771</v>
      </c>
      <c r="AB4" s="3427" t="s">
        <v>1772</v>
      </c>
      <c r="AC4" s="3416" t="s">
        <v>1773</v>
      </c>
    </row>
    <row r="5" spans="1:29" ht="15">
      <c r="A5" s="348"/>
      <c r="B5" s="349"/>
      <c r="C5" s="3404" t="s">
        <v>1673</v>
      </c>
      <c r="D5" s="3405"/>
      <c r="E5" s="3411" t="s">
        <v>1674</v>
      </c>
      <c r="F5" s="3412"/>
      <c r="G5" s="3404" t="s">
        <v>1675</v>
      </c>
      <c r="H5" s="3405"/>
      <c r="I5" s="3404" t="s">
        <v>1676</v>
      </c>
      <c r="J5" s="3405"/>
      <c r="K5" s="537"/>
      <c r="L5" s="2486"/>
      <c r="M5" s="2487"/>
      <c r="N5" s="2487"/>
      <c r="O5" s="2487"/>
      <c r="P5" s="3421"/>
      <c r="Q5" s="3393"/>
      <c r="R5" s="3398"/>
      <c r="S5" s="3399"/>
      <c r="T5" s="3398"/>
      <c r="U5" s="3399"/>
      <c r="V5" s="3372"/>
      <c r="W5" s="3372"/>
      <c r="X5" s="1265"/>
      <c r="Y5" s="3398"/>
      <c r="Z5" s="3399"/>
      <c r="AA5" s="3384"/>
      <c r="AB5" s="3384"/>
      <c r="AC5" s="3417"/>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422"/>
      <c r="Q6" s="3395"/>
      <c r="R6" s="3398"/>
      <c r="S6" s="3399"/>
      <c r="T6" s="3400"/>
      <c r="U6" s="3401"/>
      <c r="V6" s="3372"/>
      <c r="W6" s="3372"/>
      <c r="X6" s="1265"/>
      <c r="Y6" s="3400"/>
      <c r="Z6" s="3401"/>
      <c r="AA6" s="3385"/>
      <c r="AB6" s="3385"/>
      <c r="AC6" s="341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6"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2"/>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0"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81"/>
      <c r="Q16" s="1263"/>
      <c r="R16" s="667"/>
      <c r="S16" s="668"/>
      <c r="T16" s="667"/>
      <c r="U16" s="668"/>
      <c r="V16" s="667"/>
      <c r="W16" s="668"/>
      <c r="X16" s="1265"/>
      <c r="Y16" s="3374"/>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1"/>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1"/>
      <c r="Q18" s="1263"/>
      <c r="R18" s="667"/>
      <c r="S18" s="668"/>
      <c r="T18" s="667"/>
      <c r="U18" s="668"/>
      <c r="V18" s="667"/>
      <c r="W18" s="668"/>
      <c r="X18" s="1265"/>
      <c r="Y18" s="3374"/>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1"/>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1"/>
      <c r="Q20" s="1263"/>
      <c r="R20" s="667"/>
      <c r="S20" s="668"/>
      <c r="T20" s="667"/>
      <c r="U20" s="668"/>
      <c r="V20" s="667"/>
      <c r="W20" s="668"/>
      <c r="X20" s="1265"/>
      <c r="Y20" s="3374"/>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81"/>
      <c r="Q22" s="1263"/>
      <c r="R22" s="667"/>
      <c r="S22" s="668"/>
      <c r="T22" s="667"/>
      <c r="U22" s="668"/>
      <c r="V22" s="667"/>
      <c r="W22" s="668"/>
      <c r="X22" s="1265"/>
      <c r="Y22" s="3374"/>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1"/>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1"/>
      <c r="Q24" s="1263"/>
      <c r="R24" s="667"/>
      <c r="S24" s="668"/>
      <c r="T24" s="667"/>
      <c r="U24" s="668"/>
      <c r="V24" s="667"/>
      <c r="W24" s="668"/>
      <c r="X24" s="1265"/>
      <c r="Y24" s="3374"/>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1"/>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81"/>
      <c r="Q26" s="1263"/>
      <c r="R26" s="667"/>
      <c r="S26" s="668"/>
      <c r="T26" s="667"/>
      <c r="U26" s="668"/>
      <c r="V26" s="667"/>
      <c r="W26" s="668"/>
      <c r="X26" s="1265"/>
      <c r="Y26" s="3374"/>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1"/>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1"/>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1"/>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1"/>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1"/>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2" t="str">
        <f>A48</f>
        <v>成交单价（元/平方米）</v>
      </c>
      <c r="Q48" s="3371"/>
      <c r="R48" s="3372">
        <f>E48</f>
        <v>0</v>
      </c>
      <c r="S48" s="3372"/>
      <c r="T48" s="3372">
        <f>G48</f>
        <v>0</v>
      </c>
      <c r="U48" s="3372"/>
      <c r="V48" s="3372">
        <f>I48</f>
        <v>0</v>
      </c>
      <c r="W48" s="3372"/>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2"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860"/>
      <c r="M5" s="861"/>
      <c r="N5" s="861"/>
      <c r="O5" s="861"/>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860"/>
      <c r="M6" s="861"/>
      <c r="N6" s="861"/>
      <c r="O6" s="861"/>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1"/>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1"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1"/>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4"/>
      <c r="Q15" s="1263"/>
      <c r="R15" s="667"/>
      <c r="S15" s="668"/>
      <c r="T15" s="667"/>
      <c r="U15" s="668"/>
      <c r="V15" s="667"/>
      <c r="W15" s="668"/>
      <c r="X15" s="1265"/>
      <c r="Y15" s="3374"/>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74"/>
      <c r="Q17" s="1263"/>
      <c r="R17" s="667"/>
      <c r="S17" s="668"/>
      <c r="T17" s="667"/>
      <c r="U17" s="668"/>
      <c r="V17" s="667"/>
      <c r="W17" s="668"/>
      <c r="X17" s="1265"/>
      <c r="Y17" s="3374"/>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74"/>
      <c r="Q19" s="1263"/>
      <c r="R19" s="667"/>
      <c r="S19" s="668"/>
      <c r="T19" s="667"/>
      <c r="U19" s="668"/>
      <c r="V19" s="667"/>
      <c r="W19" s="668"/>
      <c r="X19" s="1265"/>
      <c r="Y19" s="3374"/>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371" t="str">
        <f>A37</f>
        <v>成交单价</v>
      </c>
      <c r="Q37" s="3371"/>
      <c r="R37" s="3372">
        <f>E37</f>
        <v>0</v>
      </c>
      <c r="S37" s="3372"/>
      <c r="T37" s="3372">
        <f>G37</f>
        <v>0</v>
      </c>
      <c r="U37" s="3372"/>
      <c r="V37" s="3372">
        <f>I37</f>
        <v>0</v>
      </c>
      <c r="W37" s="3372"/>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68" t="str">
        <f>A39</f>
        <v>估价对象XX用房的比较价值（楼面单价，元/平方米）</v>
      </c>
      <c r="Q39" s="336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1"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1"/>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4"/>
      <c r="Q15" s="1263"/>
      <c r="R15" s="667"/>
      <c r="S15" s="668"/>
      <c r="T15" s="667"/>
      <c r="U15" s="668"/>
      <c r="V15" s="667"/>
      <c r="W15" s="668"/>
      <c r="X15" s="1265"/>
      <c r="Y15" s="3374"/>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74"/>
      <c r="Q17" s="1263"/>
      <c r="R17" s="667"/>
      <c r="S17" s="668"/>
      <c r="T17" s="667"/>
      <c r="U17" s="668"/>
      <c r="V17" s="667"/>
      <c r="W17" s="668"/>
      <c r="X17" s="1265"/>
      <c r="Y17" s="3374"/>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74"/>
      <c r="Q19" s="1263"/>
      <c r="R19" s="667"/>
      <c r="S19" s="668"/>
      <c r="T19" s="667"/>
      <c r="U19" s="668"/>
      <c r="V19" s="667"/>
      <c r="W19" s="668"/>
      <c r="X19" s="1265"/>
      <c r="Y19" s="3374"/>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68" t="str">
        <f>A37</f>
        <v>估价对象XX用房的比较价值（楼面单价，元/平方米）</v>
      </c>
      <c r="Q37" s="336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71"/>
      <c r="Q10" s="530" t="str">
        <f t="shared" si="6"/>
        <v>土地使用年限（年）</v>
      </c>
      <c r="R10" s="664" t="s">
        <v>14</v>
      </c>
      <c r="S10" s="665">
        <f t="shared" si="0"/>
        <v>114</v>
      </c>
      <c r="T10" s="664" t="s">
        <v>14</v>
      </c>
      <c r="U10" s="665">
        <f t="shared" si="1"/>
        <v>114</v>
      </c>
      <c r="V10" s="664" t="s">
        <v>14</v>
      </c>
      <c r="W10" s="665">
        <f t="shared" si="2"/>
        <v>114</v>
      </c>
      <c r="X10" s="666"/>
      <c r="Y10" s="324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1"/>
      <c r="Q12" s="530" t="str">
        <f t="shared" si="6"/>
        <v>配建</v>
      </c>
      <c r="R12" s="664" t="s">
        <v>14</v>
      </c>
      <c r="S12" s="665">
        <f t="shared" si="0"/>
        <v>100</v>
      </c>
      <c r="T12" s="664" t="s">
        <v>14</v>
      </c>
      <c r="U12" s="665">
        <f t="shared" si="1"/>
        <v>100</v>
      </c>
      <c r="V12" s="664" t="s">
        <v>14</v>
      </c>
      <c r="W12" s="665">
        <f t="shared" si="2"/>
        <v>100</v>
      </c>
      <c r="X12" s="666"/>
      <c r="Y12" s="32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74"/>
      <c r="Q16" s="1263"/>
      <c r="R16" s="667"/>
      <c r="S16" s="668"/>
      <c r="T16" s="667"/>
      <c r="U16" s="668"/>
      <c r="V16" s="667"/>
      <c r="W16" s="668"/>
      <c r="X16" s="1265"/>
      <c r="Y16" s="3374"/>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74"/>
      <c r="Q18" s="1263"/>
      <c r="R18" s="667"/>
      <c r="S18" s="668"/>
      <c r="T18" s="667"/>
      <c r="U18" s="668"/>
      <c r="V18" s="667"/>
      <c r="W18" s="668"/>
      <c r="X18" s="1265"/>
      <c r="Y18" s="3374"/>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74"/>
      <c r="Q20" s="1263"/>
      <c r="R20" s="667"/>
      <c r="S20" s="668"/>
      <c r="T20" s="667"/>
      <c r="U20" s="668"/>
      <c r="V20" s="667"/>
      <c r="W20" s="668"/>
      <c r="X20" s="1265"/>
      <c r="Y20" s="3374"/>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74"/>
      <c r="Q22" s="1263"/>
      <c r="R22" s="667"/>
      <c r="S22" s="668"/>
      <c r="T22" s="667"/>
      <c r="U22" s="668"/>
      <c r="V22" s="667"/>
      <c r="W22" s="668"/>
      <c r="X22" s="1265"/>
      <c r="Y22" s="337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74"/>
      <c r="Q24" s="1263"/>
      <c r="R24" s="667"/>
      <c r="S24" s="668"/>
      <c r="T24" s="667"/>
      <c r="U24" s="668"/>
      <c r="V24" s="667"/>
      <c r="W24" s="668"/>
      <c r="X24" s="1265"/>
      <c r="Y24" s="3374"/>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74"/>
      <c r="Q26" s="1263"/>
      <c r="R26" s="667"/>
      <c r="S26" s="668"/>
      <c r="T26" s="667"/>
      <c r="U26" s="668"/>
      <c r="V26" s="667"/>
      <c r="W26" s="668"/>
      <c r="X26" s="1265"/>
      <c r="Y26" s="3374"/>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74"/>
      <c r="Q28" s="530"/>
      <c r="R28" s="664"/>
      <c r="S28" s="665"/>
      <c r="T28" s="664"/>
      <c r="U28" s="665"/>
      <c r="V28" s="664"/>
      <c r="W28" s="665"/>
      <c r="X28" s="666"/>
      <c r="Y28" s="3374"/>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71" t="str">
        <f>A46</f>
        <v>成交单价</v>
      </c>
      <c r="Q46" s="3371"/>
      <c r="R46" s="3372">
        <f>E46</f>
        <v>0</v>
      </c>
      <c r="S46" s="3372"/>
      <c r="T46" s="3372">
        <f>G46</f>
        <v>0</v>
      </c>
      <c r="U46" s="3372"/>
      <c r="V46" s="3372">
        <f>I46</f>
        <v>0</v>
      </c>
      <c r="W46" s="3372"/>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71" t="str">
        <f>A47</f>
        <v>比较价值（元/平方米）</v>
      </c>
      <c r="Q47" s="3371"/>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68" t="str">
        <f>A48</f>
        <v>估价对象XX用房的比较价值（楼面单价，元/平方米）</v>
      </c>
      <c r="Q48" s="3369"/>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6"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35</v>
      </c>
      <c r="F56" s="833" t="e">
        <f t="shared" ref="F56:F64" si="15">ROUND(B56*E56/10000,0)</f>
        <v>#DIV/0!</v>
      </c>
      <c r="G56" s="3382"/>
      <c r="H56" s="337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71"/>
      <c r="Q10" s="530" t="str">
        <f t="shared" si="6"/>
        <v>土地使用年限（年）</v>
      </c>
      <c r="R10" s="664" t="s">
        <v>14</v>
      </c>
      <c r="S10" s="665">
        <f t="shared" si="0"/>
        <v>114</v>
      </c>
      <c r="T10" s="664" t="s">
        <v>14</v>
      </c>
      <c r="U10" s="665">
        <f t="shared" si="1"/>
        <v>114</v>
      </c>
      <c r="V10" s="664" t="s">
        <v>14</v>
      </c>
      <c r="W10" s="665">
        <f t="shared" si="2"/>
        <v>114</v>
      </c>
      <c r="X10" s="666"/>
      <c r="Y10" s="324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74"/>
      <c r="Q16" s="1263"/>
      <c r="R16" s="667"/>
      <c r="S16" s="668"/>
      <c r="T16" s="667"/>
      <c r="U16" s="668"/>
      <c r="V16" s="667"/>
      <c r="W16" s="668"/>
      <c r="X16" s="1265"/>
      <c r="Y16" s="3374"/>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74"/>
      <c r="Q18" s="1263"/>
      <c r="R18" s="667"/>
      <c r="S18" s="668"/>
      <c r="T18" s="667"/>
      <c r="U18" s="668"/>
      <c r="V18" s="667"/>
      <c r="W18" s="668"/>
      <c r="X18" s="1265"/>
      <c r="Y18" s="3374"/>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74"/>
      <c r="Q20" s="1263"/>
      <c r="R20" s="667"/>
      <c r="S20" s="668"/>
      <c r="T20" s="667"/>
      <c r="U20" s="668"/>
      <c r="V20" s="667"/>
      <c r="W20" s="668"/>
      <c r="X20" s="1265"/>
      <c r="Y20" s="3374"/>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74"/>
      <c r="Q22" s="1263"/>
      <c r="R22" s="667"/>
      <c r="S22" s="668"/>
      <c r="T22" s="667"/>
      <c r="U22" s="668"/>
      <c r="V22" s="667"/>
      <c r="W22" s="668"/>
      <c r="X22" s="1265"/>
      <c r="Y22" s="3374"/>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74"/>
      <c r="Q24" s="530"/>
      <c r="R24" s="664"/>
      <c r="S24" s="665"/>
      <c r="T24" s="664"/>
      <c r="U24" s="665"/>
      <c r="V24" s="664"/>
      <c r="W24" s="665"/>
      <c r="X24" s="666"/>
      <c r="Y24" s="337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71" t="str">
        <f>A41</f>
        <v>成交单价</v>
      </c>
      <c r="Q41" s="3371"/>
      <c r="R41" s="3372">
        <f>E41</f>
        <v>0</v>
      </c>
      <c r="S41" s="3372"/>
      <c r="T41" s="3372">
        <f>G41</f>
        <v>0</v>
      </c>
      <c r="U41" s="3372"/>
      <c r="V41" s="3372">
        <f>I41</f>
        <v>0</v>
      </c>
      <c r="W41" s="337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71" t="str">
        <f>A42</f>
        <v>比较价值（元/平方米）</v>
      </c>
      <c r="Q42" s="3371"/>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68" t="str">
        <f>A43</f>
        <v>估价对象XX用房的比较价值（楼面单价，元/平方米）</v>
      </c>
      <c r="Q43" s="3369"/>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6" t="s">
        <v>1887</v>
      </c>
      <c r="H50" s="343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35</v>
      </c>
      <c r="F51" s="611" t="e">
        <f t="shared" ref="F51:F60" si="15">ROUND(B51*E51/10000,0)</f>
        <v>#DIV/0!</v>
      </c>
      <c r="G51" s="3382"/>
      <c r="H51" s="337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4" t="s">
        <v>3261</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9"/>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3301</v>
      </c>
      <c r="B103" s="3456"/>
      <c r="C103" s="3456"/>
      <c r="D103" s="3456"/>
      <c r="E103" s="3456"/>
      <c r="F103" s="3456"/>
      <c r="G103" s="3456"/>
      <c r="H103" s="3456"/>
      <c r="I103" s="3456"/>
      <c r="J103" s="3456"/>
      <c r="K103" s="1667"/>
      <c r="L103" s="1667"/>
      <c r="M103" s="1667"/>
      <c r="N103" s="1667"/>
    </row>
    <row r="104" spans="1:14">
      <c r="A104" s="3457" t="s">
        <v>3302</v>
      </c>
      <c r="B104" s="3457" t="s">
        <v>3303</v>
      </c>
      <c r="C104" s="3090" t="s">
        <v>3304</v>
      </c>
      <c r="D104" s="3091"/>
      <c r="E104" s="3091"/>
      <c r="F104" s="3091"/>
      <c r="G104" s="3091"/>
      <c r="H104" s="3091"/>
      <c r="I104" s="3091"/>
      <c r="J104" s="3092"/>
      <c r="K104" s="3093"/>
      <c r="L104" s="3093"/>
      <c r="M104" s="3093"/>
      <c r="N104" s="3093"/>
    </row>
    <row r="105" spans="1:14">
      <c r="A105" s="3457"/>
      <c r="B105" s="3457"/>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3"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3318</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71" t="s">
        <v>2610</v>
      </c>
      <c r="B20" s="3466" t="s">
        <v>2631</v>
      </c>
      <c r="C20" s="2842" t="s">
        <v>2442</v>
      </c>
      <c r="D20" s="2843"/>
      <c r="E20" s="2844">
        <v>1</v>
      </c>
      <c r="F20" s="2845" t="s">
        <v>2443</v>
      </c>
      <c r="G20" s="2845"/>
    </row>
    <row r="21" spans="1:13" ht="19.5" customHeight="1">
      <c r="A21" s="3472"/>
      <c r="B21" s="3465"/>
      <c r="C21" s="2846" t="s">
        <v>2444</v>
      </c>
      <c r="D21" s="2847"/>
      <c r="E21" s="2848">
        <v>1</v>
      </c>
      <c r="F21" s="2845" t="s">
        <v>2445</v>
      </c>
      <c r="G21" s="2845"/>
    </row>
    <row r="22" spans="1:13" ht="19.5" customHeight="1">
      <c r="A22" s="3472"/>
      <c r="B22" s="3465"/>
      <c r="C22" s="2846" t="s">
        <v>2446</v>
      </c>
      <c r="D22" s="2847"/>
      <c r="E22" s="2848">
        <v>0.9</v>
      </c>
      <c r="F22" s="2845" t="s">
        <v>2447</v>
      </c>
      <c r="G22" s="2845"/>
    </row>
    <row r="23" spans="1:13" ht="19.5" customHeight="1">
      <c r="A23" s="3472"/>
      <c r="B23" s="3465"/>
      <c r="C23" s="2846" t="s">
        <v>2448</v>
      </c>
      <c r="D23" s="2847"/>
      <c r="E23" s="2848">
        <v>0.9</v>
      </c>
      <c r="F23" s="2845" t="s">
        <v>2449</v>
      </c>
      <c r="G23" s="2845"/>
    </row>
    <row r="24" spans="1:13" ht="19.5" customHeight="1">
      <c r="A24" s="3472"/>
      <c r="B24" s="3465"/>
      <c r="C24" s="2846" t="s">
        <v>2450</v>
      </c>
      <c r="D24" s="2847"/>
      <c r="E24" s="2848">
        <v>0.8</v>
      </c>
      <c r="F24" s="2845" t="s">
        <v>2451</v>
      </c>
      <c r="G24" s="2845"/>
    </row>
    <row r="25" spans="1:13" ht="19.5" customHeight="1" thickBot="1">
      <c r="A25" s="3473"/>
      <c r="B25" s="3467"/>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8" t="s">
        <v>2634</v>
      </c>
      <c r="B27" s="3466" t="s">
        <v>2615</v>
      </c>
      <c r="C27" s="2842" t="s">
        <v>2455</v>
      </c>
      <c r="D27" s="2843"/>
      <c r="E27" s="2844">
        <v>1</v>
      </c>
      <c r="F27" s="2845" t="s">
        <v>2456</v>
      </c>
      <c r="G27" s="2845"/>
    </row>
    <row r="28" spans="1:13" ht="19.5" customHeight="1">
      <c r="A28" s="3469"/>
      <c r="B28" s="3465"/>
      <c r="C28" s="2846" t="s">
        <v>2457</v>
      </c>
      <c r="D28" s="2847"/>
      <c r="E28" s="2848">
        <v>1</v>
      </c>
      <c r="F28" s="2845" t="s">
        <v>2458</v>
      </c>
      <c r="G28" s="2845"/>
    </row>
    <row r="29" spans="1:13" ht="19.5" customHeight="1">
      <c r="A29" s="3469"/>
      <c r="B29" s="3465"/>
      <c r="C29" s="2846" t="s">
        <v>2459</v>
      </c>
      <c r="D29" s="2847"/>
      <c r="E29" s="2848">
        <v>0.8</v>
      </c>
      <c r="F29" s="2845" t="s">
        <v>2460</v>
      </c>
      <c r="G29" s="2845"/>
    </row>
    <row r="30" spans="1:13" ht="19.5" customHeight="1">
      <c r="A30" s="3469"/>
      <c r="B30" s="3465"/>
      <c r="C30" s="2846" t="s">
        <v>2461</v>
      </c>
      <c r="D30" s="2847"/>
      <c r="E30" s="2848">
        <v>0.8</v>
      </c>
      <c r="F30" s="2845" t="s">
        <v>2462</v>
      </c>
      <c r="G30" s="2845"/>
    </row>
    <row r="31" spans="1:13" ht="19.5" customHeight="1">
      <c r="A31" s="3469"/>
      <c r="B31" s="3465"/>
      <c r="C31" s="2846" t="s">
        <v>2463</v>
      </c>
      <c r="D31" s="2847"/>
      <c r="E31" s="2848">
        <v>0.8</v>
      </c>
      <c r="F31" s="2845" t="s">
        <v>2464</v>
      </c>
      <c r="G31" s="2845"/>
    </row>
    <row r="32" spans="1:13" ht="19.5" customHeight="1">
      <c r="A32" s="3469"/>
      <c r="B32" s="3465"/>
      <c r="C32" s="2846" t="s">
        <v>2465</v>
      </c>
      <c r="D32" s="2847"/>
      <c r="E32" s="2848">
        <v>0.7</v>
      </c>
      <c r="F32" s="2845" t="s">
        <v>2466</v>
      </c>
      <c r="G32" s="2845"/>
    </row>
    <row r="33" spans="1:7" ht="19.5" customHeight="1">
      <c r="A33" s="3469"/>
      <c r="B33" s="3465"/>
      <c r="C33" s="2846" t="s">
        <v>2467</v>
      </c>
      <c r="D33" s="2847"/>
      <c r="E33" s="2848">
        <v>0.8</v>
      </c>
      <c r="F33" s="2845" t="s">
        <v>2468</v>
      </c>
      <c r="G33" s="2845"/>
    </row>
    <row r="34" spans="1:7" ht="19.5" customHeight="1">
      <c r="A34" s="3469"/>
      <c r="B34" s="3465"/>
      <c r="C34" s="2846" t="s">
        <v>2469</v>
      </c>
      <c r="D34" s="2847"/>
      <c r="E34" s="2848">
        <v>0.6</v>
      </c>
      <c r="F34" s="2845" t="s">
        <v>2470</v>
      </c>
      <c r="G34" s="2845"/>
    </row>
    <row r="35" spans="1:7" ht="19.5" customHeight="1">
      <c r="A35" s="3469"/>
      <c r="B35" s="3465"/>
      <c r="C35" s="2846" t="s">
        <v>2471</v>
      </c>
      <c r="D35" s="2847"/>
      <c r="E35" s="2848">
        <v>0.2</v>
      </c>
      <c r="F35" s="2845" t="s">
        <v>2472</v>
      </c>
      <c r="G35" s="2845"/>
    </row>
    <row r="36" spans="1:7" ht="19.5" customHeight="1">
      <c r="A36" s="3469"/>
      <c r="B36" s="3465"/>
      <c r="C36" s="2846" t="s">
        <v>2473</v>
      </c>
      <c r="D36" s="2847"/>
      <c r="E36" s="2848">
        <v>0.2</v>
      </c>
      <c r="F36" s="2845" t="s">
        <v>2474</v>
      </c>
      <c r="G36" s="2845"/>
    </row>
    <row r="37" spans="1:7" ht="19.5" customHeight="1">
      <c r="A37" s="3469"/>
      <c r="B37" s="3463" t="s">
        <v>2635</v>
      </c>
      <c r="C37" s="2846" t="s">
        <v>2475</v>
      </c>
      <c r="D37" s="2847"/>
      <c r="E37" s="2848">
        <v>0.6</v>
      </c>
      <c r="F37" s="2845" t="s">
        <v>2476</v>
      </c>
      <c r="G37" s="2845"/>
    </row>
    <row r="38" spans="1:7" ht="19.5" customHeight="1">
      <c r="A38" s="3469"/>
      <c r="B38" s="3465"/>
      <c r="C38" s="2846" t="s">
        <v>2477</v>
      </c>
      <c r="D38" s="2847"/>
      <c r="E38" s="2848">
        <v>0.6</v>
      </c>
      <c r="F38" s="2845" t="s">
        <v>2478</v>
      </c>
      <c r="G38" s="2845"/>
    </row>
    <row r="39" spans="1:7" ht="19.5" customHeight="1" thickBot="1">
      <c r="A39" s="3470"/>
      <c r="B39" s="3467"/>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71" t="s">
        <v>2613</v>
      </c>
      <c r="B41" s="3466" t="s">
        <v>2637</v>
      </c>
      <c r="C41" s="2842" t="s">
        <v>2482</v>
      </c>
      <c r="D41" s="2843"/>
      <c r="E41" s="2844">
        <v>1</v>
      </c>
      <c r="F41" s="2845" t="s">
        <v>2483</v>
      </c>
      <c r="G41" s="2845"/>
    </row>
    <row r="42" spans="1:7" ht="19.5" customHeight="1">
      <c r="A42" s="3472"/>
      <c r="B42" s="3465"/>
      <c r="C42" s="2846" t="s">
        <v>2484</v>
      </c>
      <c r="D42" s="2847"/>
      <c r="E42" s="2848">
        <v>1</v>
      </c>
      <c r="F42" s="2845" t="s">
        <v>2485</v>
      </c>
      <c r="G42" s="2845"/>
    </row>
    <row r="43" spans="1:7" ht="19.5" customHeight="1">
      <c r="A43" s="3472"/>
      <c r="B43" s="3464"/>
      <c r="C43" s="2846" t="s">
        <v>2486</v>
      </c>
      <c r="D43" s="2847"/>
      <c r="E43" s="2848">
        <v>1.5</v>
      </c>
      <c r="F43" s="2845" t="s">
        <v>2487</v>
      </c>
      <c r="G43" s="2845"/>
    </row>
    <row r="44" spans="1:7" ht="19.5" customHeight="1">
      <c r="A44" s="3472"/>
      <c r="B44" s="2857" t="s">
        <v>2638</v>
      </c>
      <c r="C44" s="2846" t="s">
        <v>2639</v>
      </c>
      <c r="D44" s="2847"/>
      <c r="E44" s="2848">
        <v>2</v>
      </c>
      <c r="F44" s="2845" t="s">
        <v>2488</v>
      </c>
      <c r="G44" s="2845"/>
    </row>
    <row r="45" spans="1:7" ht="19.5" customHeight="1">
      <c r="A45" s="3472"/>
      <c r="B45" s="3463" t="s">
        <v>2640</v>
      </c>
      <c r="C45" s="2846" t="s">
        <v>2489</v>
      </c>
      <c r="D45" s="2847"/>
      <c r="E45" s="2848">
        <v>1</v>
      </c>
      <c r="F45" s="2845" t="s">
        <v>2490</v>
      </c>
      <c r="G45" s="2845"/>
    </row>
    <row r="46" spans="1:7" ht="19.5" customHeight="1">
      <c r="A46" s="3472"/>
      <c r="B46" s="3465"/>
      <c r="C46" s="2846" t="s">
        <v>2491</v>
      </c>
      <c r="D46" s="2847"/>
      <c r="E46" s="2848">
        <v>1</v>
      </c>
      <c r="F46" s="2845" t="s">
        <v>2492</v>
      </c>
      <c r="G46" s="2845"/>
    </row>
    <row r="47" spans="1:7" ht="19.5" customHeight="1">
      <c r="A47" s="3472"/>
      <c r="B47" s="3465"/>
      <c r="C47" s="2846" t="s">
        <v>2493</v>
      </c>
      <c r="D47" s="2847"/>
      <c r="E47" s="2848">
        <v>1</v>
      </c>
      <c r="F47" s="2845" t="s">
        <v>2494</v>
      </c>
      <c r="G47" s="2845"/>
    </row>
    <row r="48" spans="1:7" ht="19.5" customHeight="1">
      <c r="A48" s="3472"/>
      <c r="B48" s="3465"/>
      <c r="C48" s="2846" t="s">
        <v>2495</v>
      </c>
      <c r="D48" s="2847"/>
      <c r="E48" s="2848">
        <v>1</v>
      </c>
      <c r="F48" s="2845" t="s">
        <v>2496</v>
      </c>
      <c r="G48" s="2845"/>
    </row>
    <row r="49" spans="1:7" ht="19.5" customHeight="1">
      <c r="A49" s="3472"/>
      <c r="B49" s="3465"/>
      <c r="C49" s="2846" t="s">
        <v>2497</v>
      </c>
      <c r="D49" s="2847"/>
      <c r="E49" s="2848">
        <v>1</v>
      </c>
      <c r="F49" s="2845" t="s">
        <v>2498</v>
      </c>
      <c r="G49" s="2845"/>
    </row>
    <row r="50" spans="1:7" ht="19.5" customHeight="1">
      <c r="A50" s="3472"/>
      <c r="B50" s="3465"/>
      <c r="C50" s="2846" t="s">
        <v>2499</v>
      </c>
      <c r="D50" s="2847"/>
      <c r="E50" s="2848">
        <v>1</v>
      </c>
      <c r="F50" s="2845" t="s">
        <v>2500</v>
      </c>
      <c r="G50" s="2845"/>
    </row>
    <row r="51" spans="1:7" ht="19.5" customHeight="1" thickBot="1">
      <c r="A51" s="3473"/>
      <c r="B51" s="3467"/>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3" t="s">
        <v>2654</v>
      </c>
      <c r="C73" s="2831" t="s">
        <v>2655</v>
      </c>
      <c r="D73" s="2831" t="s">
        <v>2656</v>
      </c>
      <c r="E73" s="2857">
        <v>0.2</v>
      </c>
      <c r="F73" s="2857">
        <v>25</v>
      </c>
    </row>
    <row r="74" spans="1:7" ht="24">
      <c r="A74" s="2857">
        <v>2</v>
      </c>
      <c r="B74" s="3465"/>
      <c r="C74" s="2831" t="s">
        <v>2657</v>
      </c>
      <c r="D74" s="2831" t="s">
        <v>2658</v>
      </c>
      <c r="E74" s="2857">
        <v>0.2</v>
      </c>
      <c r="F74" s="2857">
        <v>25</v>
      </c>
    </row>
    <row r="75" spans="1:7" ht="24">
      <c r="A75" s="2857">
        <v>3</v>
      </c>
      <c r="B75" s="3465"/>
      <c r="C75" s="2831" t="s">
        <v>2659</v>
      </c>
      <c r="D75" s="2831" t="s">
        <v>2660</v>
      </c>
      <c r="E75" s="2857">
        <v>0.2</v>
      </c>
      <c r="F75" s="2857">
        <v>25</v>
      </c>
    </row>
    <row r="76" spans="1:7" ht="13.5">
      <c r="A76" s="2857">
        <v>4</v>
      </c>
      <c r="B76" s="3465"/>
      <c r="C76" s="2831" t="s">
        <v>2661</v>
      </c>
      <c r="D76" s="2831" t="s">
        <v>2662</v>
      </c>
      <c r="E76" s="2857">
        <v>0.15</v>
      </c>
      <c r="F76" s="2857">
        <v>20</v>
      </c>
    </row>
    <row r="77" spans="1:7" ht="24">
      <c r="A77" s="2857">
        <v>5</v>
      </c>
      <c r="B77" s="3465"/>
      <c r="C77" s="2831" t="s">
        <v>2663</v>
      </c>
      <c r="D77" s="2831" t="s">
        <v>2664</v>
      </c>
      <c r="E77" s="2857">
        <v>0.15</v>
      </c>
      <c r="F77" s="2857">
        <v>20</v>
      </c>
    </row>
    <row r="78" spans="1:7" ht="24">
      <c r="A78" s="2857">
        <v>6</v>
      </c>
      <c r="B78" s="3465"/>
      <c r="C78" s="2831" t="s">
        <v>2665</v>
      </c>
      <c r="D78" s="2831" t="s">
        <v>2666</v>
      </c>
      <c r="E78" s="2857">
        <v>0.15</v>
      </c>
      <c r="F78" s="2857">
        <v>20</v>
      </c>
    </row>
    <row r="79" spans="1:7" ht="24">
      <c r="A79" s="2857">
        <v>7</v>
      </c>
      <c r="B79" s="3465"/>
      <c r="C79" s="2831" t="s">
        <v>2667</v>
      </c>
      <c r="D79" s="2831" t="s">
        <v>2668</v>
      </c>
      <c r="E79" s="2857">
        <v>0.15</v>
      </c>
      <c r="F79" s="2857">
        <v>20</v>
      </c>
    </row>
    <row r="80" spans="1:7" ht="24">
      <c r="A80" s="2857">
        <v>8</v>
      </c>
      <c r="B80" s="3465"/>
      <c r="C80" s="2831" t="s">
        <v>2669</v>
      </c>
      <c r="D80" s="2831" t="s">
        <v>2670</v>
      </c>
      <c r="E80" s="2857">
        <v>0.1</v>
      </c>
      <c r="F80" s="2857">
        <v>15</v>
      </c>
    </row>
    <row r="81" spans="1:6" ht="24">
      <c r="A81" s="2857">
        <v>9</v>
      </c>
      <c r="B81" s="3465"/>
      <c r="C81" s="2831" t="s">
        <v>2671</v>
      </c>
      <c r="D81" s="2831" t="s">
        <v>2672</v>
      </c>
      <c r="E81" s="2857">
        <v>0.1</v>
      </c>
      <c r="F81" s="2857">
        <v>15</v>
      </c>
    </row>
    <row r="82" spans="1:6" ht="24">
      <c r="A82" s="2857">
        <v>10</v>
      </c>
      <c r="B82" s="3465"/>
      <c r="C82" s="2831" t="s">
        <v>2673</v>
      </c>
      <c r="D82" s="2831" t="s">
        <v>2674</v>
      </c>
      <c r="E82" s="2857">
        <v>0.1</v>
      </c>
      <c r="F82" s="2857">
        <v>15</v>
      </c>
    </row>
    <row r="83" spans="1:6" ht="24">
      <c r="A83" s="2857">
        <v>11</v>
      </c>
      <c r="B83" s="3465"/>
      <c r="C83" s="2831" t="s">
        <v>2675</v>
      </c>
      <c r="D83" s="2831" t="s">
        <v>2676</v>
      </c>
      <c r="E83" s="2857">
        <v>0.1</v>
      </c>
      <c r="F83" s="2857">
        <v>15</v>
      </c>
    </row>
    <row r="84" spans="1:6" ht="24">
      <c r="A84" s="2857">
        <v>12</v>
      </c>
      <c r="B84" s="3465"/>
      <c r="C84" s="2831" t="s">
        <v>2677</v>
      </c>
      <c r="D84" s="2831" t="s">
        <v>2678</v>
      </c>
      <c r="E84" s="2857">
        <v>0.1</v>
      </c>
      <c r="F84" s="2857">
        <v>15</v>
      </c>
    </row>
    <row r="85" spans="1:6" ht="13.5">
      <c r="A85" s="2857">
        <v>13</v>
      </c>
      <c r="B85" s="3465"/>
      <c r="C85" s="2831" t="s">
        <v>2679</v>
      </c>
      <c r="D85" s="2831" t="s">
        <v>2680</v>
      </c>
      <c r="E85" s="2857">
        <v>0.1</v>
      </c>
      <c r="F85" s="2857">
        <v>15</v>
      </c>
    </row>
    <row r="86" spans="1:6" ht="13.5">
      <c r="A86" s="2857">
        <v>14</v>
      </c>
      <c r="B86" s="3465"/>
      <c r="C86" s="2831" t="s">
        <v>2681</v>
      </c>
      <c r="D86" s="2831" t="s">
        <v>2682</v>
      </c>
      <c r="E86" s="2857">
        <v>0.1</v>
      </c>
      <c r="F86" s="2857">
        <v>15</v>
      </c>
    </row>
    <row r="87" spans="1:6" ht="13.5">
      <c r="A87" s="2857">
        <v>15</v>
      </c>
      <c r="B87" s="3465"/>
      <c r="C87" s="2831" t="s">
        <v>2683</v>
      </c>
      <c r="D87" s="2831" t="s">
        <v>2684</v>
      </c>
      <c r="E87" s="2857">
        <v>0.1</v>
      </c>
      <c r="F87" s="2857">
        <v>15</v>
      </c>
    </row>
    <row r="88" spans="1:6" ht="24">
      <c r="A88" s="2857">
        <v>16</v>
      </c>
      <c r="B88" s="3465"/>
      <c r="C88" s="2831" t="s">
        <v>2685</v>
      </c>
      <c r="D88" s="2831" t="s">
        <v>2686</v>
      </c>
      <c r="E88" s="2857">
        <v>0.1</v>
      </c>
      <c r="F88" s="2857">
        <v>15</v>
      </c>
    </row>
    <row r="89" spans="1:6" ht="24">
      <c r="A89" s="2857">
        <v>17</v>
      </c>
      <c r="B89" s="3464"/>
      <c r="C89" s="2831" t="s">
        <v>2687</v>
      </c>
      <c r="D89" s="2831" t="s">
        <v>2688</v>
      </c>
      <c r="E89" s="2857">
        <v>0.1</v>
      </c>
      <c r="F89" s="2857">
        <v>15</v>
      </c>
    </row>
    <row r="90" spans="1:6" ht="13.5">
      <c r="A90" s="2857">
        <v>18</v>
      </c>
      <c r="B90" s="3463" t="s">
        <v>2689</v>
      </c>
      <c r="C90" s="2831" t="s">
        <v>2690</v>
      </c>
      <c r="D90" s="2831" t="s">
        <v>2691</v>
      </c>
      <c r="E90" s="2857">
        <v>0.2</v>
      </c>
      <c r="F90" s="2857">
        <v>25</v>
      </c>
    </row>
    <row r="91" spans="1:6" ht="24">
      <c r="A91" s="2857">
        <v>19</v>
      </c>
      <c r="B91" s="3465"/>
      <c r="C91" s="2831" t="s">
        <v>2692</v>
      </c>
      <c r="D91" s="2831" t="s">
        <v>2693</v>
      </c>
      <c r="E91" s="2857">
        <v>0.2</v>
      </c>
      <c r="F91" s="2857">
        <v>25</v>
      </c>
    </row>
    <row r="92" spans="1:6" ht="13.5">
      <c r="A92" s="2857">
        <v>20</v>
      </c>
      <c r="B92" s="3465"/>
      <c r="C92" s="2831" t="s">
        <v>2694</v>
      </c>
      <c r="D92" s="2831" t="s">
        <v>2695</v>
      </c>
      <c r="E92" s="2857">
        <v>0.15</v>
      </c>
      <c r="F92" s="2857">
        <v>20</v>
      </c>
    </row>
    <row r="93" spans="1:6" ht="13.5">
      <c r="A93" s="2857">
        <v>21</v>
      </c>
      <c r="B93" s="3465"/>
      <c r="C93" s="2831" t="s">
        <v>2696</v>
      </c>
      <c r="D93" s="2831" t="s">
        <v>2697</v>
      </c>
      <c r="E93" s="2857">
        <v>0.15</v>
      </c>
      <c r="F93" s="2857">
        <v>20</v>
      </c>
    </row>
    <row r="94" spans="1:6" ht="13.5">
      <c r="A94" s="2857">
        <v>22</v>
      </c>
      <c r="B94" s="3465"/>
      <c r="C94" s="2831" t="s">
        <v>2698</v>
      </c>
      <c r="D94" s="2831" t="s">
        <v>2699</v>
      </c>
      <c r="E94" s="2857">
        <v>0.15</v>
      </c>
      <c r="F94" s="2857">
        <v>20</v>
      </c>
    </row>
    <row r="95" spans="1:6" ht="36">
      <c r="A95" s="2857">
        <v>23</v>
      </c>
      <c r="B95" s="3465"/>
      <c r="C95" s="2831" t="s">
        <v>2700</v>
      </c>
      <c r="D95" s="2831" t="s">
        <v>2701</v>
      </c>
      <c r="E95" s="2857">
        <v>0.15</v>
      </c>
      <c r="F95" s="2857">
        <v>20</v>
      </c>
    </row>
    <row r="96" spans="1:6" ht="13.5">
      <c r="A96" s="2857">
        <v>24</v>
      </c>
      <c r="B96" s="3465"/>
      <c r="C96" s="2831" t="s">
        <v>2702</v>
      </c>
      <c r="D96" s="2831" t="s">
        <v>2703</v>
      </c>
      <c r="E96" s="2857">
        <v>0.1</v>
      </c>
      <c r="F96" s="2857">
        <v>15</v>
      </c>
    </row>
    <row r="97" spans="1:6" ht="13.5">
      <c r="A97" s="2857">
        <v>25</v>
      </c>
      <c r="B97" s="3465"/>
      <c r="C97" s="2831" t="s">
        <v>2704</v>
      </c>
      <c r="D97" s="2831" t="s">
        <v>2705</v>
      </c>
      <c r="E97" s="2857">
        <v>0.1</v>
      </c>
      <c r="F97" s="2857">
        <v>15</v>
      </c>
    </row>
    <row r="98" spans="1:6" ht="24">
      <c r="A98" s="2857">
        <v>26</v>
      </c>
      <c r="B98" s="3465"/>
      <c r="C98" s="2831" t="s">
        <v>2706</v>
      </c>
      <c r="D98" s="2831" t="s">
        <v>2707</v>
      </c>
      <c r="E98" s="2857">
        <v>0.1</v>
      </c>
      <c r="F98" s="2857">
        <v>15</v>
      </c>
    </row>
    <row r="99" spans="1:6" ht="24">
      <c r="A99" s="2857">
        <v>27</v>
      </c>
      <c r="B99" s="3465"/>
      <c r="C99" s="2831" t="s">
        <v>2708</v>
      </c>
      <c r="D99" s="2831" t="s">
        <v>2709</v>
      </c>
      <c r="E99" s="2857">
        <v>0.1</v>
      </c>
      <c r="F99" s="2857">
        <v>15</v>
      </c>
    </row>
    <row r="100" spans="1:6" ht="13.5">
      <c r="A100" s="2857">
        <v>28</v>
      </c>
      <c r="B100" s="3465"/>
      <c r="C100" s="2831" t="s">
        <v>2710</v>
      </c>
      <c r="D100" s="2831" t="s">
        <v>2711</v>
      </c>
      <c r="E100" s="2857">
        <v>0.1</v>
      </c>
      <c r="F100" s="2857">
        <v>15</v>
      </c>
    </row>
    <row r="101" spans="1:6" ht="13.5">
      <c r="A101" s="2857">
        <v>29</v>
      </c>
      <c r="B101" s="3465"/>
      <c r="C101" s="2831" t="s">
        <v>2712</v>
      </c>
      <c r="D101" s="2831" t="s">
        <v>2713</v>
      </c>
      <c r="E101" s="2857">
        <v>0.1</v>
      </c>
      <c r="F101" s="2857">
        <v>15</v>
      </c>
    </row>
    <row r="102" spans="1:6" ht="13.5">
      <c r="A102" s="2857">
        <v>30</v>
      </c>
      <c r="B102" s="3465"/>
      <c r="C102" s="2831" t="s">
        <v>2714</v>
      </c>
      <c r="D102" s="2831" t="s">
        <v>2715</v>
      </c>
      <c r="E102" s="2857">
        <v>0.1</v>
      </c>
      <c r="F102" s="2857">
        <v>15</v>
      </c>
    </row>
    <row r="103" spans="1:6" ht="24">
      <c r="A103" s="2857">
        <v>31</v>
      </c>
      <c r="B103" s="3465"/>
      <c r="C103" s="2831" t="s">
        <v>2716</v>
      </c>
      <c r="D103" s="2831" t="s">
        <v>2717</v>
      </c>
      <c r="E103" s="2857">
        <v>0.1</v>
      </c>
      <c r="F103" s="2857">
        <v>15</v>
      </c>
    </row>
    <row r="104" spans="1:6" ht="24">
      <c r="A104" s="2857">
        <v>32</v>
      </c>
      <c r="B104" s="3465"/>
      <c r="C104" s="2831" t="s">
        <v>2718</v>
      </c>
      <c r="D104" s="2831" t="s">
        <v>2719</v>
      </c>
      <c r="E104" s="2857">
        <v>0.1</v>
      </c>
      <c r="F104" s="2857">
        <v>15</v>
      </c>
    </row>
    <row r="105" spans="1:6" ht="24">
      <c r="A105" s="2857">
        <v>33</v>
      </c>
      <c r="B105" s="3465"/>
      <c r="C105" s="2831" t="s">
        <v>2720</v>
      </c>
      <c r="D105" s="2831" t="s">
        <v>2721</v>
      </c>
      <c r="E105" s="2857">
        <v>0.1</v>
      </c>
      <c r="F105" s="2857">
        <v>15</v>
      </c>
    </row>
    <row r="106" spans="1:6" ht="24">
      <c r="A106" s="2857">
        <v>34</v>
      </c>
      <c r="B106" s="3464"/>
      <c r="C106" s="2831" t="s">
        <v>2722</v>
      </c>
      <c r="D106" s="2831" t="s">
        <v>2723</v>
      </c>
      <c r="E106" s="2857">
        <v>0.1</v>
      </c>
      <c r="F106" s="2857">
        <v>15</v>
      </c>
    </row>
    <row r="107" spans="1:6" ht="24">
      <c r="A107" s="2857">
        <v>35</v>
      </c>
      <c r="B107" s="3463" t="s">
        <v>2724</v>
      </c>
      <c r="C107" s="2857" t="s">
        <v>2725</v>
      </c>
      <c r="D107" s="2831" t="s">
        <v>2726</v>
      </c>
      <c r="E107" s="2857">
        <v>0.15</v>
      </c>
      <c r="F107" s="2857">
        <v>20</v>
      </c>
    </row>
    <row r="108" spans="1:6" ht="13.5">
      <c r="A108" s="2857">
        <v>36</v>
      </c>
      <c r="B108" s="3465"/>
      <c r="C108" s="2857" t="s">
        <v>2727</v>
      </c>
      <c r="D108" s="2831" t="s">
        <v>2728</v>
      </c>
      <c r="E108" s="2857">
        <v>0.15</v>
      </c>
      <c r="F108" s="2857">
        <v>20</v>
      </c>
    </row>
    <row r="109" spans="1:6" ht="13.5">
      <c r="A109" s="2857">
        <v>37</v>
      </c>
      <c r="B109" s="3465"/>
      <c r="C109" s="2857" t="s">
        <v>2729</v>
      </c>
      <c r="D109" s="2831" t="s">
        <v>2730</v>
      </c>
      <c r="E109" s="2857">
        <v>0.15</v>
      </c>
      <c r="F109" s="2857">
        <v>20</v>
      </c>
    </row>
    <row r="110" spans="1:6" ht="13.5">
      <c r="A110" s="2857">
        <v>38</v>
      </c>
      <c r="B110" s="3465"/>
      <c r="C110" s="2857" t="s">
        <v>2731</v>
      </c>
      <c r="D110" s="2831" t="s">
        <v>2732</v>
      </c>
      <c r="E110" s="2857">
        <v>0.1</v>
      </c>
      <c r="F110" s="2857">
        <v>15</v>
      </c>
    </row>
    <row r="111" spans="1:6" ht="24">
      <c r="A111" s="2857">
        <v>39</v>
      </c>
      <c r="B111" s="3465"/>
      <c r="C111" s="2857" t="s">
        <v>2733</v>
      </c>
      <c r="D111" s="2831" t="s">
        <v>2734</v>
      </c>
      <c r="E111" s="2857">
        <v>0.1</v>
      </c>
      <c r="F111" s="2857">
        <v>15</v>
      </c>
    </row>
    <row r="112" spans="1:6" ht="24">
      <c r="A112" s="2857">
        <v>40</v>
      </c>
      <c r="B112" s="3464"/>
      <c r="C112" s="2857" t="s">
        <v>2735</v>
      </c>
      <c r="D112" s="2831" t="s">
        <v>2736</v>
      </c>
      <c r="E112" s="2857">
        <v>0.1</v>
      </c>
      <c r="F112" s="2857">
        <v>15</v>
      </c>
    </row>
    <row r="113" spans="1:6" ht="13.5">
      <c r="A113" s="2857">
        <v>41</v>
      </c>
      <c r="B113" s="3462" t="s">
        <v>2737</v>
      </c>
      <c r="C113" s="2857" t="s">
        <v>2738</v>
      </c>
      <c r="D113" s="2831" t="s">
        <v>2739</v>
      </c>
      <c r="E113" s="2857">
        <v>0.1</v>
      </c>
      <c r="F113" s="2857">
        <v>15</v>
      </c>
    </row>
    <row r="114" spans="1:6" ht="13.5">
      <c r="A114" s="2857">
        <v>42</v>
      </c>
      <c r="B114" s="3462"/>
      <c r="C114" s="2857" t="s">
        <v>2740</v>
      </c>
      <c r="D114" s="2831" t="s">
        <v>2741</v>
      </c>
      <c r="E114" s="2857">
        <v>0.1</v>
      </c>
      <c r="F114" s="2857">
        <v>15</v>
      </c>
    </row>
    <row r="115" spans="1:6" ht="24">
      <c r="A115" s="2857">
        <v>43</v>
      </c>
      <c r="B115" s="3462"/>
      <c r="C115" s="2857" t="s">
        <v>2742</v>
      </c>
      <c r="D115" s="2831" t="s">
        <v>2743</v>
      </c>
      <c r="E115" s="2857">
        <v>0.1</v>
      </c>
      <c r="F115" s="2857">
        <v>15</v>
      </c>
    </row>
    <row r="116" spans="1:6" ht="13.5">
      <c r="A116" s="2857">
        <v>44</v>
      </c>
      <c r="B116" s="3463" t="s">
        <v>2744</v>
      </c>
      <c r="C116" s="2857" t="s">
        <v>2745</v>
      </c>
      <c r="D116" s="2831" t="s">
        <v>2746</v>
      </c>
      <c r="E116" s="2857">
        <v>0.1</v>
      </c>
      <c r="F116" s="2857">
        <v>15</v>
      </c>
    </row>
    <row r="117" spans="1:6" ht="24">
      <c r="A117" s="2857">
        <v>45</v>
      </c>
      <c r="B117" s="3464"/>
      <c r="C117" s="2831" t="s">
        <v>2747</v>
      </c>
      <c r="D117" s="2831" t="s">
        <v>2748</v>
      </c>
      <c r="E117" s="2857">
        <v>0.1</v>
      </c>
      <c r="F117" s="2857">
        <v>15</v>
      </c>
    </row>
    <row r="118" spans="1:6" ht="24">
      <c r="A118" s="2857">
        <v>46</v>
      </c>
      <c r="B118" s="3463" t="s">
        <v>2749</v>
      </c>
      <c r="C118" s="2857" t="s">
        <v>2750</v>
      </c>
      <c r="D118" s="2831" t="s">
        <v>2751</v>
      </c>
      <c r="E118" s="2857">
        <v>0.1</v>
      </c>
      <c r="F118" s="2857">
        <v>15</v>
      </c>
    </row>
    <row r="119" spans="1:6" ht="24">
      <c r="A119" s="2857">
        <v>47</v>
      </c>
      <c r="B119" s="3464"/>
      <c r="C119" s="2857" t="s">
        <v>2752</v>
      </c>
      <c r="D119" s="2831" t="s">
        <v>2753</v>
      </c>
      <c r="E119" s="2857">
        <v>0.1</v>
      </c>
      <c r="F119" s="2857">
        <v>15</v>
      </c>
    </row>
    <row r="120" spans="1:6" ht="13.5">
      <c r="A120" s="2857">
        <v>48</v>
      </c>
      <c r="B120" s="3463" t="s">
        <v>2754</v>
      </c>
      <c r="C120" s="2857" t="s">
        <v>2755</v>
      </c>
      <c r="D120" s="2831" t="s">
        <v>2756</v>
      </c>
      <c r="E120" s="2857">
        <v>0.1</v>
      </c>
      <c r="F120" s="2857">
        <v>15</v>
      </c>
    </row>
    <row r="121" spans="1:6" ht="13.5">
      <c r="A121" s="2857">
        <v>49</v>
      </c>
      <c r="B121" s="3464"/>
      <c r="C121" s="2857" t="s">
        <v>2757</v>
      </c>
      <c r="D121" s="2831" t="s">
        <v>2758</v>
      </c>
      <c r="E121" s="2857">
        <v>0.1</v>
      </c>
      <c r="F121" s="2857">
        <v>15</v>
      </c>
    </row>
    <row r="122" spans="1:6" ht="24">
      <c r="A122" s="2857">
        <v>50</v>
      </c>
      <c r="B122" s="3462" t="s">
        <v>2759</v>
      </c>
      <c r="C122" s="2857" t="s">
        <v>2760</v>
      </c>
      <c r="D122" s="2831" t="s">
        <v>2761</v>
      </c>
      <c r="E122" s="2857">
        <v>0.1</v>
      </c>
      <c r="F122" s="2857">
        <v>15</v>
      </c>
    </row>
    <row r="123" spans="1:6" ht="24">
      <c r="A123" s="2857">
        <v>51</v>
      </c>
      <c r="B123" s="3462"/>
      <c r="C123" s="2857" t="s">
        <v>2762</v>
      </c>
      <c r="D123" s="2831" t="s">
        <v>2763</v>
      </c>
      <c r="E123" s="2857">
        <v>0.1</v>
      </c>
      <c r="F123" s="2857">
        <v>15</v>
      </c>
    </row>
    <row r="124" spans="1:6" ht="24">
      <c r="A124" s="2857">
        <v>52</v>
      </c>
      <c r="B124" s="3462" t="s">
        <v>2764</v>
      </c>
      <c r="C124" s="2857" t="s">
        <v>2765</v>
      </c>
      <c r="D124" s="2831" t="s">
        <v>2766</v>
      </c>
      <c r="E124" s="2857">
        <v>0.1</v>
      </c>
      <c r="F124" s="2857">
        <v>15</v>
      </c>
    </row>
    <row r="125" spans="1:6" ht="24">
      <c r="A125" s="2857">
        <v>53</v>
      </c>
      <c r="B125" s="3462"/>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62" t="s">
        <v>2772</v>
      </c>
      <c r="C127" s="2857" t="s">
        <v>2773</v>
      </c>
      <c r="D127" s="2831" t="s">
        <v>2774</v>
      </c>
      <c r="E127" s="2857">
        <v>0.1</v>
      </c>
      <c r="F127" s="2857">
        <v>15</v>
      </c>
    </row>
    <row r="128" spans="1:6" ht="13.5">
      <c r="A128" s="2857">
        <v>56</v>
      </c>
      <c r="B128" s="3462"/>
      <c r="C128" s="2857" t="s">
        <v>2775</v>
      </c>
      <c r="D128" s="2831" t="s">
        <v>2776</v>
      </c>
      <c r="E128" s="2857">
        <v>0.1</v>
      </c>
      <c r="F128" s="2857">
        <v>15</v>
      </c>
    </row>
    <row r="129" spans="1:6" ht="24">
      <c r="A129" s="2857">
        <v>57</v>
      </c>
      <c r="B129" s="3462"/>
      <c r="C129" s="2857" t="s">
        <v>2777</v>
      </c>
      <c r="D129" s="2831" t="s">
        <v>2778</v>
      </c>
      <c r="E129" s="2857">
        <v>0.1</v>
      </c>
      <c r="F129" s="2857">
        <v>15</v>
      </c>
    </row>
    <row r="130" spans="1:6" ht="24">
      <c r="A130" s="2857">
        <v>58</v>
      </c>
      <c r="B130" s="3462" t="s">
        <v>2779</v>
      </c>
      <c r="C130" s="2857" t="s">
        <v>2780</v>
      </c>
      <c r="D130" s="2831" t="s">
        <v>2781</v>
      </c>
      <c r="E130" s="2857">
        <v>0.1</v>
      </c>
      <c r="F130" s="2857">
        <v>15</v>
      </c>
    </row>
    <row r="131" spans="1:6" ht="13.5">
      <c r="A131" s="2857">
        <v>59</v>
      </c>
      <c r="B131" s="3462"/>
      <c r="C131" s="2857" t="s">
        <v>2782</v>
      </c>
      <c r="D131" s="2831" t="s">
        <v>2783</v>
      </c>
      <c r="E131" s="2857">
        <v>0.1</v>
      </c>
      <c r="F131" s="2857">
        <v>15</v>
      </c>
    </row>
    <row r="132" spans="1:6" ht="13.5">
      <c r="A132" s="2857">
        <v>60</v>
      </c>
      <c r="B132" s="3463" t="s">
        <v>2784</v>
      </c>
      <c r="C132" s="2857" t="s">
        <v>2785</v>
      </c>
      <c r="D132" s="2831" t="s">
        <v>2786</v>
      </c>
      <c r="E132" s="2857">
        <v>0.1</v>
      </c>
      <c r="F132" s="2857">
        <v>15</v>
      </c>
    </row>
    <row r="133" spans="1:6" ht="13.5">
      <c r="A133" s="2857">
        <v>61</v>
      </c>
      <c r="B133" s="3464"/>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62" t="s">
        <v>2792</v>
      </c>
      <c r="C135" s="2857" t="s">
        <v>2793</v>
      </c>
      <c r="D135" s="2831" t="s">
        <v>2794</v>
      </c>
      <c r="E135" s="2857">
        <v>0.1</v>
      </c>
      <c r="F135" s="2857">
        <v>15</v>
      </c>
    </row>
    <row r="136" spans="1:6" ht="13.5">
      <c r="A136" s="2857">
        <v>64</v>
      </c>
      <c r="B136" s="3462"/>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25794</v>
      </c>
      <c r="C2" s="2" t="s">
        <v>106</v>
      </c>
      <c r="D2" s="191"/>
      <c r="E2" s="191"/>
      <c r="F2" s="191"/>
      <c r="G2" s="191"/>
    </row>
    <row r="3" spans="1:7" s="192" customFormat="1" ht="18" customHeight="1" thickBot="1">
      <c r="A3" s="195" t="s">
        <v>58</v>
      </c>
      <c r="B3" s="196">
        <f ca="1">ROUND(B2*10000/'数据-汇总表'!E3,0)</f>
        <v>7369714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35</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1051</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25787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1</v>
      </c>
      <c r="D37" s="209">
        <f>'数据-汇总表'!E3</f>
        <v>35</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8.0000000000000004E-4</v>
      </c>
      <c r="D44" s="230"/>
      <c r="E44" s="230"/>
      <c r="F44" s="231"/>
      <c r="G44" s="3341"/>
    </row>
    <row r="45" spans="1:7" s="206" customFormat="1" ht="13.5" customHeight="1">
      <c r="A45" s="731" t="s">
        <v>341</v>
      </c>
      <c r="B45" s="236" t="s">
        <v>85</v>
      </c>
      <c r="C45" s="237">
        <f>C46</f>
        <v>0</v>
      </c>
      <c r="D45" s="227">
        <f>C47</f>
        <v>1E-3</v>
      </c>
      <c r="E45" s="228" t="s">
        <v>102</v>
      </c>
      <c r="F45" s="238"/>
      <c r="G45" s="239" t="s">
        <v>434</v>
      </c>
    </row>
    <row r="46" spans="1:7" s="206" customFormat="1" ht="13.5" customHeight="1">
      <c r="A46" s="734" t="s">
        <v>349</v>
      </c>
      <c r="B46" s="240" t="s">
        <v>427</v>
      </c>
      <c r="C46" s="241">
        <f>ROUND((C33+C39)*F27,0)</f>
        <v>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25794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2846</v>
      </c>
      <c r="B1" s="3476"/>
      <c r="C1" s="3476"/>
      <c r="D1" s="3476"/>
      <c r="E1" s="3476"/>
      <c r="F1" s="3476"/>
      <c r="G1" s="3477"/>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4"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5"/>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估价结果一览表（市场价值不需“结果表-1”）</v>
      </c>
      <c r="B3" s="3163"/>
      <c r="C3" s="3163"/>
      <c r="D3" s="3163"/>
      <c r="E3" s="3163"/>
    </row>
    <row r="4" spans="1:5" ht="19.5" thickBot="1">
      <c r="A4" s="1391"/>
      <c r="B4" s="3161" t="s">
        <v>917</v>
      </c>
      <c r="C4" s="3161"/>
      <c r="D4" s="3161"/>
      <c r="E4" s="1391"/>
    </row>
    <row r="5" spans="1:5" ht="16.5" thickTop="1">
      <c r="B5" s="3159" t="s">
        <v>909</v>
      </c>
      <c r="C5" s="1392" t="s">
        <v>910</v>
      </c>
      <c r="D5" s="797">
        <f ca="1">结果表!H101</f>
        <v>2</v>
      </c>
    </row>
    <row r="6" spans="1:5" ht="15.75">
      <c r="B6" s="3159"/>
      <c r="C6" s="1392" t="s">
        <v>911</v>
      </c>
      <c r="D6" s="797" t="str">
        <f ca="1">NUMBERSTRING(INT(D5*10000),2)&amp;"元整"</f>
        <v>贰万元整</v>
      </c>
    </row>
    <row r="7" spans="1:5" ht="15.75">
      <c r="B7" s="3164"/>
      <c r="C7" s="1393" t="s">
        <v>912</v>
      </c>
      <c r="D7" s="798">
        <f ca="1">结果表!H102</f>
        <v>487</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2</v>
      </c>
    </row>
    <row r="14" spans="1:5" ht="15.75">
      <c r="B14" s="3159"/>
      <c r="C14" s="1392" t="s">
        <v>911</v>
      </c>
      <c r="D14" s="797" t="str">
        <f ca="1">NUMBERSTRING(INT(D13*10000),2)&amp;"元整"</f>
        <v>贰万元整</v>
      </c>
    </row>
    <row r="15" spans="1:5" ht="15">
      <c r="B15" s="3164"/>
      <c r="C15" s="1393" t="s">
        <v>921</v>
      </c>
      <c r="D15" s="806">
        <f ca="1">结果表!H108</f>
        <v>487</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3188</v>
      </c>
      <c r="B1" s="3478"/>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ht="15">
      <c r="A1" s="3479" t="s">
        <v>3239</v>
      </c>
      <c r="B1" s="3479"/>
      <c r="C1" s="3479"/>
      <c r="D1" s="3479"/>
      <c r="E1" s="3479"/>
      <c r="F1" s="3480"/>
    </row>
    <row r="2" spans="1:6" ht="15">
      <c r="A2" s="3002" t="s">
        <v>3240</v>
      </c>
    </row>
    <row r="3" spans="1:6" ht="15">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44942</v>
      </c>
      <c r="B1" s="2929" t="s">
        <v>2845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1" t="s">
        <v>2833</v>
      </c>
      <c r="S21" s="3482"/>
      <c r="T21" s="3482"/>
      <c r="U21" s="3482"/>
      <c r="V21" s="3482"/>
      <c r="W21" s="3482"/>
      <c r="X21" s="2896"/>
      <c r="Y21" s="3481" t="s">
        <v>2834</v>
      </c>
      <c r="Z21" s="3482"/>
      <c r="AA21" s="3482"/>
      <c r="AB21" s="3482"/>
      <c r="AC21" s="3482"/>
      <c r="AD21" s="3482"/>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3412</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1.7057</v>
      </c>
      <c r="C2" s="1289" t="s">
        <v>879</v>
      </c>
      <c r="D2" s="1375">
        <f ca="1">C40+J29+L46</f>
        <v>17057</v>
      </c>
      <c r="E2" s="1295" t="s">
        <v>880</v>
      </c>
      <c r="F2" s="1296"/>
      <c r="G2" s="2478"/>
      <c r="H2" s="2468"/>
      <c r="I2" s="2468"/>
      <c r="J2" s="2468"/>
      <c r="K2" s="2469"/>
      <c r="L2" s="2468"/>
      <c r="M2" s="2468"/>
    </row>
    <row r="3" spans="1:37" ht="18" customHeight="1" thickBot="1">
      <c r="A3" s="1297" t="s">
        <v>881</v>
      </c>
      <c r="B3" s="1298">
        <f ca="1">IF(ISERROR(D2/F43),0,ROUND(D2/F43,0))</f>
        <v>487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2160</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2160</v>
      </c>
      <c r="D6" s="147" t="s">
        <v>2106</v>
      </c>
      <c r="E6" s="294" t="s">
        <v>696</v>
      </c>
      <c r="F6" s="295">
        <f ca="1">INDIRECT("'数据-取费表'!u"&amp;$G$1)</f>
        <v>200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3415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77226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70000</v>
      </c>
      <c r="D14" s="1257" t="s">
        <v>708</v>
      </c>
      <c r="E14" s="1255"/>
      <c r="F14" s="311"/>
      <c r="G14" s="1292"/>
      <c r="H14" s="928" t="s">
        <v>398</v>
      </c>
      <c r="I14" s="294" t="s">
        <v>709</v>
      </c>
      <c r="J14" s="21">
        <f ca="1">C29</f>
        <v>96532</v>
      </c>
      <c r="K14" s="12"/>
      <c r="L14" s="759"/>
      <c r="M14" s="760"/>
    </row>
    <row r="15" spans="1:37" s="1304" customFormat="1" ht="18" customHeight="1" thickBot="1">
      <c r="A15" s="928" t="s">
        <v>399</v>
      </c>
      <c r="B15" s="294" t="s">
        <v>710</v>
      </c>
      <c r="C15" s="21">
        <f ca="1">ROUND(C14*F15,0)</f>
        <v>2100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965</v>
      </c>
      <c r="K16" s="1024" t="s">
        <v>715</v>
      </c>
      <c r="L16" s="1025"/>
      <c r="M16" s="1009"/>
    </row>
    <row r="17" spans="1:37" s="1304" customFormat="1" ht="18" customHeight="1">
      <c r="A17" s="928" t="s">
        <v>681</v>
      </c>
      <c r="B17" s="294" t="s">
        <v>716</v>
      </c>
      <c r="C17" s="21">
        <f ca="1">ROUND(F17*(F43+INDIRECT("'数据-取费表'!S"&amp;$G$1)),0)</f>
        <v>7000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80150</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1603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965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3393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-965</v>
      </c>
      <c r="K25" s="1032" t="s">
        <v>753</v>
      </c>
      <c r="L25" s="1033"/>
      <c r="M25" s="1034"/>
    </row>
    <row r="26" spans="1:37" ht="18" customHeight="1">
      <c r="A26" s="928" t="s">
        <v>397</v>
      </c>
      <c r="B26" s="294" t="s">
        <v>754</v>
      </c>
      <c r="C26" s="21">
        <f ca="1">ROUND((C19+C20)*F26,0)</f>
        <v>4088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96532</v>
      </c>
      <c r="D29" s="1029"/>
      <c r="E29" s="1027"/>
      <c r="F29" s="1030"/>
      <c r="G29" s="1303"/>
      <c r="H29" s="325" t="s">
        <v>396</v>
      </c>
      <c r="I29" s="326" t="s">
        <v>768</v>
      </c>
      <c r="J29" s="327">
        <f ca="1">ROUND(J26/(1+F40)^F41,0)</f>
        <v>0</v>
      </c>
      <c r="K29" s="328" t="s">
        <v>769</v>
      </c>
      <c r="L29" s="329"/>
      <c r="M29" s="330">
        <f ca="1">INDIRECT("'数据-取费表'!k"&amp;$G$1)</f>
        <v>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1427</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363</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116</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247</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965</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733</v>
      </c>
      <c r="D39" s="1032" t="s">
        <v>773</v>
      </c>
      <c r="E39" s="1033"/>
      <c r="F39" s="1034"/>
      <c r="G39" s="1292"/>
      <c r="H39" s="2473"/>
      <c r="I39" s="1305"/>
      <c r="J39" s="1306"/>
      <c r="K39" s="2471"/>
      <c r="L39" s="2473"/>
      <c r="M39" s="2473"/>
    </row>
    <row r="40" spans="1:18" ht="18" customHeight="1">
      <c r="A40" s="291" t="s">
        <v>395</v>
      </c>
      <c r="B40" s="292" t="s">
        <v>774</v>
      </c>
      <c r="C40" s="293">
        <f ca="1">ROUND(C39*(1-((1+F42)/(1+F40))^F41)/(F40-F42),0)</f>
        <v>17057</v>
      </c>
      <c r="D40" s="316" t="s">
        <v>758</v>
      </c>
      <c r="E40" s="294" t="s">
        <v>759</v>
      </c>
      <c r="F40" s="304">
        <f ca="1">INDIRECT("'数据-取费表'!I"&amp;$G$1)</f>
        <v>4.4999999999999998E-2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487</v>
      </c>
      <c r="D43" s="328" t="s">
        <v>777</v>
      </c>
      <c r="E43" s="329" t="s">
        <v>778</v>
      </c>
      <c r="F43" s="330">
        <f ca="1">INDIRECT("'数据-取费表'!k"&amp;$G$1)</f>
        <v>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-3.5465</v>
      </c>
      <c r="D45" s="3130" t="s">
        <v>3360</v>
      </c>
      <c r="E45" s="1307"/>
      <c r="F45" s="1307"/>
      <c r="O45" s="1310" t="s">
        <v>808</v>
      </c>
      <c r="P45" s="1366"/>
      <c r="Q45" s="1366"/>
      <c r="R45" s="1366"/>
    </row>
    <row r="46" spans="1:18" s="1292" customFormat="1" ht="13.5" thickBot="1">
      <c r="A46" s="1311" t="s">
        <v>809</v>
      </c>
      <c r="C46" s="1312">
        <f ca="1">ROUND(C45,0)</f>
        <v>-4</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17057</v>
      </c>
      <c r="R47" s="1327" t="s">
        <v>818</v>
      </c>
    </row>
    <row r="48" spans="1:18" s="1292" customFormat="1" ht="28.5" thickBot="1">
      <c r="A48" s="1047" t="s">
        <v>438</v>
      </c>
      <c r="B48" s="292" t="s">
        <v>692</v>
      </c>
      <c r="C48" s="1268">
        <f ca="1">C49+C53+C55</f>
        <v>0</v>
      </c>
      <c r="D48" s="1049"/>
      <c r="E48" s="1050"/>
      <c r="F48" s="908"/>
      <c r="G48" s="681"/>
      <c r="H48" s="682"/>
      <c r="I48" s="1328" t="s">
        <v>819</v>
      </c>
      <c r="J48" s="1329" t="s">
        <v>3409</v>
      </c>
      <c r="K48" s="1330" t="s">
        <v>820</v>
      </c>
      <c r="L48" s="1331">
        <f ca="1">INDIRECT("'数据-取费表'!f"&amp;$G$1)</f>
        <v>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96532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-82673</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36</v>
      </c>
      <c r="K53" s="3342" t="s">
        <v>837</v>
      </c>
      <c r="L53" s="3343"/>
      <c r="O53" s="1325" t="s">
        <v>409</v>
      </c>
      <c r="P53" s="1326" t="s">
        <v>838</v>
      </c>
      <c r="Q53" s="1327">
        <f ca="1">Q47+Q48</f>
        <v>17057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77226</v>
      </c>
      <c r="D56" s="1352"/>
      <c r="E56" s="1353"/>
      <c r="F56" s="1345"/>
      <c r="I56" s="1354" t="s">
        <v>842</v>
      </c>
      <c r="J56" s="1355" t="s">
        <v>3390</v>
      </c>
      <c r="K56" s="1328" t="s">
        <v>843</v>
      </c>
      <c r="L56" s="1331" t="str">
        <f ca="1">IF(L48&lt;J51,"——",L48-J51)</f>
        <v>——</v>
      </c>
      <c r="O56" s="1325" t="s">
        <v>403</v>
      </c>
      <c r="P56" s="1326" t="s">
        <v>817</v>
      </c>
      <c r="Q56" s="1327">
        <f ca="1">C40+J29</f>
        <v>17057</v>
      </c>
      <c r="R56" s="1327" t="s">
        <v>818</v>
      </c>
    </row>
    <row r="57" spans="1:18" s="1292" customFormat="1" ht="24.75" thickBot="1">
      <c r="A57" s="1356"/>
      <c r="B57" s="896" t="s">
        <v>767</v>
      </c>
      <c r="C57" s="230">
        <f ca="1">C29</f>
        <v>96532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1042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17057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965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v>
      </c>
      <c r="D65" s="910" t="s">
        <v>743</v>
      </c>
      <c r="E65" s="896" t="s">
        <v>744</v>
      </c>
      <c r="F65" s="321">
        <f t="shared" ca="1" si="0"/>
        <v>1E-3</v>
      </c>
      <c r="I65" s="1367" t="s">
        <v>867</v>
      </c>
      <c r="J65" s="610">
        <v>40</v>
      </c>
      <c r="K65" s="610">
        <v>30</v>
      </c>
      <c r="L65" s="610">
        <v>50</v>
      </c>
      <c r="M65" s="1369">
        <v>0.02</v>
      </c>
      <c r="O65" s="1325" t="s">
        <v>403</v>
      </c>
      <c r="P65" s="1326" t="s">
        <v>868</v>
      </c>
      <c r="Q65" s="1327">
        <f ca="1">C40+J29</f>
        <v>17057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-1042</v>
      </c>
      <c r="D67" s="909" t="s">
        <v>753</v>
      </c>
      <c r="E67" s="914"/>
      <c r="F67" s="915"/>
      <c r="O67" s="1334" t="s">
        <v>405</v>
      </c>
      <c r="P67" s="1326" t="s">
        <v>850</v>
      </c>
      <c r="Q67" s="1370">
        <f ca="1">L51</f>
        <v>-82673</v>
      </c>
      <c r="R67" s="1327" t="s">
        <v>870</v>
      </c>
    </row>
    <row r="68" spans="1:18" s="1292" customFormat="1" ht="16.5" thickBot="1">
      <c r="A68" s="893" t="s">
        <v>395</v>
      </c>
      <c r="B68" s="894" t="s">
        <v>774</v>
      </c>
      <c r="C68" s="293">
        <f ca="1">ROUND(C67*(1-((1+F70)/(1+F68))^F69)/(F68-F70),0)</f>
        <v>-18408</v>
      </c>
      <c r="D68" s="911" t="s">
        <v>758</v>
      </c>
      <c r="E68" s="896" t="s">
        <v>759</v>
      </c>
      <c r="F68" s="304">
        <f ca="1">F40</f>
        <v>4.4999999999999998E-2</v>
      </c>
      <c r="O68" s="1334" t="s">
        <v>406</v>
      </c>
      <c r="P68" s="1371" t="s">
        <v>871</v>
      </c>
      <c r="Q68" s="1327">
        <f ca="1">ROUND(Q69-Q70*Q71,0)</f>
        <v>-3901</v>
      </c>
      <c r="R68" s="1327" t="s">
        <v>414</v>
      </c>
    </row>
    <row r="69" spans="1:18" s="1292" customFormat="1" ht="13.5" thickBot="1">
      <c r="A69" s="897"/>
      <c r="B69" s="898"/>
      <c r="C69" s="298"/>
      <c r="D69" s="916" t="s">
        <v>762</v>
      </c>
      <c r="E69" s="896" t="s">
        <v>763</v>
      </c>
      <c r="F69" s="324">
        <f ca="1">F41</f>
        <v>36</v>
      </c>
      <c r="O69" s="1334" t="s">
        <v>411</v>
      </c>
      <c r="P69" s="1371" t="s">
        <v>872</v>
      </c>
      <c r="Q69" s="1327">
        <f ca="1">C39</f>
        <v>733</v>
      </c>
      <c r="R69" s="1327" t="s">
        <v>818</v>
      </c>
    </row>
    <row r="70" spans="1:18" s="1292" customFormat="1" ht="13.5" thickBot="1">
      <c r="A70" s="900"/>
      <c r="B70" s="901"/>
      <c r="C70" s="302"/>
      <c r="D70" s="912"/>
      <c r="E70" s="896" t="s">
        <v>766</v>
      </c>
      <c r="F70" s="991"/>
      <c r="O70" s="1334" t="s">
        <v>412</v>
      </c>
      <c r="P70" s="1371" t="s">
        <v>873</v>
      </c>
      <c r="Q70" s="1327">
        <f ca="1">C13</f>
        <v>77226</v>
      </c>
      <c r="R70" s="1327" t="s">
        <v>818</v>
      </c>
    </row>
    <row r="71" spans="1:18" s="1292" customFormat="1" ht="13.5" thickBot="1">
      <c r="A71" s="917" t="s">
        <v>396</v>
      </c>
      <c r="B71" s="918" t="s">
        <v>776</v>
      </c>
      <c r="C71" s="327">
        <f ca="1">ROUND(C68/F71,0)</f>
        <v>-526</v>
      </c>
      <c r="D71" s="919" t="s">
        <v>777</v>
      </c>
      <c r="E71" s="920" t="s">
        <v>778</v>
      </c>
      <c r="F71" s="330">
        <f ca="1">F43</f>
        <v>35</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4634</v>
      </c>
      <c r="D75" s="1292"/>
      <c r="E75" s="1292"/>
      <c r="F75" s="1292"/>
      <c r="K75" s="1309"/>
      <c r="L75" s="1292"/>
      <c r="O75" s="1325" t="s">
        <v>409</v>
      </c>
      <c r="P75" s="1326" t="s">
        <v>838</v>
      </c>
      <c r="Q75" s="1327">
        <f ca="1">Q65+Q66</f>
        <v>17057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-5.3220000000000001</v>
      </c>
    </row>
    <row r="80" spans="1:18">
      <c r="B80" s="331" t="s">
        <v>800</v>
      </c>
      <c r="C80" s="266">
        <f ca="1">ROUND(C75/C39,3)</f>
        <v>6.3220000000000001</v>
      </c>
    </row>
    <row r="81" spans="2:3">
      <c r="B81" s="262" t="s">
        <v>801</v>
      </c>
      <c r="C81" s="230"/>
    </row>
    <row r="82" spans="2:3">
      <c r="B82" s="265" t="s">
        <v>802</v>
      </c>
      <c r="C82" s="267">
        <f ca="1">1-C83</f>
        <v>-3.5279999999999996</v>
      </c>
    </row>
    <row r="83" spans="2:3">
      <c r="B83" s="265" t="s">
        <v>803</v>
      </c>
      <c r="C83" s="266">
        <f ca="1">ROUND(C13/C40,3)</f>
        <v>4.5279999999999996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估价结果一览表</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房地产市场价值</v>
      </c>
      <c r="I2" s="3176"/>
    </row>
    <row r="3" spans="1:9" ht="15">
      <c r="A3" s="3171"/>
      <c r="B3" s="3171"/>
      <c r="C3" s="3171"/>
      <c r="D3" s="801" t="s">
        <v>925</v>
      </c>
      <c r="E3" s="801" t="s">
        <v>931</v>
      </c>
      <c r="F3" s="801" t="s">
        <v>925</v>
      </c>
      <c r="G3" s="801" t="s">
        <v>926</v>
      </c>
      <c r="H3" s="801" t="s">
        <v>925</v>
      </c>
      <c r="I3" s="801" t="s">
        <v>926</v>
      </c>
    </row>
    <row r="4" spans="1:9" ht="15">
      <c r="A4" s="1403" t="str">
        <f>项目基本情况!S2</f>
        <v>房地产</v>
      </c>
      <c r="B4" s="801">
        <f>项目基本情况!C17</f>
        <v>35</v>
      </c>
      <c r="C4" s="801">
        <f>项目基本情况!C18</f>
        <v>0</v>
      </c>
      <c r="D4" s="801" t="e">
        <f ca="1">结果表!D118</f>
        <v>#REF!</v>
      </c>
      <c r="E4" s="801" t="e">
        <f ca="1">结果表!E118</f>
        <v>#REF!</v>
      </c>
      <c r="F4" s="801" t="e">
        <f ca="1">结果表!F118</f>
        <v>#REF!</v>
      </c>
      <c r="G4" s="801" t="e">
        <f ca="1">结果表!G118</f>
        <v>#REF!</v>
      </c>
      <c r="H4" s="801">
        <f ca="1">结果表!H118</f>
        <v>2</v>
      </c>
      <c r="I4" s="801">
        <f ca="1">结果表!I118</f>
        <v>487</v>
      </c>
    </row>
    <row r="5" spans="1:9" ht="30" customHeight="1">
      <c r="A5" s="3171" t="s">
        <v>927</v>
      </c>
      <c r="B5" s="3171"/>
      <c r="C5" s="3171"/>
      <c r="D5" s="3171" t="e">
        <f ca="1">结果表!D119</f>
        <v>#REF!</v>
      </c>
      <c r="E5" s="3171"/>
      <c r="F5" s="3171" t="e">
        <f ca="1">结果表!F119</f>
        <v>#REF!</v>
      </c>
      <c r="G5" s="3171"/>
      <c r="H5" s="3171" t="str">
        <f ca="1">结果表!H119</f>
        <v>贰万元整</v>
      </c>
      <c r="I5" s="3171"/>
    </row>
    <row r="6" spans="1:9" ht="15.75">
      <c r="A6" s="3170" t="str">
        <f>结果表!A120</f>
        <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75">
      <c r="A8" s="3170" t="str">
        <f>结果表!A122</f>
        <v/>
      </c>
      <c r="B8" s="3170"/>
      <c r="C8" s="3170"/>
      <c r="D8" s="3170">
        <f ca="1">结果表!D122</f>
        <v>2</v>
      </c>
      <c r="E8" s="3170"/>
      <c r="F8" s="3170"/>
      <c r="G8" s="3170"/>
      <c r="H8" s="3170"/>
      <c r="I8" s="3170"/>
    </row>
    <row r="9" spans="1:9" ht="15">
      <c r="A9" s="3171" t="s">
        <v>927</v>
      </c>
      <c r="B9" s="3171"/>
      <c r="C9" s="3171"/>
      <c r="D9" s="3171" t="str">
        <f ca="1">结果表!D123</f>
        <v>贰万元整</v>
      </c>
      <c r="E9" s="3171"/>
      <c r="F9" s="3171"/>
      <c r="G9" s="3171"/>
      <c r="H9" s="3171"/>
      <c r="I9" s="3171"/>
    </row>
    <row r="10" spans="1:9" ht="15.75">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75">
      <c r="A12" s="3170" t="str">
        <f>结果表!A126</f>
        <v/>
      </c>
      <c r="B12" s="3170"/>
      <c r="C12" s="3170"/>
      <c r="D12" s="3170" t="str">
        <f>结果表!D126</f>
        <v>——</v>
      </c>
      <c r="E12" s="3170"/>
      <c r="F12" s="3170"/>
      <c r="G12" s="3170"/>
      <c r="H12" s="3170"/>
      <c r="I12" s="3170"/>
    </row>
    <row r="13" spans="1:9" ht="15.75" thickBot="1">
      <c r="A13" s="3168" t="s">
        <v>927</v>
      </c>
      <c r="B13" s="3168"/>
      <c r="C13" s="3168"/>
      <c r="D13" s="3168" t="e">
        <f>结果表!D127</f>
        <v>#VALUE!</v>
      </c>
      <c r="E13" s="3168"/>
      <c r="F13" s="3168"/>
      <c r="G13" s="3168"/>
      <c r="H13" s="3168"/>
      <c r="I13" s="3168"/>
    </row>
    <row r="14" spans="1:9" ht="15" thickTop="1">
      <c r="A14" s="3169" t="s">
        <v>932</v>
      </c>
      <c r="B14" s="3169"/>
      <c r="C14" s="3169"/>
      <c r="D14" s="3169"/>
      <c r="E14" s="3169"/>
      <c r="F14" s="3169"/>
      <c r="G14" s="3169"/>
      <c r="H14" s="3169"/>
      <c r="I14" s="316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2"/>
      <c r="C12" s="3182"/>
      <c r="D12" s="3182"/>
    </row>
    <row r="13" spans="1:4" ht="30" customHeight="1">
      <c r="A13" s="3177" t="str">
        <f>IF(项目基本情况!B8="抵押","3.抵押双方在办理抵押登记手续时，应使用本公司出具的正式《房地产评估报告》，特提醒报告使用者注意。","——")</f>
        <v>——</v>
      </c>
      <c r="B13" s="3182"/>
      <c r="C13" s="3182"/>
      <c r="D13" s="3182"/>
    </row>
    <row r="14" spans="1:4" ht="15.75" customHeight="1">
      <c r="A14" s="3177" t="str">
        <f>IF(项目基本情况!B8="抵押","4.本次评估估价师所知悉的法定优先受偿款情况说明如下：","——")</f>
        <v>——</v>
      </c>
      <c r="B14" s="3182"/>
      <c r="C14" s="3182"/>
      <c r="D14" s="3182"/>
    </row>
    <row r="15" spans="1:4" ht="42" customHeight="1">
      <c r="A15" s="3177" t="str">
        <f>IF(项目基本情况!B8="抵押","（1）"&amp;CONCATENATE(项目基本情况!L20,项目基本情况!L21,项目基本情况!L22),"——")</f>
        <v>——</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44966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f ca="1">IF(C14&lt;B2,"已过期",1119980106)</f>
        <v>1119980106</v>
      </c>
      <c r="C14" s="2166">
        <v>44969</v>
      </c>
      <c r="D14" s="2162" t="str">
        <f t="shared" ca="1" si="0"/>
        <v>刘俊财（注册号：1119980106）</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2023-02-09T08:23:50Z</dcterms:modified>
</cp:coreProperties>
</file>