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05" windowWidth="11115" windowHeight="109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工业" sheetId="4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5" i="68" l="1"/>
  <c r="N27" i="1" l="1"/>
  <c r="I41" i="40" l="1"/>
  <c r="G41" i="40"/>
  <c r="E41" i="40"/>
  <c r="I34" i="40"/>
  <c r="G34" i="40"/>
  <c r="E34" i="40"/>
  <c r="C34" i="40"/>
  <c r="C11" i="40"/>
  <c r="I7" i="40"/>
  <c r="G7" i="40"/>
  <c r="E7" i="40"/>
  <c r="I5" i="40"/>
  <c r="G5" i="40"/>
  <c r="E5" i="40"/>
  <c r="Y6" i="1"/>
  <c r="N6" i="1"/>
  <c r="F19" i="6"/>
  <c r="C38" i="39"/>
  <c r="I7" i="39"/>
  <c r="G7" i="39"/>
  <c r="E7" i="39"/>
  <c r="I5" i="39"/>
  <c r="G5" i="39"/>
  <c r="E5" i="39"/>
  <c r="R32" i="78"/>
  <c r="R33" i="78"/>
  <c r="R34" i="78"/>
  <c r="R35" i="78"/>
  <c r="R36" i="78"/>
  <c r="R37" i="78"/>
  <c r="R38" i="78"/>
  <c r="R39" i="78"/>
  <c r="R40" i="78"/>
  <c r="R41" i="78"/>
  <c r="R42" i="78"/>
  <c r="R43" i="78"/>
  <c r="R44" i="78"/>
  <c r="R45" i="78"/>
  <c r="R46" i="78"/>
  <c r="R47" i="78"/>
  <c r="R48" i="78"/>
  <c r="R49" i="78"/>
  <c r="R50" i="78"/>
  <c r="R51" i="78"/>
  <c r="R52" i="78"/>
  <c r="R53" i="78"/>
  <c r="R54" i="78"/>
  <c r="R55" i="78"/>
  <c r="R56" i="78"/>
  <c r="R57" i="78"/>
  <c r="R58" i="78"/>
  <c r="R59" i="78"/>
  <c r="R60" i="78"/>
  <c r="R61" i="78"/>
  <c r="R62" i="78"/>
  <c r="R63" i="78"/>
  <c r="R64" i="78"/>
  <c r="R65" i="78"/>
  <c r="R66" i="78"/>
  <c r="R67" i="78"/>
  <c r="R68" i="78"/>
  <c r="R69" i="78"/>
  <c r="R70" i="78"/>
  <c r="R71" i="78"/>
  <c r="R72" i="78"/>
  <c r="R73" i="78"/>
  <c r="R74" i="78"/>
  <c r="R75" i="78"/>
  <c r="R76" i="78"/>
  <c r="R77" i="78"/>
  <c r="R78" i="78"/>
  <c r="R79" i="78"/>
  <c r="R80" i="78"/>
  <c r="R81" i="78"/>
  <c r="R82" i="78"/>
  <c r="R83" i="78"/>
  <c r="R84" i="78"/>
  <c r="R85" i="78"/>
  <c r="R86" i="78"/>
  <c r="R87" i="78"/>
  <c r="R88" i="78"/>
  <c r="R89" i="78"/>
  <c r="R90" i="78"/>
  <c r="R91" i="78"/>
  <c r="R92" i="78"/>
  <c r="R93" i="78"/>
  <c r="R94" i="78"/>
  <c r="R95" i="78"/>
  <c r="R96" i="78"/>
  <c r="R97" i="78"/>
  <c r="R98" i="78"/>
  <c r="R99" i="78"/>
  <c r="R100" i="78"/>
  <c r="R101" i="78"/>
  <c r="R102" i="78"/>
  <c r="R103" i="78"/>
  <c r="R104" i="78"/>
  <c r="R105" i="78"/>
  <c r="R106" i="78"/>
  <c r="R107" i="78"/>
  <c r="R108" i="78"/>
  <c r="R109" i="78"/>
  <c r="R110" i="78"/>
  <c r="R111" i="78"/>
  <c r="R112" i="78"/>
  <c r="R113" i="78"/>
  <c r="R114" i="78"/>
  <c r="R115" i="78"/>
  <c r="R116" i="78"/>
  <c r="R117" i="78"/>
  <c r="R118" i="78"/>
  <c r="R119" i="78"/>
  <c r="R120" i="78"/>
  <c r="R121" i="78"/>
  <c r="R122" i="78"/>
  <c r="R123" i="78"/>
  <c r="R124" i="78"/>
  <c r="R125" i="78"/>
  <c r="R126" i="78"/>
  <c r="R127" i="78"/>
  <c r="R128" i="78"/>
  <c r="R129" i="78"/>
  <c r="R130" i="78"/>
  <c r="R131" i="78"/>
  <c r="R31"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s="1"/>
  <c r="P74" i="67"/>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A12" i="52" s="1"/>
  <c r="B56" i="72" s="1"/>
  <c r="E109" i="9"/>
  <c r="A124" i="9"/>
  <c r="B44" i="72"/>
  <c r="B42" i="72"/>
  <c r="B69" i="72"/>
  <c r="B68" i="72"/>
  <c r="B63" i="72"/>
  <c r="B62" i="72"/>
  <c r="B16" i="72"/>
  <c r="B65"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c r="Y25" i="71"/>
  <c r="Z25" i="71"/>
  <c r="B25" i="71"/>
  <c r="B24" i="7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E6" i="70" s="1"/>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G11" i="1" s="1"/>
  <c r="F12" i="1"/>
  <c r="F13" i="1"/>
  <c r="D6" i="1"/>
  <c r="D9" i="1"/>
  <c r="D10" i="1"/>
  <c r="D11" i="1"/>
  <c r="D12" i="1"/>
  <c r="D13" i="1"/>
  <c r="D7" i="1"/>
  <c r="D8" i="1"/>
  <c r="A7" i="1"/>
  <c r="B7" i="1" s="1"/>
  <c r="E7" i="1" s="1"/>
  <c r="A8" i="1"/>
  <c r="B8" i="1"/>
  <c r="E8" i="1" s="1"/>
  <c r="A9" i="1"/>
  <c r="A10" i="1"/>
  <c r="A11" i="1"/>
  <c r="B11" i="1" s="1"/>
  <c r="A12" i="1"/>
  <c r="A13" i="1"/>
  <c r="A6" i="1"/>
  <c r="G1" i="68" s="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9" i="6" s="1"/>
  <c r="M19" i="6"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W8" i="40"/>
  <c r="AC40" i="40"/>
  <c r="S34" i="40"/>
  <c r="S40" i="40"/>
  <c r="U34" i="40"/>
  <c r="F42" i="39"/>
  <c r="AA42" i="39" s="1"/>
  <c r="F41" i="39"/>
  <c r="S41" i="39" s="1"/>
  <c r="H40" i="39"/>
  <c r="AB40" i="39" s="1"/>
  <c r="H39" i="39"/>
  <c r="U39" i="39" s="1"/>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C25" i="39"/>
  <c r="C27" i="39"/>
  <c r="C21" i="39"/>
  <c r="S40" i="39"/>
  <c r="C15" i="39"/>
  <c r="H32" i="33"/>
  <c r="AB32" i="33" s="1"/>
  <c r="H11" i="21"/>
  <c r="U11" i="21" s="1"/>
  <c r="J11" i="21"/>
  <c r="W11" i="21" s="1"/>
  <c r="H37" i="40"/>
  <c r="U37" i="40" s="1"/>
  <c r="H36" i="40"/>
  <c r="AB36" i="40" s="1"/>
  <c r="F35" i="40"/>
  <c r="AA35" i="40" s="1"/>
  <c r="H23" i="40"/>
  <c r="AB23" i="40" s="1"/>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U40" i="33"/>
  <c r="W40" i="33"/>
  <c r="U8" i="33"/>
  <c r="S8" i="33"/>
  <c r="F37" i="40"/>
  <c r="AA37" i="40" s="1"/>
  <c r="F36" i="40"/>
  <c r="AA36" i="40" s="1"/>
  <c r="H28" i="40"/>
  <c r="U28" i="40" s="1"/>
  <c r="F23" i="40"/>
  <c r="AA23"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C7" i="34"/>
  <c r="A4" i="52"/>
  <c r="B41" i="72" s="1"/>
  <c r="G4" i="4"/>
  <c r="I4" i="4"/>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35" i="21"/>
  <c r="AC35" i="21"/>
  <c r="U10" i="2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s="1"/>
  <c r="J20" i="36"/>
  <c r="W20" i="36" s="1"/>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E60" i="40" s="1"/>
  <c r="K6" i="1"/>
  <c r="M6" i="1" s="1"/>
  <c r="O6" i="1" s="1"/>
  <c r="E13" i="6"/>
  <c r="E58" i="40"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H100" i="43"/>
  <c r="AC34" i="33"/>
  <c r="AA34" i="33"/>
  <c r="B41" i="1"/>
  <c r="F53" i="9" s="1"/>
  <c r="S22" i="31"/>
  <c r="J100" i="43"/>
  <c r="AB37" i="40"/>
  <c r="S35" i="40"/>
  <c r="U35"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G13" i="3"/>
  <c r="G5" i="3" s="1"/>
  <c r="B3" i="3" s="1"/>
  <c r="BA13" i="3"/>
  <c r="E10" i="6"/>
  <c r="BA5" i="3"/>
  <c r="E27" i="6"/>
  <c r="K20" i="6" s="1"/>
  <c r="M20" i="6" s="1"/>
  <c r="I20" i="6" s="1"/>
  <c r="S20" i="6" s="1"/>
  <c r="E11" i="6"/>
  <c r="E60" i="39"/>
  <c r="BL17" i="3"/>
  <c r="AZ17" i="3"/>
  <c r="BL13" i="3"/>
  <c r="E64" i="39"/>
  <c r="G30" i="6"/>
  <c r="G31" i="6"/>
  <c r="J56" i="9"/>
  <c r="J57" i="9" s="1"/>
  <c r="J59" i="9" s="1"/>
  <c r="J61" i="9" s="1"/>
  <c r="A24" i="51"/>
  <c r="B18" i="72" s="1"/>
  <c r="U29" i="34"/>
  <c r="E14" i="6"/>
  <c r="E63" i="39" s="1"/>
  <c r="E5" i="6"/>
  <c r="D9" i="11" s="1"/>
  <c r="C9" i="11" s="1"/>
  <c r="E32" i="6"/>
  <c r="L19" i="6"/>
  <c r="K1" i="12"/>
  <c r="E28" i="6"/>
  <c r="E56" i="40"/>
  <c r="AR10" i="1"/>
  <c r="E19" i="68"/>
  <c r="E1" i="73"/>
  <c r="G22" i="69"/>
  <c r="G22" i="68"/>
  <c r="G26" i="12"/>
  <c r="G22" i="11"/>
  <c r="C100" i="43"/>
  <c r="E81" i="43"/>
  <c r="B79" i="43" s="1"/>
  <c r="AJ11" i="43"/>
  <c r="AJ13" i="43" s="1"/>
  <c r="AH11" i="43"/>
  <c r="AB11" i="43"/>
  <c r="AB13" i="43" s="1"/>
  <c r="Z11" i="43"/>
  <c r="AE11" i="43"/>
  <c r="AE13" i="43" s="1"/>
  <c r="AC11"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3"/>
  <c r="C58" i="33" s="1"/>
  <c r="C7" i="40"/>
  <c r="C63" i="40" s="1"/>
  <c r="G19" i="43"/>
  <c r="O19" i="43" s="1"/>
  <c r="C19" i="43" s="1"/>
  <c r="T35" i="4"/>
  <c r="A19" i="51"/>
  <c r="B14" i="72" s="1"/>
  <c r="C59" i="34"/>
  <c r="D59" i="34" s="1"/>
  <c r="E59" i="34" s="1"/>
  <c r="F59" i="34" s="1"/>
  <c r="G59" i="34" s="1"/>
  <c r="H59" i="34" s="1"/>
  <c r="I59" i="34" s="1"/>
  <c r="J59" i="34" s="1"/>
  <c r="A4" i="51"/>
  <c r="B6" i="72" s="1"/>
  <c r="C4" i="12"/>
  <c r="H66" i="43"/>
  <c r="H65" i="43"/>
  <c r="H64" i="43"/>
  <c r="H63" i="43"/>
  <c r="H55" i="43"/>
  <c r="H56" i="43"/>
  <c r="H72" i="43"/>
  <c r="L20" i="6"/>
  <c r="E56" i="39"/>
  <c r="E51" i="40"/>
  <c r="S8" i="1"/>
  <c r="AR8" i="1" s="1"/>
  <c r="K11" i="1"/>
  <c r="M11" i="1"/>
  <c r="O11" i="1" s="1"/>
  <c r="P11" i="1" s="1"/>
  <c r="AP6" i="1"/>
  <c r="B9" i="1"/>
  <c r="E9" i="1" s="1"/>
  <c r="K7" i="1"/>
  <c r="G1" i="15"/>
  <c r="G1" i="67"/>
  <c r="W23" i="40"/>
  <c r="U32" i="40"/>
  <c r="AB31" i="40"/>
  <c r="AB28" i="40"/>
  <c r="W28" i="40"/>
  <c r="W34" i="40"/>
  <c r="W19" i="40"/>
  <c r="W27" i="40"/>
  <c r="S36"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AQ13" i="1"/>
  <c r="AZ13" i="3"/>
  <c r="F30" i="68"/>
  <c r="F48" i="68" s="1"/>
  <c r="E62" i="39"/>
  <c r="T11" i="1"/>
  <c r="D9" i="69"/>
  <c r="C9" i="69" s="1"/>
  <c r="D19" i="12"/>
  <c r="C19" i="12" s="1"/>
  <c r="AQ9" i="1"/>
  <c r="AR11" i="1"/>
  <c r="E59" i="40"/>
  <c r="T9" i="1"/>
  <c r="T13" i="1"/>
  <c r="D9" i="68"/>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BL5" i="3"/>
  <c r="K21" i="6"/>
  <c r="K22" i="6"/>
  <c r="M22" i="6" s="1"/>
  <c r="I22" i="6" s="1"/>
  <c r="S22" i="6" s="1"/>
  <c r="K25" i="6"/>
  <c r="M25" i="6" s="1"/>
  <c r="I25" i="6" s="1"/>
  <c r="S25" i="6" s="1"/>
  <c r="AQ8" i="1"/>
  <c r="R22" i="31"/>
  <c r="AP7" i="1"/>
  <c r="M7" i="1"/>
  <c r="O7" i="1" s="1"/>
  <c r="P7" i="1" s="1"/>
  <c r="Q16" i="1"/>
  <c r="F27" i="69" s="1"/>
  <c r="AB45" i="21"/>
  <c r="AC33" i="21"/>
  <c r="W33" i="21"/>
  <c r="S33" i="21"/>
  <c r="AA33" i="21"/>
  <c r="W32" i="21"/>
  <c r="AC32" i="21"/>
  <c r="AB9" i="21"/>
  <c r="U9" i="21"/>
  <c r="AA32" i="21"/>
  <c r="S32" i="21"/>
  <c r="W9" i="21"/>
  <c r="AC9" i="21"/>
  <c r="AB32" i="21"/>
  <c r="U32" i="21"/>
  <c r="AA10" i="21"/>
  <c r="S10" i="2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R7" i="1"/>
  <c r="F34" i="11"/>
  <c r="R8" i="1"/>
  <c r="AE7" i="1"/>
  <c r="AE8" i="1"/>
  <c r="AG6" i="1"/>
  <c r="H109" i="9"/>
  <c r="M49" i="9" s="1"/>
  <c r="H110" i="9"/>
  <c r="D18" i="53" s="1"/>
  <c r="B35" i="72" s="1"/>
  <c r="D16" i="53"/>
  <c r="B34" i="72" s="1"/>
  <c r="H112" i="9"/>
  <c r="D21" i="53"/>
  <c r="B39" i="72" s="1"/>
  <c r="H111" i="9"/>
  <c r="D126" i="9" s="1"/>
  <c r="D19" i="53"/>
  <c r="B38" i="72" s="1"/>
  <c r="D20" i="53"/>
  <c r="B40" i="72"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2" i="9"/>
  <c r="F18" i="71"/>
  <c r="F17" i="71"/>
  <c r="F16" i="71" s="1"/>
  <c r="F15" i="71" s="1"/>
  <c r="F14" i="71" s="1"/>
  <c r="Y17" i="71"/>
  <c r="Z17" i="71" s="1"/>
  <c r="X3" i="71"/>
  <c r="E18" i="71"/>
  <c r="E17" i="71" s="1"/>
  <c r="G20" i="43"/>
  <c r="AO12" i="1"/>
  <c r="F20" i="31"/>
  <c r="D2" i="35"/>
  <c r="M26" i="67"/>
  <c r="E10" i="76"/>
  <c r="F9" i="15"/>
  <c r="L47" i="67"/>
  <c r="E2" i="69"/>
  <c r="F37" i="67"/>
  <c r="F42" i="15"/>
  <c r="M8" i="15"/>
  <c r="F8" i="15"/>
  <c r="F36" i="67"/>
  <c r="F7" i="73"/>
  <c r="M9" i="15"/>
  <c r="F5" i="73"/>
  <c r="M22" i="15"/>
  <c r="E13" i="76"/>
  <c r="M28" i="15"/>
  <c r="AO7" i="1"/>
  <c r="C76" i="15"/>
  <c r="F40" i="67"/>
  <c r="D2" i="37"/>
  <c r="M6" i="67"/>
  <c r="F43" i="15"/>
  <c r="F9" i="67"/>
  <c r="F41" i="67"/>
  <c r="B12" i="76"/>
  <c r="F13" i="67"/>
  <c r="E2" i="68"/>
  <c r="D2" i="33"/>
  <c r="AO10" i="1"/>
  <c r="E11" i="76"/>
  <c r="F35" i="67"/>
  <c r="E12" i="76"/>
  <c r="F26" i="15"/>
  <c r="M24" i="15"/>
  <c r="M9" i="67"/>
  <c r="M22" i="67"/>
  <c r="E7" i="76"/>
  <c r="D2" i="36"/>
  <c r="B8" i="76"/>
  <c r="D2" i="34"/>
  <c r="B9" i="76"/>
  <c r="B11" i="76"/>
  <c r="B13" i="76"/>
  <c r="M28" i="67"/>
  <c r="F6" i="67"/>
  <c r="L47" i="15"/>
  <c r="M21" i="67"/>
  <c r="AO9" i="1"/>
  <c r="F3" i="73"/>
  <c r="C76" i="67"/>
  <c r="F38" i="15"/>
  <c r="F4" i="73"/>
  <c r="F43" i="67"/>
  <c r="M23" i="15"/>
  <c r="E8" i="76"/>
  <c r="M6" i="15"/>
  <c r="M24" i="67"/>
  <c r="M27" i="15"/>
  <c r="F38" i="67"/>
  <c r="F7" i="67"/>
  <c r="F13" i="15"/>
  <c r="M29" i="15"/>
  <c r="F6" i="73"/>
  <c r="F40" i="15"/>
  <c r="M8" i="67"/>
  <c r="F16" i="15"/>
  <c r="B10" i="76"/>
  <c r="AO8" i="1"/>
  <c r="F8" i="67"/>
  <c r="F6" i="15"/>
  <c r="J15" i="15"/>
  <c r="M23" i="67"/>
  <c r="F7" i="15"/>
  <c r="L48" i="15"/>
  <c r="B7" i="76"/>
  <c r="M29" i="67"/>
  <c r="E9" i="76"/>
  <c r="M27" i="67"/>
  <c r="F16" i="67"/>
  <c r="L48" i="67"/>
  <c r="F36" i="15"/>
  <c r="F26" i="67"/>
  <c r="AO11" i="1"/>
  <c r="J15" i="67"/>
  <c r="F42" i="67"/>
  <c r="F37" i="15"/>
  <c r="M26" i="15"/>
  <c r="D2" i="21"/>
  <c r="AO13" i="1"/>
  <c r="C18" i="9" l="1"/>
  <c r="D18" i="9" s="1"/>
  <c r="C10" i="40"/>
  <c r="C10" i="39"/>
  <c r="F28" i="12"/>
  <c r="P61" i="15"/>
  <c r="F11" i="40"/>
  <c r="AA11" i="40" s="1"/>
  <c r="J11" i="40"/>
  <c r="H11" i="40"/>
  <c r="AB11" i="40" s="1"/>
  <c r="S11" i="40"/>
  <c r="W37" i="40"/>
  <c r="S37" i="40"/>
  <c r="AC36" i="40"/>
  <c r="W35" i="40"/>
  <c r="W25" i="40"/>
  <c r="U23" i="40"/>
  <c r="U21" i="40"/>
  <c r="S25" i="40"/>
  <c r="S23" i="40"/>
  <c r="S21" i="40"/>
  <c r="F86" i="40"/>
  <c r="G86" i="40" s="1"/>
  <c r="J17" i="40"/>
  <c r="H17" i="40"/>
  <c r="F17" i="40"/>
  <c r="F84" i="40"/>
  <c r="G84" i="40" s="1"/>
  <c r="H15" i="40"/>
  <c r="J15" i="40"/>
  <c r="F15" i="40"/>
  <c r="U11" i="40"/>
  <c r="AC9" i="40"/>
  <c r="F32" i="15"/>
  <c r="F60" i="15" s="1"/>
  <c r="F54" i="9"/>
  <c r="F52" i="9"/>
  <c r="F28" i="15"/>
  <c r="F32" i="67"/>
  <c r="F60" i="67" s="1"/>
  <c r="F28" i="67"/>
  <c r="D93" i="9"/>
  <c r="D68" i="9"/>
  <c r="M18" i="15"/>
  <c r="F30" i="69"/>
  <c r="F48" i="69" s="1"/>
  <c r="M18" i="67"/>
  <c r="F31" i="12"/>
  <c r="F30" i="11"/>
  <c r="C48" i="11" s="1"/>
  <c r="C23" i="12"/>
  <c r="C40" i="69"/>
  <c r="C47" i="69" s="1"/>
  <c r="D45" i="69" s="1"/>
  <c r="C21" i="69"/>
  <c r="E19" i="11"/>
  <c r="C9" i="68"/>
  <c r="F34" i="68"/>
  <c r="D22" i="15"/>
  <c r="D22" i="67"/>
  <c r="C34" i="69"/>
  <c r="C35" i="69" s="1"/>
  <c r="T7" i="1"/>
  <c r="H16" i="1"/>
  <c r="AQ7" i="1"/>
  <c r="K23" i="6"/>
  <c r="M23" i="6" s="1"/>
  <c r="K26" i="6"/>
  <c r="M26" i="6" s="1"/>
  <c r="I26" i="6" s="1"/>
  <c r="S26" i="6" s="1"/>
  <c r="K24" i="6"/>
  <c r="M24" i="6" s="1"/>
  <c r="I24" i="6" s="1"/>
  <c r="S24" i="6" s="1"/>
  <c r="AQ12" i="1"/>
  <c r="L27" i="6"/>
  <c r="O10" i="1"/>
  <c r="P10" i="1"/>
  <c r="F27" i="11"/>
  <c r="F27" i="68"/>
  <c r="F45" i="68" s="1"/>
  <c r="E2" i="70"/>
  <c r="C36" i="69"/>
  <c r="S6" i="1"/>
  <c r="AQ6" i="1" s="1"/>
  <c r="M21" i="6"/>
  <c r="I21" i="6" s="1"/>
  <c r="S21" i="6" s="1"/>
  <c r="G1" i="69"/>
  <c r="B6" i="1"/>
  <c r="E6" i="1" s="1"/>
  <c r="T10" i="1"/>
  <c r="T12" i="1"/>
  <c r="E57" i="40"/>
  <c r="E61" i="39"/>
  <c r="E16" i="6"/>
  <c r="T6" i="1"/>
  <c r="T8" i="1"/>
  <c r="B113" i="43"/>
  <c r="G101" i="43"/>
  <c r="J101" i="43"/>
  <c r="L101" i="43"/>
  <c r="D101" i="43"/>
  <c r="M101" i="43"/>
  <c r="I101" i="43"/>
  <c r="E101" i="43"/>
  <c r="AF11" i="43"/>
  <c r="AF13" i="43" s="1"/>
  <c r="AD11" i="43"/>
  <c r="Z7" i="43"/>
  <c r="AI11" i="43"/>
  <c r="AI13" i="43" s="1"/>
  <c r="AG11" i="43"/>
  <c r="AA11" i="43"/>
  <c r="AA13" i="43" s="1"/>
  <c r="Y11" i="43"/>
  <c r="Y13" i="43" s="1"/>
  <c r="J22" i="43"/>
  <c r="H22" i="43"/>
  <c r="H101" i="43"/>
  <c r="G22" i="43"/>
  <c r="D22" i="43" s="1"/>
  <c r="F22" i="43"/>
  <c r="K101" i="43"/>
  <c r="F101" i="43"/>
  <c r="N101" i="43"/>
  <c r="E22" i="43"/>
  <c r="C101" i="43"/>
  <c r="N104" i="46"/>
  <c r="U9" i="39"/>
  <c r="S9" i="39"/>
  <c r="W9" i="39"/>
  <c r="A2" i="9"/>
  <c r="A118" i="9"/>
  <c r="C20" i="43"/>
  <c r="G13" i="1"/>
  <c r="G10" i="1"/>
  <c r="G8" i="1"/>
  <c r="G16" i="1" s="1"/>
  <c r="F10" i="39" s="1"/>
  <c r="AB8" i="39"/>
  <c r="J1" i="73"/>
  <c r="M47" i="9"/>
  <c r="C7" i="21"/>
  <c r="C58" i="21" s="1"/>
  <c r="C7" i="35"/>
  <c r="C48" i="35" s="1"/>
  <c r="D48" i="35" s="1"/>
  <c r="C7" i="39"/>
  <c r="C67" i="39" s="1"/>
  <c r="C42" i="1"/>
  <c r="C7" i="36"/>
  <c r="C46" i="36" s="1"/>
  <c r="D46" i="36" s="1"/>
  <c r="E46" i="36" s="1"/>
  <c r="F46" i="36" s="1"/>
  <c r="G46" i="36" s="1"/>
  <c r="H46" i="36" s="1"/>
  <c r="I46" i="36" s="1"/>
  <c r="I14" i="74"/>
  <c r="B8" i="74" s="1"/>
  <c r="D127" i="9"/>
  <c r="D13" i="52" s="1"/>
  <c r="D12" i="52"/>
  <c r="L68" i="9"/>
  <c r="M68" i="9" s="1"/>
  <c r="L65" i="9"/>
  <c r="M65" i="9" s="1"/>
  <c r="L66" i="9"/>
  <c r="M66" i="9" s="1"/>
  <c r="L64" i="9"/>
  <c r="M64" i="9" s="1"/>
  <c r="L63" i="9"/>
  <c r="M63" i="9" s="1"/>
  <c r="M69" i="9" s="1"/>
  <c r="N69" i="9" s="1"/>
  <c r="L67" i="9"/>
  <c r="M67" i="9" s="1"/>
  <c r="O14" i="1"/>
  <c r="P14" i="1" s="1"/>
  <c r="P6" i="1"/>
  <c r="M16" i="1"/>
  <c r="O9" i="1"/>
  <c r="P9" i="1" s="1"/>
  <c r="E16" i="71"/>
  <c r="E15" i="71" s="1"/>
  <c r="E14" i="71" s="1"/>
  <c r="E13" i="71" s="1"/>
  <c r="V17" i="71"/>
  <c r="I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6"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15" i="3"/>
  <c r="E298" i="3"/>
  <c r="E230" i="3"/>
  <c r="E189" i="3"/>
  <c r="E169" i="3"/>
  <c r="E185" i="3"/>
  <c r="E61" i="3"/>
  <c r="E135" i="3"/>
  <c r="E290" i="3"/>
  <c r="E161" i="3"/>
  <c r="E117" i="3"/>
  <c r="E207" i="3"/>
  <c r="E77" i="3"/>
  <c r="E212" i="3"/>
  <c r="E253" i="3"/>
  <c r="E167" i="3"/>
  <c r="E199" i="3"/>
  <c r="E164" i="3"/>
  <c r="E107" i="3"/>
  <c r="E369" i="3"/>
  <c r="E393" i="3"/>
  <c r="E519" i="3"/>
  <c r="K6" i="3"/>
  <c r="E532" i="3"/>
  <c r="E534" i="3"/>
  <c r="E573" i="3"/>
  <c r="E543" i="3"/>
  <c r="E529" i="3"/>
  <c r="E437" i="3"/>
  <c r="E458" i="3"/>
  <c r="E472" i="3"/>
  <c r="E474" i="3"/>
  <c r="E481" i="3"/>
  <c r="E527" i="3"/>
  <c r="E406" i="3"/>
  <c r="E422" i="3"/>
  <c r="E408" i="3"/>
  <c r="E440" i="3"/>
  <c r="E451" i="3"/>
  <c r="E490" i="3"/>
  <c r="E360" i="3"/>
  <c r="E344" i="3"/>
  <c r="E562" i="3"/>
  <c r="E587" i="3"/>
  <c r="E497" i="3"/>
  <c r="E13" i="3"/>
  <c r="E498" i="3"/>
  <c r="E537" i="3"/>
  <c r="E429" i="3"/>
  <c r="E452" i="3"/>
  <c r="E483" i="3"/>
  <c r="E471" i="3"/>
  <c r="E496" i="3"/>
  <c r="E433" i="3"/>
  <c r="E454" i="3"/>
  <c r="E475" i="3"/>
  <c r="E55" i="3"/>
  <c r="E72" i="3"/>
  <c r="E106" i="3"/>
  <c r="E54" i="3"/>
  <c r="E73" i="3"/>
  <c r="E115" i="3"/>
  <c r="E178" i="3"/>
  <c r="E168" i="3"/>
  <c r="E203" i="3"/>
  <c r="E150" i="3"/>
  <c r="E171" i="3"/>
  <c r="E208" i="3"/>
  <c r="E256" i="3"/>
  <c r="E279" i="3"/>
  <c r="E214" i="3"/>
  <c r="E257" i="3"/>
  <c r="E274" i="3"/>
  <c r="E276" i="3"/>
  <c r="E332" i="3"/>
  <c r="E346" i="3"/>
  <c r="E391" i="3"/>
  <c r="E333" i="3"/>
  <c r="E356" i="3"/>
  <c r="E362" i="3"/>
  <c r="E14" i="3"/>
  <c r="L6" i="3"/>
  <c r="E42" i="3"/>
  <c r="E60" i="3"/>
  <c r="E94" i="3"/>
  <c r="E43" i="3"/>
  <c r="E488" i="3"/>
  <c r="E428" i="3"/>
  <c r="E482" i="3"/>
  <c r="E412" i="3"/>
  <c r="E455" i="3"/>
  <c r="E79" i="3"/>
  <c r="E38" i="3"/>
  <c r="E100" i="3"/>
  <c r="E170" i="3"/>
  <c r="E190" i="3"/>
  <c r="E174" i="3"/>
  <c r="E220" i="3"/>
  <c r="E234" i="3"/>
  <c r="E235" i="3"/>
  <c r="E324" i="3"/>
  <c r="E383" i="3"/>
  <c r="E342" i="3"/>
  <c r="E522" i="3"/>
  <c r="AQ6" i="3"/>
  <c r="E52" i="3"/>
  <c r="E36" i="3"/>
  <c r="E112" i="3"/>
  <c r="E123" i="3"/>
  <c r="E147" i="3"/>
  <c r="E289" i="3"/>
  <c r="E340" i="3"/>
  <c r="E364" i="3"/>
  <c r="E50" i="3"/>
  <c r="E20" i="3"/>
  <c r="E62" i="3"/>
  <c r="E176" i="3"/>
  <c r="E218" i="3"/>
  <c r="E265" i="3"/>
  <c r="E365" i="3"/>
  <c r="E524" i="3"/>
  <c r="E101" i="3"/>
  <c r="E83"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05" i="3"/>
  <c r="E124" i="3"/>
  <c r="E165" i="3"/>
  <c r="E293" i="3"/>
  <c r="E128" i="3"/>
  <c r="E231" i="3"/>
  <c r="E216" i="3"/>
  <c r="E130" i="3"/>
  <c r="E134" i="3"/>
  <c r="E254" i="3"/>
  <c r="E91" i="3"/>
  <c r="E221" i="3"/>
  <c r="E180" i="3"/>
  <c r="E149" i="3"/>
  <c r="E252" i="3"/>
  <c r="E271" i="3"/>
  <c r="E204" i="3"/>
  <c r="E145" i="3"/>
  <c r="E141" i="3"/>
  <c r="E313" i="3"/>
  <c r="E330" i="3"/>
  <c r="E525" i="3"/>
  <c r="E493" i="3"/>
  <c r="Q6" i="3"/>
  <c r="E564" i="3"/>
  <c r="T6" i="3"/>
  <c r="E560" i="3"/>
  <c r="E405" i="3"/>
  <c r="E427" i="3"/>
  <c r="E456" i="3"/>
  <c r="E486" i="3"/>
  <c r="E469" i="3"/>
  <c r="E507" i="3"/>
  <c r="E512" i="3"/>
  <c r="E438" i="3"/>
  <c r="E424" i="3"/>
  <c r="E457" i="3"/>
  <c r="E465" i="3"/>
  <c r="E288" i="3"/>
  <c r="E376" i="3"/>
  <c r="E556" i="3"/>
  <c r="AH6" i="3"/>
  <c r="W6" i="3"/>
  <c r="AE6" i="3"/>
  <c r="J6" i="3"/>
  <c r="E571" i="3"/>
  <c r="E577" i="3"/>
  <c r="E494" i="3"/>
  <c r="E419" i="3"/>
  <c r="E450" i="3"/>
  <c r="E468" i="3"/>
  <c r="E470" i="3"/>
  <c r="E401" i="3"/>
  <c r="E420" i="3"/>
  <c r="E463" i="3"/>
  <c r="E26" i="3"/>
  <c r="E40" i="3"/>
  <c r="E104" i="3"/>
  <c r="E25" i="3"/>
  <c r="E41" i="3"/>
  <c r="E108" i="3"/>
  <c r="E111" i="3"/>
  <c r="E146" i="3"/>
  <c r="E198" i="3"/>
  <c r="E119" i="3"/>
  <c r="E139" i="3"/>
  <c r="E202" i="3"/>
  <c r="E225" i="3"/>
  <c r="E242" i="3"/>
  <c r="E281" i="3"/>
  <c r="E226" i="3"/>
  <c r="E243" i="3"/>
  <c r="E351" i="3"/>
  <c r="E315" i="3"/>
  <c r="E357" i="3"/>
  <c r="E394" i="3"/>
  <c r="E318" i="3"/>
  <c r="E372" i="3"/>
  <c r="AL6" i="3"/>
  <c r="E580" i="3"/>
  <c r="E31" i="3"/>
  <c r="E74" i="3"/>
  <c r="E93" i="3"/>
  <c r="E32" i="3"/>
  <c r="E75" i="3"/>
  <c r="E409" i="3"/>
  <c r="E473" i="3"/>
  <c r="E15" i="3"/>
  <c r="E18" i="3"/>
  <c r="E96" i="3"/>
  <c r="E78" i="3"/>
  <c r="E129" i="3"/>
  <c r="E137" i="3"/>
  <c r="E194" i="3"/>
  <c r="E275" i="3"/>
  <c r="E219" i="3"/>
  <c r="E299" i="3"/>
  <c r="E339" i="3"/>
  <c r="E325" i="3"/>
  <c r="E392" i="3"/>
  <c r="E35" i="3"/>
  <c r="E86" i="3"/>
  <c r="E34" i="3"/>
  <c r="E49" i="3"/>
  <c r="E206" i="3"/>
  <c r="E232" i="3"/>
  <c r="E251" i="3"/>
  <c r="E370" i="3"/>
  <c r="AF6" i="3"/>
  <c r="E102" i="3"/>
  <c r="E80" i="3"/>
  <c r="E113" i="3"/>
  <c r="E158" i="3"/>
  <c r="E287" i="3"/>
  <c r="E308" i="3"/>
  <c r="E326" i="3"/>
  <c r="E22" i="3"/>
  <c r="E29" i="6"/>
  <c r="F30" i="6"/>
  <c r="F31" i="6" s="1"/>
  <c r="C34" i="68"/>
  <c r="C35" i="68" s="1"/>
  <c r="F48" i="9"/>
  <c r="O52" i="9" s="1"/>
  <c r="K5" i="4"/>
  <c r="B47" i="48" s="1"/>
  <c r="AB40" i="40"/>
  <c r="U40" i="40"/>
  <c r="D17" i="53"/>
  <c r="B36" i="72" s="1"/>
  <c r="D124" i="9"/>
  <c r="K27" i="6"/>
  <c r="C30" i="11"/>
  <c r="AC15" i="21"/>
  <c r="S32" i="37"/>
  <c r="S27" i="36"/>
  <c r="D117" i="43"/>
  <c r="E117" i="43" s="1"/>
  <c r="F117" i="43" s="1"/>
  <c r="G117" i="43" s="1"/>
  <c r="H117" i="43" s="1"/>
  <c r="C31" i="12"/>
  <c r="AA39" i="34"/>
  <c r="AZ557" i="3"/>
  <c r="S11" i="36"/>
  <c r="AA14" i="37"/>
  <c r="AB11" i="36"/>
  <c r="AA14" i="33"/>
  <c r="AA44" i="33"/>
  <c r="AA34" i="21"/>
  <c r="S34" i="21"/>
  <c r="AC33" i="33"/>
  <c r="W33" i="33"/>
  <c r="J26" i="33"/>
  <c r="F26" i="33"/>
  <c r="AB34" i="35"/>
  <c r="U34" i="35"/>
  <c r="H23" i="35"/>
  <c r="J23" i="35"/>
  <c r="S31" i="36"/>
  <c r="AA31" i="36"/>
  <c r="AB9" i="40"/>
  <c r="U9" i="40"/>
  <c r="AB38" i="40"/>
  <c r="U38" i="40"/>
  <c r="AC31" i="40"/>
  <c r="AZ409" i="3"/>
  <c r="AZ416" i="3"/>
  <c r="AZ425" i="3"/>
  <c r="AZ432" i="3"/>
  <c r="AZ585" i="3"/>
  <c r="F12" i="21"/>
  <c r="J12" i="21"/>
  <c r="H12" i="21"/>
  <c r="AA9" i="33"/>
  <c r="S9" i="33"/>
  <c r="AB35" i="33"/>
  <c r="U35" i="33"/>
  <c r="AA34" i="34"/>
  <c r="S34" i="34"/>
  <c r="AC34" i="35"/>
  <c r="W34" i="35"/>
  <c r="J12" i="36"/>
  <c r="H12" i="36"/>
  <c r="J24" i="36"/>
  <c r="H24" i="36"/>
  <c r="J39" i="37"/>
  <c r="H39" i="37"/>
  <c r="AA38" i="39"/>
  <c r="S38" i="39"/>
  <c r="S9" i="40"/>
  <c r="AA9" i="40"/>
  <c r="U39" i="40"/>
  <c r="AB39" i="40"/>
  <c r="AA38" i="40"/>
  <c r="S38" i="40"/>
  <c r="AZ399" i="3"/>
  <c r="AZ404" i="3"/>
  <c r="AZ471" i="3"/>
  <c r="AZ476" i="3"/>
  <c r="AZ478" i="3"/>
  <c r="AZ484" i="3"/>
  <c r="AZ492" i="3"/>
  <c r="AZ395" i="3"/>
  <c r="AZ208" i="3"/>
  <c r="AZ211" i="3"/>
  <c r="AZ219" i="3"/>
  <c r="AZ236" i="3"/>
  <c r="AZ252" i="3"/>
  <c r="AZ276" i="3"/>
  <c r="AZ300" i="3"/>
  <c r="AZ118" i="3"/>
  <c r="AZ121" i="3"/>
  <c r="AZ153" i="3"/>
  <c r="AZ185" i="3"/>
  <c r="AZ445" i="3"/>
  <c r="AZ447" i="3"/>
  <c r="AZ449" i="3"/>
  <c r="AZ453" i="3"/>
  <c r="AZ455" i="3"/>
  <c r="AZ460" i="3"/>
  <c r="AZ464" i="3"/>
  <c r="AZ467" i="3"/>
  <c r="AZ262" i="3"/>
  <c r="AZ267" i="3"/>
  <c r="AZ278" i="3"/>
  <c r="AZ284" i="3"/>
  <c r="AZ292" i="3"/>
  <c r="AZ34" i="3"/>
  <c r="AZ5" i="3" s="1"/>
  <c r="AZ38" i="3"/>
  <c r="AZ44" i="3"/>
  <c r="AZ48" i="3"/>
  <c r="AZ60" i="3"/>
  <c r="AZ64" i="3"/>
  <c r="AZ78" i="3"/>
  <c r="AZ87" i="3"/>
  <c r="AZ90" i="3"/>
  <c r="AZ92" i="3"/>
  <c r="AZ96" i="3"/>
  <c r="AZ112" i="3"/>
  <c r="F3" i="35"/>
  <c r="M100" i="43"/>
  <c r="I100" i="43"/>
  <c r="E100" i="43"/>
  <c r="D100" i="43"/>
  <c r="C40" i="68"/>
  <c r="C21" i="68"/>
  <c r="S21" i="21"/>
  <c r="U18" i="36"/>
  <c r="X5" i="71"/>
  <c r="Y5" i="71"/>
  <c r="Z5" i="71" s="1"/>
  <c r="AA5" i="71"/>
  <c r="AB5" i="71"/>
  <c r="F27" i="71"/>
  <c r="F28" i="71" s="1"/>
  <c r="F29" i="71" s="1"/>
  <c r="V29" i="71" s="1"/>
  <c r="Y6" i="71"/>
  <c r="Z6" i="71" s="1"/>
  <c r="Y7" i="71"/>
  <c r="Z7" i="71" s="1"/>
  <c r="AA6" i="71"/>
  <c r="AA7" i="71"/>
  <c r="Z12" i="43"/>
  <c r="Z13" i="43" s="1"/>
  <c r="Z10" i="43"/>
  <c r="AD12" i="43"/>
  <c r="AD13" i="43" s="1"/>
  <c r="AD10" i="43"/>
  <c r="AH12" i="43"/>
  <c r="AH13" i="43" s="1"/>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3" i="43" s="1"/>
  <c r="AC10" i="43"/>
  <c r="AG12" i="43"/>
  <c r="AG13" i="43" s="1"/>
  <c r="AG10" i="43"/>
  <c r="X21" i="71"/>
  <c r="Y21" i="71"/>
  <c r="Z21" i="71" s="1"/>
  <c r="AA19" i="71"/>
  <c r="X19" i="71"/>
  <c r="AA18" i="71"/>
  <c r="X15" i="71"/>
  <c r="AA15" i="71"/>
  <c r="X11" i="71"/>
  <c r="AA10" i="71"/>
  <c r="AB14" i="71"/>
  <c r="AA21" i="71"/>
  <c r="AB21" i="71"/>
  <c r="B21" i="71"/>
  <c r="C21" i="71"/>
  <c r="Y20" i="71"/>
  <c r="Z20" i="71" s="1"/>
  <c r="Y19" i="71"/>
  <c r="Z19" i="71" s="1"/>
  <c r="AA20" i="71"/>
  <c r="AB20" i="71"/>
  <c r="AB12" i="71"/>
  <c r="AB8" i="71"/>
  <c r="AB11" i="71"/>
  <c r="Y9" i="71"/>
  <c r="Z9" i="71" s="1"/>
  <c r="Y10" i="71"/>
  <c r="Z10" i="71" s="1"/>
  <c r="X8" i="71"/>
  <c r="AA8" i="71"/>
  <c r="X12" i="71"/>
  <c r="AA12" i="71"/>
  <c r="AB9" i="71"/>
  <c r="AB10" i="71"/>
  <c r="Y8" i="71"/>
  <c r="Z8" i="71" s="1"/>
  <c r="X10" i="71"/>
  <c r="X9" i="71"/>
  <c r="AA9" i="71"/>
  <c r="AA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F45" i="69"/>
  <c r="D9" i="53"/>
  <c r="B25" i="72" s="1"/>
  <c r="B24" i="72"/>
  <c r="K120" i="9"/>
  <c r="A18" i="62" s="1"/>
  <c r="B64" i="72" s="1"/>
  <c r="Y13" i="71"/>
  <c r="Z13" i="71" s="1"/>
  <c r="Y12" i="71"/>
  <c r="Z12" i="71" s="1"/>
  <c r="AA13" i="71"/>
  <c r="AB3" i="71"/>
  <c r="C29" i="69"/>
  <c r="D27" i="69" s="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D3" i="73"/>
  <c r="D5" i="73"/>
  <c r="C16" i="67"/>
  <c r="D7" i="73"/>
  <c r="C14" i="15"/>
  <c r="C16" i="15"/>
  <c r="D6" i="73"/>
  <c r="C17" i="15"/>
  <c r="D4" i="73"/>
  <c r="W11" i="40" l="1"/>
  <c r="AC11" i="40"/>
  <c r="U17" i="40"/>
  <c r="AB17" i="40"/>
  <c r="AA17" i="40"/>
  <c r="S17" i="40"/>
  <c r="W17" i="40"/>
  <c r="AC17" i="40"/>
  <c r="S15" i="40"/>
  <c r="AA15" i="40"/>
  <c r="AB15" i="40"/>
  <c r="U15" i="40"/>
  <c r="W15" i="40"/>
  <c r="AC15" i="40"/>
  <c r="C47" i="68"/>
  <c r="D45" i="68" s="1"/>
  <c r="C36" i="68"/>
  <c r="C38" i="69"/>
  <c r="C29" i="68"/>
  <c r="D27" i="68" s="1"/>
  <c r="I23" i="6"/>
  <c r="S23" i="6" s="1"/>
  <c r="M27" i="6"/>
  <c r="AR6" i="1"/>
  <c r="S16" i="1"/>
  <c r="T16" i="1"/>
  <c r="C29" i="11"/>
  <c r="D27" i="11" s="1"/>
  <c r="C47" i="11"/>
  <c r="D45" i="11" s="1"/>
  <c r="C15" i="15"/>
  <c r="C18" i="15"/>
  <c r="AC6" i="3"/>
  <c r="H6" i="3"/>
  <c r="F104" i="43"/>
  <c r="F102" i="43"/>
  <c r="F103" i="43"/>
  <c r="F109" i="43"/>
  <c r="F107" i="43"/>
  <c r="F106" i="43"/>
  <c r="F105" i="43"/>
  <c r="H107" i="43"/>
  <c r="H106" i="43"/>
  <c r="H105" i="43"/>
  <c r="H102" i="43"/>
  <c r="H104" i="43"/>
  <c r="H109" i="43"/>
  <c r="H103" i="43"/>
  <c r="E104" i="43"/>
  <c r="E107" i="43"/>
  <c r="E105" i="43"/>
  <c r="E109" i="43"/>
  <c r="E102" i="43"/>
  <c r="E103" i="43"/>
  <c r="E106" i="43"/>
  <c r="M104" i="43"/>
  <c r="M107" i="43"/>
  <c r="M105" i="43"/>
  <c r="M109" i="43"/>
  <c r="M106" i="43"/>
  <c r="M102" i="43"/>
  <c r="M103" i="43"/>
  <c r="L109" i="43"/>
  <c r="L102" i="43"/>
  <c r="L105" i="43"/>
  <c r="L104" i="43"/>
  <c r="L107" i="43"/>
  <c r="L106" i="43"/>
  <c r="L103" i="43"/>
  <c r="G105" i="43"/>
  <c r="G107" i="43"/>
  <c r="G104" i="43"/>
  <c r="G109" i="43"/>
  <c r="G102" i="43"/>
  <c r="G106" i="43"/>
  <c r="G103" i="43"/>
  <c r="C104" i="43"/>
  <c r="C106" i="43"/>
  <c r="C107" i="43"/>
  <c r="C103" i="43"/>
  <c r="C102" i="43"/>
  <c r="C105" i="43"/>
  <c r="C109" i="43"/>
  <c r="N102" i="43"/>
  <c r="N105" i="43"/>
  <c r="N107" i="43"/>
  <c r="N103" i="43"/>
  <c r="N106" i="43"/>
  <c r="N104" i="43"/>
  <c r="N109" i="43"/>
  <c r="K103" i="43"/>
  <c r="K102" i="43"/>
  <c r="K106" i="43"/>
  <c r="K109" i="43"/>
  <c r="K104" i="43"/>
  <c r="K107" i="43"/>
  <c r="K105" i="43"/>
  <c r="I102" i="43"/>
  <c r="I106" i="43"/>
  <c r="I103" i="43"/>
  <c r="I109" i="43"/>
  <c r="I107" i="43"/>
  <c r="I104" i="43"/>
  <c r="I105" i="43"/>
  <c r="D103" i="43"/>
  <c r="D104" i="43"/>
  <c r="D107" i="43"/>
  <c r="D109" i="43"/>
  <c r="D105" i="43"/>
  <c r="D102" i="43"/>
  <c r="D106"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H10" i="39"/>
  <c r="U10" i="39" s="1"/>
  <c r="F10" i="40"/>
  <c r="AA10" i="40" s="1"/>
  <c r="C38" i="68"/>
  <c r="K1" i="73"/>
  <c r="C28" i="15"/>
  <c r="C13" i="12"/>
  <c r="C77" i="9"/>
  <c r="C74" i="9" s="1"/>
  <c r="C30" i="68"/>
  <c r="C48" i="68"/>
  <c r="C36" i="11"/>
  <c r="C30" i="69"/>
  <c r="C28" i="67"/>
  <c r="C24" i="12"/>
  <c r="C29" i="12" s="1"/>
  <c r="D28" i="12" s="1"/>
  <c r="J10" i="40"/>
  <c r="AC10" i="40" s="1"/>
  <c r="J7" i="34"/>
  <c r="AC7" i="34" s="1"/>
  <c r="V49" i="34" s="1"/>
  <c r="I49" i="34" s="1"/>
  <c r="C48" i="69"/>
  <c r="C69" i="39"/>
  <c r="D67" i="39"/>
  <c r="E3" i="6"/>
  <c r="AY6" i="3"/>
  <c r="J10" i="39"/>
  <c r="AC10" i="39" s="1"/>
  <c r="H10" i="40"/>
  <c r="U10" i="40" s="1"/>
  <c r="F7" i="36"/>
  <c r="AA7" i="36" s="1"/>
  <c r="R36" i="36" s="1"/>
  <c r="J7" i="37"/>
  <c r="W7" i="37" s="1"/>
  <c r="H7" i="36"/>
  <c r="U7" i="36" s="1"/>
  <c r="H7" i="34"/>
  <c r="AB7" i="34" s="1"/>
  <c r="T49" i="34" s="1"/>
  <c r="G49" i="34" s="1"/>
  <c r="F7" i="34"/>
  <c r="AA7" i="34" s="1"/>
  <c r="R49" i="34" s="1"/>
  <c r="C7" i="43"/>
  <c r="C20" i="71"/>
  <c r="T21" i="71"/>
  <c r="D21" i="71"/>
  <c r="U21" i="71" s="1"/>
  <c r="F63" i="71"/>
  <c r="Q64" i="71"/>
  <c r="AC39" i="37"/>
  <c r="W39" i="37"/>
  <c r="AC24" i="36"/>
  <c r="W24" i="36"/>
  <c r="AC12" i="36"/>
  <c r="W12" i="36"/>
  <c r="AC12" i="21"/>
  <c r="W12" i="21"/>
  <c r="AC23" i="35"/>
  <c r="W23" i="35"/>
  <c r="AA26" i="33"/>
  <c r="S26" i="33"/>
  <c r="E12" i="71"/>
  <c r="E11" i="71" s="1"/>
  <c r="E10" i="71" s="1"/>
  <c r="E9" i="71" s="1"/>
  <c r="V13" i="71"/>
  <c r="N16" i="1"/>
  <c r="L16" i="1"/>
  <c r="C34" i="11"/>
  <c r="O16" i="1"/>
  <c r="B20" i="71"/>
  <c r="B19" i="71" s="1"/>
  <c r="B18" i="71" s="1"/>
  <c r="B17" i="71" s="1"/>
  <c r="S21" i="71"/>
  <c r="AB39" i="37"/>
  <c r="U39" i="37"/>
  <c r="AB24" i="36"/>
  <c r="U24" i="36"/>
  <c r="AB12" i="36"/>
  <c r="U12" i="36"/>
  <c r="AB12" i="21"/>
  <c r="U12" i="21"/>
  <c r="S12" i="21"/>
  <c r="AA12" i="21"/>
  <c r="U23" i="35"/>
  <c r="AB23" i="35"/>
  <c r="W26" i="33"/>
  <c r="AC26" i="33"/>
  <c r="D10" i="52"/>
  <c r="D125" i="9"/>
  <c r="D11" i="52" s="1"/>
  <c r="H14" i="74"/>
  <c r="B7" i="74" s="1"/>
  <c r="K15" i="1"/>
  <c r="K16" i="1" s="1"/>
  <c r="E30" i="6"/>
  <c r="E31" i="6" s="1"/>
  <c r="E6" i="3"/>
  <c r="S19" i="6"/>
  <c r="I27" i="6"/>
  <c r="P16" i="1"/>
  <c r="C11" i="12"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W10" i="39"/>
  <c r="S10" i="39"/>
  <c r="AA10" i="39"/>
  <c r="H7" i="33"/>
  <c r="J7" i="33"/>
  <c r="D65" i="40"/>
  <c r="E63" i="40"/>
  <c r="F48" i="35"/>
  <c r="S7" i="36"/>
  <c r="AC7" i="37"/>
  <c r="V42" i="37" s="1"/>
  <c r="I42" i="37" s="1"/>
  <c r="AB7" i="36"/>
  <c r="T36" i="36" s="1"/>
  <c r="G36" i="36" s="1"/>
  <c r="U7" i="34"/>
  <c r="S7" i="34"/>
  <c r="F7" i="33"/>
  <c r="E58" i="21"/>
  <c r="AC7" i="36"/>
  <c r="V36" i="36" s="1"/>
  <c r="I36" i="36" s="1"/>
  <c r="W7" i="36"/>
  <c r="F7" i="37"/>
  <c r="W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AB10" i="39" l="1"/>
  <c r="C19" i="15"/>
  <c r="C20" i="15" s="1"/>
  <c r="C26" i="15" s="1"/>
  <c r="C115" i="43"/>
  <c r="D113" i="43"/>
  <c r="S2" i="43"/>
  <c r="T2" i="43" s="1"/>
  <c r="V2" i="43" s="1"/>
  <c r="S4" i="43"/>
  <c r="T4" i="43" s="1"/>
  <c r="V4" i="43" s="1"/>
  <c r="S5" i="43"/>
  <c r="T5" i="43" s="1"/>
  <c r="V5" i="43" s="1"/>
  <c r="C23" i="43"/>
  <c r="C21" i="43" s="1"/>
  <c r="C29" i="43" s="1"/>
  <c r="C30" i="43" s="1"/>
  <c r="E30" i="43" s="1"/>
  <c r="S7" i="43"/>
  <c r="T7" i="43" s="1"/>
  <c r="V7" i="43" s="1"/>
  <c r="S3" i="43"/>
  <c r="T3" i="43" s="1"/>
  <c r="V3" i="43" s="1"/>
  <c r="S6" i="43"/>
  <c r="T6" i="43" s="1"/>
  <c r="V6" i="43" s="1"/>
  <c r="S10" i="40"/>
  <c r="W10" i="40"/>
  <c r="AB10" i="40"/>
  <c r="B40" i="1"/>
  <c r="F22" i="69" s="1"/>
  <c r="F41" i="69" s="1"/>
  <c r="U7" i="37"/>
  <c r="D69" i="39"/>
  <c r="E67" i="39"/>
  <c r="Q63" i="71"/>
  <c r="Q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180" i="3"/>
  <c r="AY300" i="3"/>
  <c r="AY245" i="3"/>
  <c r="AY260" i="3"/>
  <c r="AY228" i="3"/>
  <c r="AY217" i="3"/>
  <c r="AY395" i="3"/>
  <c r="AY372" i="3"/>
  <c r="AY358" i="3"/>
  <c r="AY327" i="3"/>
  <c r="AY342" i="3"/>
  <c r="AY310" i="3"/>
  <c r="AY465" i="3"/>
  <c r="AY463" i="3"/>
  <c r="AY452" i="3"/>
  <c r="AY420" i="3"/>
  <c r="AY433" i="3"/>
  <c r="AY513" i="3"/>
  <c r="AY549" i="3"/>
  <c r="BK6" i="3"/>
  <c r="AY544" i="3"/>
  <c r="AY569" i="3"/>
  <c r="AY533" i="3"/>
  <c r="AY541" i="3"/>
  <c r="AY553" i="3"/>
  <c r="AY97" i="3"/>
  <c r="AY108" i="3"/>
  <c r="AY92" i="3"/>
  <c r="AY61" i="3"/>
  <c r="AY45" i="3"/>
  <c r="AY60" i="3"/>
  <c r="AY44" i="3"/>
  <c r="AY33" i="3"/>
  <c r="AY190" i="3"/>
  <c r="AY185" i="3"/>
  <c r="AY170" i="3"/>
  <c r="AY138" i="3"/>
  <c r="AY149" i="3"/>
  <c r="AY118" i="3"/>
  <c r="AY299" i="3"/>
  <c r="AY283" i="3"/>
  <c r="AY278" i="3"/>
  <c r="AY263" i="3"/>
  <c r="AY231" i="3"/>
  <c r="AY246" i="3"/>
  <c r="AY214" i="3"/>
  <c r="AY219" i="3"/>
  <c r="AY397" i="3"/>
  <c r="AY381" i="3"/>
  <c r="AY357" i="3"/>
  <c r="AY554" i="3"/>
  <c r="BH6" i="3"/>
  <c r="AY109" i="3"/>
  <c r="AY73" i="3"/>
  <c r="AY41" i="3"/>
  <c r="AY24" i="3"/>
  <c r="AY202" i="3"/>
  <c r="AY166" i="3"/>
  <c r="AY177" i="3"/>
  <c r="AY114" i="3"/>
  <c r="AY295" i="3"/>
  <c r="AY290" i="3"/>
  <c r="AY274" i="3"/>
  <c r="AY242" i="3"/>
  <c r="AY348" i="3"/>
  <c r="AY491" i="3"/>
  <c r="AY488" i="3"/>
  <c r="AY472" i="3"/>
  <c r="AY462" i="3"/>
  <c r="AY446" i="3"/>
  <c r="AY414" i="3"/>
  <c r="AY427" i="3"/>
  <c r="AY411" i="3"/>
  <c r="BQ6" i="3"/>
  <c r="AY585" i="3"/>
  <c r="AY561" i="3"/>
  <c r="BF6" i="3"/>
  <c r="AY546" i="3"/>
  <c r="AY495" i="3"/>
  <c r="BG6" i="3"/>
  <c r="AY501" i="3"/>
  <c r="AY584" i="3"/>
  <c r="AY514" i="3"/>
  <c r="AY519" i="3"/>
  <c r="AY101" i="3"/>
  <c r="AY65" i="3"/>
  <c r="AY48" i="3"/>
  <c r="AY194" i="3"/>
  <c r="AY189" i="3"/>
  <c r="AY169" i="3"/>
  <c r="AY137" i="3"/>
  <c r="AY287" i="3"/>
  <c r="AY282" i="3"/>
  <c r="AY266" i="3"/>
  <c r="AY234" i="3"/>
  <c r="AY380" i="3"/>
  <c r="AY369" i="3"/>
  <c r="AY345" i="3"/>
  <c r="AY329" i="3"/>
  <c r="AY313" i="3"/>
  <c r="AY328" i="3"/>
  <c r="AY312" i="3"/>
  <c r="AY471" i="3"/>
  <c r="AY468" i="3"/>
  <c r="AY453" i="3"/>
  <c r="AY458" i="3"/>
  <c r="AY426" i="3"/>
  <c r="AY410" i="3"/>
  <c r="AY423" i="3"/>
  <c r="AY407" i="3"/>
  <c r="AY579" i="3"/>
  <c r="AY499" i="3"/>
  <c r="D3" i="6"/>
  <c r="E65" i="39" s="1"/>
  <c r="AY565" i="3"/>
  <c r="AY542" i="3"/>
  <c r="BR6" i="3"/>
  <c r="AY531" i="3"/>
  <c r="AY578" i="3"/>
  <c r="AY99" i="3"/>
  <c r="AY94" i="3"/>
  <c r="AY78" i="3"/>
  <c r="AY46" i="3"/>
  <c r="AY192" i="3"/>
  <c r="AY156" i="3"/>
  <c r="AY135" i="3"/>
  <c r="AY285" i="3"/>
  <c r="AY280" i="3"/>
  <c r="AY264" i="3"/>
  <c r="AY221" i="3"/>
  <c r="AY378" i="3"/>
  <c r="AY362" i="3"/>
  <c r="AY346" i="3"/>
  <c r="AY469" i="3"/>
  <c r="AY466" i="3"/>
  <c r="AY424" i="3"/>
  <c r="AY405" i="3"/>
  <c r="AY558" i="3"/>
  <c r="AY560" i="3"/>
  <c r="BL6" i="3"/>
  <c r="AY91" i="3"/>
  <c r="AY86" i="3"/>
  <c r="AY70" i="3"/>
  <c r="AY27" i="3"/>
  <c r="AY184" i="3"/>
  <c r="AY148" i="3"/>
  <c r="AY128" i="3"/>
  <c r="AY277" i="3"/>
  <c r="AY241" i="3"/>
  <c r="AY256" i="3"/>
  <c r="AY213" i="3"/>
  <c r="AY391" i="3"/>
  <c r="AY354" i="3"/>
  <c r="AY323" i="3"/>
  <c r="AY306" i="3"/>
  <c r="AY490" i="3"/>
  <c r="AY448" i="3"/>
  <c r="AY416" i="3"/>
  <c r="AY550" i="3"/>
  <c r="BD6" i="3"/>
  <c r="AY511" i="3"/>
  <c r="AY504" i="3"/>
  <c r="AY498" i="3"/>
  <c r="AY26" i="3"/>
  <c r="AY401" i="3"/>
  <c r="BE6" i="3"/>
  <c r="AY77" i="3"/>
  <c r="AY76" i="3"/>
  <c r="AY28" i="3"/>
  <c r="AY206" i="3"/>
  <c r="AY201" i="3"/>
  <c r="AY154" i="3"/>
  <c r="AY165" i="3"/>
  <c r="AY133" i="3"/>
  <c r="AY125" i="3"/>
  <c r="AY294" i="3"/>
  <c r="AY247" i="3"/>
  <c r="AY262" i="3"/>
  <c r="AY230" i="3"/>
  <c r="AY392" i="3"/>
  <c r="AY374" i="3"/>
  <c r="AY360" i="3"/>
  <c r="BJ6" i="3"/>
  <c r="AY104" i="3"/>
  <c r="AY56" i="3"/>
  <c r="AY197" i="3"/>
  <c r="AY145" i="3"/>
  <c r="AY259" i="3"/>
  <c r="AY210" i="3"/>
  <c r="AY388" i="3"/>
  <c r="AY377" i="3"/>
  <c r="AY353" i="3"/>
  <c r="AY349" i="3"/>
  <c r="AY333" i="3"/>
  <c r="AY317" i="3"/>
  <c r="AY332" i="3"/>
  <c r="AY316" i="3"/>
  <c r="AY475" i="3"/>
  <c r="AY457" i="3"/>
  <c r="AY430" i="3"/>
  <c r="AY398" i="3"/>
  <c r="AY581" i="3"/>
  <c r="BM6" i="3"/>
  <c r="AY534" i="3"/>
  <c r="AY571" i="3"/>
  <c r="AY510" i="3"/>
  <c r="AY16" i="3"/>
  <c r="AY494" i="3"/>
  <c r="AY582" i="3"/>
  <c r="AY96" i="3"/>
  <c r="AY80" i="3"/>
  <c r="AY37" i="3"/>
  <c r="AY158" i="3"/>
  <c r="AY129" i="3"/>
  <c r="AY251" i="3"/>
  <c r="AY223" i="3"/>
  <c r="AY364" i="3"/>
  <c r="AY344" i="3"/>
  <c r="AY487" i="3"/>
  <c r="AY484" i="3"/>
  <c r="AY442" i="3"/>
  <c r="AY439" i="3"/>
  <c r="AY506" i="3"/>
  <c r="AY14" i="3"/>
  <c r="AY524" i="3"/>
  <c r="AY502" i="3"/>
  <c r="AY509" i="3"/>
  <c r="AY570" i="3"/>
  <c r="BA6" i="3"/>
  <c r="AY63" i="3"/>
  <c r="AY35" i="3"/>
  <c r="AY187" i="3"/>
  <c r="AY167" i="3"/>
  <c r="AY127" i="3"/>
  <c r="AY249" i="3"/>
  <c r="AY232" i="3"/>
  <c r="AY376" i="3"/>
  <c r="AY331" i="3"/>
  <c r="AY314" i="3"/>
  <c r="AY456" i="3"/>
  <c r="AY437" i="3"/>
  <c r="AY517" i="3"/>
  <c r="AY512" i="3"/>
  <c r="AY587" i="3"/>
  <c r="AY55" i="3"/>
  <c r="AY38" i="3"/>
  <c r="AY179" i="3"/>
  <c r="AY159" i="3"/>
  <c r="AY119" i="3"/>
  <c r="AY273" i="3"/>
  <c r="AY224" i="3"/>
  <c r="AY367" i="3"/>
  <c r="AY338" i="3"/>
  <c r="AY459" i="3"/>
  <c r="AY429" i="3"/>
  <c r="BC6" i="3"/>
  <c r="AY586" i="3"/>
  <c r="C15" i="12"/>
  <c r="C12" i="12"/>
  <c r="B16" i="71"/>
  <c r="B15" i="71" s="1"/>
  <c r="B14" i="71" s="1"/>
  <c r="B13" i="71" s="1"/>
  <c r="S17" i="71"/>
  <c r="C38" i="11"/>
  <c r="C35" i="11"/>
  <c r="F50" i="11"/>
  <c r="F50" i="68"/>
  <c r="F50" i="69"/>
  <c r="E8" i="71"/>
  <c r="E7" i="71" s="1"/>
  <c r="E6" i="71" s="1"/>
  <c r="E5" i="71" s="1"/>
  <c r="V9" i="71"/>
  <c r="C19" i="71"/>
  <c r="D20" i="71"/>
  <c r="D3" i="34"/>
  <c r="D3" i="33"/>
  <c r="D19" i="11"/>
  <c r="C19" i="11" s="1"/>
  <c r="C17" i="4"/>
  <c r="B4" i="52" s="1"/>
  <c r="B43" i="72" s="1"/>
  <c r="L18" i="9"/>
  <c r="D3" i="37"/>
  <c r="S27" i="6"/>
  <c r="E6" i="6"/>
  <c r="D37" i="11"/>
  <c r="C37" i="11" s="1"/>
  <c r="D14" i="12"/>
  <c r="M18" i="9"/>
  <c r="B118" i="9" s="1"/>
  <c r="B14" i="74" s="1"/>
  <c r="B1" i="74" s="1"/>
  <c r="C8" i="74" s="1"/>
  <c r="D3" i="21"/>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41" i="15"/>
  <c r="F69" i="15" l="1"/>
  <c r="J29" i="15"/>
  <c r="F22" i="68"/>
  <c r="F41" i="68" s="1"/>
  <c r="F24" i="67"/>
  <c r="C24" i="67" s="1"/>
  <c r="F24" i="15"/>
  <c r="C24" i="15" s="1"/>
  <c r="F22" i="11"/>
  <c r="C23" i="11" s="1"/>
  <c r="E69" i="39"/>
  <c r="F67" i="39"/>
  <c r="C33" i="11"/>
  <c r="C39" i="11" s="1"/>
  <c r="C46" i="11" s="1"/>
  <c r="C45" i="11" s="1"/>
  <c r="C7" i="74"/>
  <c r="D17" i="12"/>
  <c r="C17" i="12" s="1"/>
  <c r="C14" i="12"/>
  <c r="C16" i="12" s="1"/>
  <c r="D10" i="68"/>
  <c r="D10" i="69"/>
  <c r="D10" i="11"/>
  <c r="C10" i="11" s="1"/>
  <c r="D20" i="12"/>
  <c r="C20" i="12" s="1"/>
  <c r="B12" i="71"/>
  <c r="B11" i="71" s="1"/>
  <c r="B10" i="71" s="1"/>
  <c r="B9" i="71" s="1"/>
  <c r="S13" i="71"/>
  <c r="C20" i="11"/>
  <c r="C28" i="11" s="1"/>
  <c r="C27" i="11" s="1"/>
  <c r="C18" i="71"/>
  <c r="D19" i="71"/>
  <c r="H20" i="6"/>
  <c r="M19" i="9"/>
  <c r="C118" i="9" s="1"/>
  <c r="C14" i="74" s="1"/>
  <c r="B2" i="74" s="1"/>
  <c r="D19" i="6"/>
  <c r="D26" i="6"/>
  <c r="C18" i="4"/>
  <c r="D8" i="6"/>
  <c r="D23" i="6"/>
  <c r="D14" i="6"/>
  <c r="D5" i="6"/>
  <c r="D12" i="6"/>
  <c r="D11" i="6"/>
  <c r="D13" i="6"/>
  <c r="D28" i="6"/>
  <c r="E61" i="40"/>
  <c r="H23" i="6"/>
  <c r="H26" i="6"/>
  <c r="H19" i="6"/>
  <c r="D25" i="6"/>
  <c r="D15" i="6"/>
  <c r="D21" i="6"/>
  <c r="D24" i="6"/>
  <c r="D22" i="6"/>
  <c r="D20" i="6"/>
  <c r="R20" i="6" s="1"/>
  <c r="D6" i="6"/>
  <c r="D9" i="6"/>
  <c r="D10" i="6"/>
  <c r="L19" i="9"/>
  <c r="D29" i="6"/>
  <c r="H25" i="6"/>
  <c r="H22" i="6"/>
  <c r="H21" i="6"/>
  <c r="H24" i="6"/>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26" i="12"/>
  <c r="D25" i="12" s="1"/>
  <c r="C38" i="67"/>
  <c r="C38" i="15"/>
  <c r="C66" i="67"/>
  <c r="C60" i="67"/>
  <c r="B6" i="76"/>
  <c r="E6" i="76"/>
  <c r="C23" i="15" l="1"/>
  <c r="C29" i="15" s="1"/>
  <c r="J14" i="15" s="1"/>
  <c r="C44" i="11"/>
  <c r="D41" i="11" s="1"/>
  <c r="C26" i="68"/>
  <c r="D22" i="68" s="1"/>
  <c r="C44" i="68"/>
  <c r="D41" i="68" s="1"/>
  <c r="H27" i="6"/>
  <c r="D30" i="6"/>
  <c r="D16" i="6"/>
  <c r="R24" i="6"/>
  <c r="C23" i="67"/>
  <c r="C29" i="67" s="1"/>
  <c r="C33" i="67" s="1"/>
  <c r="C31" i="67" s="1"/>
  <c r="C25" i="11"/>
  <c r="C42" i="11"/>
  <c r="C24" i="11"/>
  <c r="C26" i="11"/>
  <c r="D22" i="11" s="1"/>
  <c r="C43" i="11"/>
  <c r="F69" i="39"/>
  <c r="G67" i="39"/>
  <c r="R23" i="6"/>
  <c r="A7" i="51"/>
  <c r="B7" i="72" s="1"/>
  <c r="C4" i="52"/>
  <c r="B45" i="72" s="1"/>
  <c r="A10" i="51"/>
  <c r="B9" i="72" s="1"/>
  <c r="D27" i="6"/>
  <c r="D31" i="6" s="1"/>
  <c r="R19" i="6"/>
  <c r="D18" i="71"/>
  <c r="C17" i="71"/>
  <c r="C10" i="69"/>
  <c r="C8" i="69" s="1"/>
  <c r="C5" i="69" s="1"/>
  <c r="D19" i="69"/>
  <c r="R22" i="6"/>
  <c r="R21" i="6"/>
  <c r="R25" i="6"/>
  <c r="R26" i="6"/>
  <c r="D8" i="74"/>
  <c r="D7" i="74"/>
  <c r="B8" i="71"/>
  <c r="B7" i="71" s="1"/>
  <c r="B6" i="71" s="1"/>
  <c r="B5" i="71" s="1"/>
  <c r="S9" i="71"/>
  <c r="C10" i="68"/>
  <c r="B29" i="1" s="1"/>
  <c r="C8" i="68" s="1"/>
  <c r="D19" i="68"/>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11" l="1"/>
  <c r="C36" i="67"/>
  <c r="C33" i="15"/>
  <c r="Q49" i="15"/>
  <c r="C57" i="15"/>
  <c r="C61" i="15" s="1"/>
  <c r="J19" i="15"/>
  <c r="C13" i="15"/>
  <c r="Q70" i="15" s="1"/>
  <c r="C36" i="15"/>
  <c r="C41" i="11"/>
  <c r="C49" i="11" s="1"/>
  <c r="C51" i="11" s="1"/>
  <c r="C18" i="12"/>
  <c r="C21" i="12" s="1"/>
  <c r="C22" i="12" s="1"/>
  <c r="C30" i="12" s="1"/>
  <c r="C28" i="12" s="1"/>
  <c r="J19" i="67"/>
  <c r="J17" i="67" s="1"/>
  <c r="Q49" i="67"/>
  <c r="J14" i="67"/>
  <c r="J13" i="67" s="1"/>
  <c r="J23" i="67" s="1"/>
  <c r="R27" i="6"/>
  <c r="R6" i="1"/>
  <c r="J59" i="67"/>
  <c r="J60" i="67" s="1"/>
  <c r="L46" i="67" s="1"/>
  <c r="C57" i="67"/>
  <c r="C61" i="67" s="1"/>
  <c r="C59" i="67" s="1"/>
  <c r="C13" i="67"/>
  <c r="C75" i="67" s="1"/>
  <c r="C31" i="11"/>
  <c r="G69" i="39"/>
  <c r="H67" i="39"/>
  <c r="C19" i="68"/>
  <c r="D37" i="68"/>
  <c r="C37" i="68" s="1"/>
  <c r="C33" i="68" s="1"/>
  <c r="C19" i="69"/>
  <c r="C24" i="69" s="1"/>
  <c r="D37" i="69"/>
  <c r="C37" i="69" s="1"/>
  <c r="C33" i="69" s="1"/>
  <c r="C16" i="71"/>
  <c r="T17" i="71"/>
  <c r="D17" i="71"/>
  <c r="U17" i="71" s="1"/>
  <c r="C23" i="69"/>
  <c r="I6" i="6"/>
  <c r="C11" i="39" s="1"/>
  <c r="I5" i="6"/>
  <c r="B3" i="76"/>
  <c r="I63" i="40"/>
  <c r="H65" i="40"/>
  <c r="I58" i="21"/>
  <c r="J58" i="21" s="1"/>
  <c r="K58" i="21" s="1"/>
  <c r="L58" i="21" s="1"/>
  <c r="M58" i="21" s="1"/>
  <c r="N58" i="21" s="1"/>
  <c r="O58" i="21" s="1"/>
  <c r="H7" i="21" s="1"/>
  <c r="F7" i="21"/>
  <c r="J48" i="35"/>
  <c r="Q48" i="15"/>
  <c r="J22" i="15"/>
  <c r="J13" i="15"/>
  <c r="J23" i="15" s="1"/>
  <c r="F35" i="15"/>
  <c r="M21" i="15"/>
  <c r="Q48" i="67" l="1"/>
  <c r="C27" i="12"/>
  <c r="C25" i="12" s="1"/>
  <c r="C32" i="12" s="1"/>
  <c r="B2" i="12" s="1"/>
  <c r="B3" i="12" s="1"/>
  <c r="C52" i="11"/>
  <c r="B2" i="11" s="1"/>
  <c r="B3" i="11" s="1"/>
  <c r="C64" i="15"/>
  <c r="J20" i="15"/>
  <c r="J17" i="15" s="1"/>
  <c r="J16" i="15" s="1"/>
  <c r="J25" i="15" s="1"/>
  <c r="C34" i="15"/>
  <c r="C31" i="15" s="1"/>
  <c r="F63" i="15"/>
  <c r="C62" i="15" s="1"/>
  <c r="C59" i="15" s="1"/>
  <c r="R16" i="1"/>
  <c r="C56" i="15"/>
  <c r="C65" i="15" s="1"/>
  <c r="C37" i="15"/>
  <c r="C75" i="15"/>
  <c r="Q70" i="67"/>
  <c r="C56" i="67"/>
  <c r="C65" i="67" s="1"/>
  <c r="C37" i="67"/>
  <c r="C30" i="67" s="1"/>
  <c r="C39" i="67" s="1"/>
  <c r="C40" i="67" s="1"/>
  <c r="J22" i="67"/>
  <c r="J16" i="67" s="1"/>
  <c r="J25" i="67" s="1"/>
  <c r="H11" i="39"/>
  <c r="J11" i="39"/>
  <c r="F11" i="39"/>
  <c r="C64" i="67"/>
  <c r="C58" i="67" s="1"/>
  <c r="C67" i="67" s="1"/>
  <c r="C68" i="67" s="1"/>
  <c r="J7" i="21"/>
  <c r="H69" i="39"/>
  <c r="I67" i="39"/>
  <c r="C20" i="69"/>
  <c r="C28" i="69" s="1"/>
  <c r="C27" i="69" s="1"/>
  <c r="C39" i="69"/>
  <c r="C43" i="69" s="1"/>
  <c r="C42" i="69"/>
  <c r="C39" i="68"/>
  <c r="C42" i="68"/>
  <c r="C15" i="71"/>
  <c r="D16" i="71"/>
  <c r="C24" i="68"/>
  <c r="U7" i="21"/>
  <c r="AB7" i="21"/>
  <c r="T48" i="21" s="1"/>
  <c r="G48" i="21" s="1"/>
  <c r="S7" i="21"/>
  <c r="AA7" i="21"/>
  <c r="R48" i="21" s="1"/>
  <c r="J63" i="40"/>
  <c r="I65" i="40"/>
  <c r="K48" i="35"/>
  <c r="L48" i="35" s="1"/>
  <c r="M48" i="35" s="1"/>
  <c r="N48" i="35" s="1"/>
  <c r="O48" i="35" s="1"/>
  <c r="H7" i="35" s="1"/>
  <c r="J7" i="35"/>
  <c r="AC7" i="21"/>
  <c r="V48" i="21" s="1"/>
  <c r="I48" i="21" s="1"/>
  <c r="W7" i="21"/>
  <c r="L51" i="67"/>
  <c r="C56" i="11" l="1"/>
  <c r="C57" i="11" s="1"/>
  <c r="C58" i="15"/>
  <c r="C67" i="15" s="1"/>
  <c r="C68" i="15" s="1"/>
  <c r="C71" i="15" s="1"/>
  <c r="C30" i="15"/>
  <c r="C39" i="15" s="1"/>
  <c r="Q69" i="67"/>
  <c r="Q68" i="67" s="1"/>
  <c r="C80" i="67"/>
  <c r="C79" i="67" s="1"/>
  <c r="W11" i="39"/>
  <c r="AC11" i="39"/>
  <c r="AA11" i="39"/>
  <c r="S11" i="39"/>
  <c r="AB11" i="39"/>
  <c r="U11" i="39"/>
  <c r="C25" i="69"/>
  <c r="C22" i="69" s="1"/>
  <c r="C31" i="69" s="1"/>
  <c r="I69" i="39"/>
  <c r="J67" i="39"/>
  <c r="C41" i="69"/>
  <c r="C46" i="68"/>
  <c r="C45" i="68" s="1"/>
  <c r="C43" i="68"/>
  <c r="C41" i="68" s="1"/>
  <c r="C46" i="69"/>
  <c r="C45" i="69" s="1"/>
  <c r="C14" i="71"/>
  <c r="D15"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69" i="15" l="1"/>
  <c r="Q68" i="15" s="1"/>
  <c r="H39" i="15"/>
  <c r="C80" i="15"/>
  <c r="C79" i="15" s="1"/>
  <c r="L57" i="15"/>
  <c r="L60" i="15" s="1"/>
  <c r="L46" i="15" s="1"/>
  <c r="C40" i="15"/>
  <c r="C49" i="68"/>
  <c r="C51" i="68" s="1"/>
  <c r="C49" i="69"/>
  <c r="C51" i="69" s="1"/>
  <c r="C52" i="69" s="1"/>
  <c r="B2" i="69" s="1"/>
  <c r="B3" i="69" s="1"/>
  <c r="J69" i="39"/>
  <c r="K67" i="39"/>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Q57" i="15"/>
  <c r="Q66" i="15"/>
  <c r="Q56" i="15"/>
  <c r="C43" i="15"/>
  <c r="C83" i="15"/>
  <c r="C82" i="15" s="1"/>
  <c r="B2" i="15"/>
  <c r="Q65" i="15"/>
  <c r="Q47" i="15"/>
  <c r="Q53" i="15" s="1"/>
  <c r="C46" i="15"/>
  <c r="L67" i="39"/>
  <c r="K69" i="39"/>
  <c r="C12" i="71"/>
  <c r="T13" i="71"/>
  <c r="D13" i="71"/>
  <c r="U13" i="71" s="1"/>
  <c r="C57" i="69"/>
  <c r="C56" i="69" s="1"/>
  <c r="R39" i="35"/>
  <c r="E38" i="35"/>
  <c r="M63" i="40"/>
  <c r="L65" i="40"/>
  <c r="AO6" i="1"/>
  <c r="D19" i="9"/>
  <c r="Q62" i="15" l="1"/>
  <c r="D102" i="9"/>
  <c r="D21" i="9"/>
  <c r="Q75" i="15"/>
  <c r="B6" i="70"/>
  <c r="B2" i="70" s="1"/>
  <c r="B3" i="70" s="1"/>
  <c r="B3" i="15"/>
  <c r="M67" i="39"/>
  <c r="L69" i="39"/>
  <c r="C11" i="71"/>
  <c r="D12" i="71"/>
  <c r="C39" i="35"/>
  <c r="B2" i="35" s="1"/>
  <c r="B3" i="35" s="1"/>
  <c r="C38" i="35"/>
  <c r="N63" i="40"/>
  <c r="M65" i="40"/>
  <c r="E43" i="35"/>
  <c r="F43" i="35" s="1"/>
  <c r="E42" i="35"/>
  <c r="F42" i="35" s="1"/>
  <c r="I43" i="35"/>
  <c r="J43" i="35" s="1"/>
  <c r="D20" i="9"/>
  <c r="D103" i="9" l="1"/>
  <c r="M69" i="39"/>
  <c r="N67" i="39"/>
  <c r="C10" i="71"/>
  <c r="D11" i="71"/>
  <c r="O63" i="40"/>
  <c r="O65" i="40" s="1"/>
  <c r="N65" i="40"/>
  <c r="O67" i="39" l="1"/>
  <c r="O69" i="39" s="1"/>
  <c r="N69" i="39"/>
  <c r="H7" i="39" s="1"/>
  <c r="U7" i="39" s="1"/>
  <c r="C9" i="71"/>
  <c r="D10" i="71"/>
  <c r="J7" i="40"/>
  <c r="F7" i="40"/>
  <c r="H7" i="40"/>
  <c r="AB7" i="39" l="1"/>
  <c r="T47" i="39" s="1"/>
  <c r="G47" i="39" s="1"/>
  <c r="G51" i="39" s="1"/>
  <c r="H51" i="39" s="1"/>
  <c r="J7" i="39"/>
  <c r="F7" i="39"/>
  <c r="C8" i="71"/>
  <c r="T9" i="71"/>
  <c r="D9" i="71"/>
  <c r="U9" i="71" s="1"/>
  <c r="U7" i="40"/>
  <c r="AB7" i="40"/>
  <c r="T42" i="40" s="1"/>
  <c r="G42" i="40" s="1"/>
  <c r="AA7" i="40"/>
  <c r="R42" i="40" s="1"/>
  <c r="S7" i="40"/>
  <c r="AC7" i="40"/>
  <c r="V42" i="40" s="1"/>
  <c r="I42" i="40" s="1"/>
  <c r="W7" i="40"/>
  <c r="AA7" i="39" l="1"/>
  <c r="R47" i="39" s="1"/>
  <c r="S7" i="39"/>
  <c r="W7" i="39"/>
  <c r="AC7" i="39"/>
  <c r="V47" i="39" s="1"/>
  <c r="I47" i="39" s="1"/>
  <c r="D8" i="71"/>
  <c r="C7" i="71"/>
  <c r="I46" i="40"/>
  <c r="J46" i="40" s="1"/>
  <c r="R43" i="40"/>
  <c r="E42" i="40"/>
  <c r="G47" i="40"/>
  <c r="H47" i="40" s="1"/>
  <c r="G46" i="40"/>
  <c r="H46" i="40" s="1"/>
  <c r="G52" i="39" l="1"/>
  <c r="H52" i="39" s="1"/>
  <c r="I51" i="39"/>
  <c r="J51" i="39" s="1"/>
  <c r="E47" i="39"/>
  <c r="R48" i="39"/>
  <c r="C6" i="71"/>
  <c r="D7" i="71"/>
  <c r="C42" i="40"/>
  <c r="C43" i="40"/>
  <c r="E47" i="40"/>
  <c r="F47" i="40" s="1"/>
  <c r="E46" i="40"/>
  <c r="F46" i="40" s="1"/>
  <c r="I47" i="40"/>
  <c r="J47" i="40" s="1"/>
  <c r="E51" i="39" l="1"/>
  <c r="F51" i="39" s="1"/>
  <c r="E52" i="39"/>
  <c r="F52" i="39" s="1"/>
  <c r="I52" i="39"/>
  <c r="J52" i="39" s="1"/>
  <c r="C47" i="39"/>
  <c r="C48" i="39"/>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l="1"/>
  <c r="C6" i="68"/>
  <c r="B56" i="39"/>
  <c r="F56" i="39" s="1"/>
  <c r="F65" i="39" s="1"/>
  <c r="B2" i="39" s="1"/>
  <c r="B3" i="39" s="1"/>
  <c r="B64" i="39"/>
  <c r="F64" i="39" s="1"/>
  <c r="B61" i="39"/>
  <c r="F61" i="39" s="1"/>
  <c r="B58" i="39"/>
  <c r="F58" i="39" s="1"/>
  <c r="B59" i="39"/>
  <c r="F59" i="39" s="1"/>
  <c r="B63" i="39"/>
  <c r="F63" i="39" s="1"/>
  <c r="B60" i="39"/>
  <c r="F60" i="39" s="1"/>
  <c r="B57" i="39"/>
  <c r="F57" i="39" s="1"/>
  <c r="B62" i="39"/>
  <c r="F62" i="39" s="1"/>
  <c r="D5" i="71"/>
  <c r="M20" i="43"/>
  <c r="C7" i="68" l="1"/>
  <c r="C5" i="68" s="1"/>
  <c r="C23" i="68" l="1"/>
  <c r="C20" i="68"/>
  <c r="C25" i="68" s="1"/>
  <c r="C22" i="68" l="1"/>
  <c r="C28" i="68"/>
  <c r="C27" i="68" s="1"/>
  <c r="C31" i="68" l="1"/>
  <c r="C52" i="68" s="1"/>
  <c r="C57" i="68" s="1"/>
  <c r="C56" i="68" s="1"/>
  <c r="B2" i="68" l="1"/>
  <c r="C19" i="9"/>
  <c r="G19" i="9" l="1"/>
  <c r="G21" i="9" s="1"/>
  <c r="C102" i="9"/>
  <c r="D22" i="9"/>
  <c r="C21" i="9"/>
  <c r="B3" i="68"/>
  <c r="C20" i="9"/>
  <c r="D35" i="9"/>
  <c r="D34" i="9"/>
  <c r="C103" i="9" l="1"/>
  <c r="G20" i="9"/>
  <c r="C32" i="9" s="1"/>
  <c r="C35" i="9" s="1"/>
  <c r="C34" i="9" s="1"/>
  <c r="D118" i="9" l="1"/>
  <c r="F118" i="9"/>
  <c r="G118" i="9" s="1"/>
  <c r="G4" i="52" s="1"/>
  <c r="B52" i="72" s="1"/>
  <c r="H118" i="9"/>
  <c r="D119" i="9" l="1"/>
  <c r="D5" i="52" s="1"/>
  <c r="B49" i="72" s="1"/>
  <c r="J118" i="9"/>
  <c r="F4" i="52"/>
  <c r="B51" i="72" s="1"/>
  <c r="F119" i="9"/>
  <c r="F5" i="52" s="1"/>
  <c r="B53" i="72" s="1"/>
  <c r="D4" i="52"/>
  <c r="B47" i="72" s="1"/>
  <c r="H4" i="52"/>
  <c r="D14" i="74"/>
  <c r="H119" i="9"/>
  <c r="H5" i="52" s="1"/>
  <c r="I118" i="9"/>
  <c r="H101" i="9"/>
  <c r="C104" i="9"/>
  <c r="I4" i="52" l="1"/>
  <c r="H102" i="9"/>
  <c r="D7" i="53" s="1"/>
  <c r="B21" i="72" s="1"/>
  <c r="E118" i="9"/>
  <c r="E4" i="52" s="1"/>
  <c r="B48" i="72" s="1"/>
  <c r="C105" i="9"/>
  <c r="F14" i="74"/>
  <c r="B5" i="74"/>
  <c r="E14" i="74"/>
  <c r="H107" i="9"/>
  <c r="D5" i="53"/>
  <c r="M48" i="9"/>
  <c r="D45" i="9"/>
  <c r="D13" i="53" l="1"/>
  <c r="D122" i="9"/>
  <c r="H108" i="9"/>
  <c r="D15" i="53" s="1"/>
  <c r="B31" i="72" s="1"/>
  <c r="C5" i="74"/>
  <c r="D5" i="74"/>
  <c r="D53" i="9"/>
  <c r="C93" i="9"/>
  <c r="C86" i="9" s="1"/>
  <c r="C85" i="9"/>
  <c r="D52" i="9"/>
  <c r="C78" i="9"/>
  <c r="C73" i="9" s="1"/>
  <c r="C72" i="9"/>
  <c r="C64" i="9"/>
  <c r="C63" i="9" s="1"/>
  <c r="C67" i="9" s="1"/>
  <c r="D55" i="9"/>
  <c r="M53" i="9" s="1"/>
  <c r="B20" i="72"/>
  <c r="D6" i="53"/>
  <c r="B22" i="72" s="1"/>
  <c r="C95" i="9" l="1"/>
  <c r="C96" i="9" s="1"/>
  <c r="E96" i="9" s="1"/>
  <c r="E97" i="9" s="1"/>
  <c r="C68" i="9"/>
  <c r="D54" i="9" s="1"/>
  <c r="D59" i="9"/>
  <c r="M55" i="9" s="1"/>
  <c r="G14" i="74"/>
  <c r="B6" i="74" s="1"/>
  <c r="D123" i="9"/>
  <c r="D9" i="52" s="1"/>
  <c r="D8" i="52"/>
  <c r="C79" i="9"/>
  <c r="D14" i="53"/>
  <c r="B32" i="72" s="1"/>
  <c r="B30" i="72"/>
  <c r="C80" i="9" l="1"/>
  <c r="E80" i="9" s="1"/>
  <c r="E81" i="9" s="1"/>
  <c r="C6" i="74"/>
  <c r="D6" i="74"/>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<sst xmlns="http://schemas.openxmlformats.org/spreadsheetml/2006/main" count="8492" uniqueCount="3563">
  <si>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</si>
  <si>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</si>
  <si>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</si>
  <si>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</si>
  <si>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</si>
  <si>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</si>
  <si>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</si>
  <si>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</si>
  <si>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</si>
  <si>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</si>
  <si>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</si>
  <si>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</si>
  <si>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</si>
  <si>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</si>
  <si>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</si>
  <si>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</si>
  <si>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</si>
  <si>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</si>
  <si>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</si>
  <si>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</si>
  <si>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</si>
  <si>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</si>
  <si>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</si>
  <si>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</si>
  <si>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</si>
  <si>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</si>
  <si>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</si>
  <si>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</si>
  <si>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</si>
  <si>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</si>
  <si>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</si>
  <si>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</si>
  <si>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</si>
  <si>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</si>
  <si>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</si>
  <si>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</si>
  <si>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</si>
  <si>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</si>
  <si>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</si>
  <si>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</si>
  <si>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</si>
  <si>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</si>
  <si>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</si>
  <si>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</si>
  <si>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</si>
  <si>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</si>
  <si>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</si>
  <si>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</si>
  <si>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</si>
  <si>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</si>
  <si>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</si>
  <si>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</si>
  <si>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</si>
  <si>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</si>
  <si>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</si>
  <si>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</si>
  <si>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</si>
  <si>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</si>
  <si>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</si>
  <si>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</si>
  <si>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</si>
  <si>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</si>
  <si>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</si>
  <si>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</si>
  <si>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</si>
  <si>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</si>
  <si>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</si>
  <si>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</si>
  <si>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</si>
  <si>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</si>
  <si>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</si>
  <si>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</si>
  <si>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</si>
  <si>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</si>
  <si>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</si>
  <si>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</si>
  <si>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</si>
  <si>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</si>
  <si>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</si>
  <si>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</si>
  <si>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</si>
  <si>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</si>
  <si>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</si>
  <si>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</si>
  <si>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</si>
  <si>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</si>
  <si>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</si>
  <si>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</si>
  <si>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</si>
  <si>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</si>
  <si>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</si>
  <si>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</si>
  <si>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</si>
  <si>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</si>
  <si>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</si>
  <si>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</si>
  <si>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</si>
  <si>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</si>
  <si>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</si>
  <si>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</si>
  <si>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</si>
  <si>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</si>
  <si>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</si>
  <si>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</si>
  <si>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</si>
  <si>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</si>
  <si>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</si>
  <si>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</si>
  <si>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</si>
  <si>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</si>
  <si>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</si>
  <si>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</si>
  <si>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</si>
  <si>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</si>
  <si>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</si>
  <si>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</si>
  <si>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</si>
  <si>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</si>
  <si>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</si>
  <si>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</si>
  <si>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</si>
  <si>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</si>
  <si>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</si>
  <si>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</si>
  <si>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</si>
  <si>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</si>
  <si>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</si>
  <si>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</si>
  <si>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</si>
  <si>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</si>
  <si>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</si>
  <si>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</si>
  <si>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</si>
  <si>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</si>
  <si>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</si>
  <si>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</si>
  <si>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</si>
  <si>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</si>
  <si>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</si>
  <si>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</si>
  <si>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</si>
  <si>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</si>
  <si>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</si>
  <si>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</si>
  <si>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</si>
  <si>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</si>
  <si>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</si>
  <si>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</si>
  <si>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</si>
  <si>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</si>
  <si>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</si>
  <si>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</si>
  <si>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</si>
  <si>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</si>
  <si>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</si>
  <si>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</si>
  <si>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</si>
  <si>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</si>
  <si>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</si>
  <si>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</si>
  <si>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</si>
  <si>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</si>
  <si>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</si>
  <si>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</si>
  <si>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</si>
  <si>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</si>
  <si>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</si>
  <si>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</si>
  <si>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</si>
  <si>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</si>
  <si>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</si>
  <si>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</si>
  <si>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</si>
  <si>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</si>
  <si>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</si>
  <si>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</si>
  <si>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</si>
  <si>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</si>
  <si>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</si>
  <si>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</si>
  <si>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</si>
  <si>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</si>
  <si>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</si>
  <si>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</si>
  <si>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</si>
  <si>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</si>
  <si>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</si>
  <si>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</si>
  <si>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</si>
  <si>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</si>
  <si>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</si>
  <si>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</si>
  <si>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</si>
  <si>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</si>
  <si>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</si>
  <si>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</si>
  <si>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</si>
  <si>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</si>
  <si>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</si>
  <si>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</si>
  <si>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</si>
  <si>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</si>
  <si>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</si>
  <si>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</si>
  <si>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</si>
  <si>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</si>
  <si>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</si>
  <si>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</si>
  <si>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</si>
  <si>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</si>
  <si>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</si>
  <si>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</si>
  <si>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</si>
  <si>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</si>
  <si>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</si>
  <si>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</si>
  <si>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</si>
  <si>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</si>
  <si>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</si>
  <si>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</si>
  <si>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</si>
  <si>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</si>
  <si>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</si>
  <si>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</si>
  <si>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</si>
  <si>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</si>
  <si>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</si>
  <si>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</si>
  <si>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</si>
  <si>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</si>
  <si>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</si>
  <si>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</si>
  <si>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</si>
  <si>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</si>
  <si>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</si>
  <si>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</si>
  <si>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</si>
  <si>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</si>
  <si>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</si>
  <si>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</si>
  <si>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</si>
  <si>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</si>
  <si>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</si>
  <si>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</si>
  <si>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</si>
  <si>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</si>
  <si>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</si>
  <si>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</si>
  <si>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</si>
  <si>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</si>
  <si>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</si>
  <si>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</si>
  <si>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</si>
  <si>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</si>
  <si>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</si>
  <si>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</si>
  <si>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</si>
  <si>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</si>
  <si>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</si>
  <si>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</si>
  <si>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</si>
  <si>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</si>
  <si>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</si>
  <si>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</si>
  <si>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</si>
  <si>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</si>
  <si>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</si>
  <si>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</si>
  <si>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</si>
  <si>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</si>
  <si>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</si>
  <si>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</si>
  <si>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</si>
  <si>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</si>
  <si>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</si>
  <si>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</si>
  <si>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</si>
  <si>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</si>
  <si>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</si>
  <si>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</si>
  <si>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</si>
  <si>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</si>
  <si>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</si>
  <si>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</si>
  <si>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</si>
  <si>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</si>
  <si>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</si>
  <si>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</si>
  <si>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</si>
  <si>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</si>
  <si>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</si>
  <si>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</si>
  <si>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</si>
  <si>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</si>
  <si>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</si>
  <si>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</si>
  <si>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</si>
  <si>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</si>
  <si>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</si>
  <si>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</si>
  <si>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</si>
  <si>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</si>
  <si>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</si>
  <si>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</si>
  <si>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</si>
  <si>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</si>
  <si>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</si>
  <si>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</si>
  <si>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</si>
  <si>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</si>
  <si>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</si>
  <si>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</si>
  <si>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</si>
  <si>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</si>
  <si>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</si>
  <si>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</si>
  <si>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</si>
  <si>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</si>
  <si>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</si>
  <si>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</si>
  <si>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</si>
  <si>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</si>
  <si>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</si>
  <si>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</si>
  <si>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</si>
  <si>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</si>
  <si>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</si>
  <si>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</si>
  <si>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</si>
  <si>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</si>
  <si>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</si>
  <si>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</si>
  <si>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</si>
  <si>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</si>
  <si>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</si>
  <si>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</si>
  <si>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</si>
  <si>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</si>
  <si>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</si>
  <si>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</si>
  <si>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</si>
  <si>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</si>
  <si>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</si>
  <si>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</si>
  <si>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</si>
  <si>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</si>
  <si>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</si>
  <si>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</si>
  <si>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</si>
  <si>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</si>
  <si>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</si>
  <si>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</si>
  <si>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</si>
  <si>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</si>
  <si>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</si>
  <si>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</si>
  <si>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</si>
  <si>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</si>
  <si>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</si>
  <si>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</si>
  <si>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</si>
  <si>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</si>
  <si>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</si>
  <si>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</si>
  <si>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</si>
  <si>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</si>
  <si>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</si>
  <si>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</si>
  <si>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</si>
  <si>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</si>
  <si>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</si>
  <si>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</si>
  <si>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</si>
  <si>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</si>
  <si>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</si>
  <si>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</si>
  <si>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</si>
  <si>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</si>
  <si>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</si>
  <si>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</si>
  <si>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</si>
  <si>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</si>
  <si>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</si>
  <si>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</si>
  <si>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</si>
  <si>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</si>
  <si>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</si>
  <si>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</si>
  <si>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</si>
  <si>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</si>
  <si>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</si>
  <si>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</si>
  <si>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</si>
  <si>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</si>
  <si>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</si>
  <si>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</si>
  <si>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</si>
  <si>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</si>
  <si>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</si>
  <si>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</si>
  <si>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</si>
  <si>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</si>
  <si>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</si>
  <si>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</si>
  <si>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</si>
  <si>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</si>
  <si>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</si>
  <si>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</si>
  <si>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</si>
  <si>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</si>
  <si>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</si>
  <si>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</si>
  <si>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</si>
  <si>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</si>
  <si>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</si>
  <si>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</si>
  <si>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</si>
  <si>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</si>
  <si>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</si>
  <si>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</si>
  <si>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</si>
  <si>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</si>
  <si>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</si>
  <si>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</si>
  <si>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</si>
  <si>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</si>
  <si>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</si>
  <si>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</si>
  <si>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</si>
  <si>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</si>
  <si>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</si>
  <si>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</si>
  <si>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</si>
  <si>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</si>
  <si>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</si>
  <si>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</si>
  <si>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</si>
  <si>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</si>
  <si>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</si>
  <si>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</si>
  <si>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</si>
  <si>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</si>
  <si>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</si>
  <si>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</si>
  <si>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</si>
  <si>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</si>
  <si>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</si>
  <si>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</si>
  <si>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</si>
  <si>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</si>
  <si>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</si>
  <si>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</si>
  <si>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</si>
  <si>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</si>
  <si>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</si>
  <si>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</si>
  <si>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</si>
  <si>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</si>
  <si>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</si>
  <si>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</si>
  <si>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</si>
  <si>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</si>
  <si>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</si>
  <si>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</si>
  <si>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</si>
  <si>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</si>
  <si>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</si>
  <si>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</si>
  <si>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</si>
  <si>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</si>
  <si>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</si>
  <si>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</si>
  <si>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</si>
  <si>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</si>
  <si>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</si>
  <si>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</si>
  <si>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</si>
  <si>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</si>
  <si>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</si>
  <si>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</si>
  <si>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</si>
  <si>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</si>
  <si>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</si>
  <si>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</si>
  <si>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</si>
  <si>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</si>
  <si>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</si>
  <si>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</si>
  <si>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</si>
  <si>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</si>
  <si>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</si>
  <si>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</si>
  <si>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</si>
  <si>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</si>
  <si>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</si>
  <si>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</si>
  <si>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</si>
  <si>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</si>
  <si>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</si>
  <si>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</si>
  <si>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</si>
  <si>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</si>
  <si>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</si>
  <si>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</si>
  <si>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</si>
  <si>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</si>
  <si>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</si>
  <si>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</si>
  <si>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</si>
  <si>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</si>
  <si>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</si>
  <si>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</si>
  <si>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</si>
  <si>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</si>
  <si>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</si>
  <si>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</si>
  <si>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</si>
  <si>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</si>
  <si>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</si>
  <si>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</si>
  <si>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</si>
  <si>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</si>
  <si>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</si>
  <si>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</si>
  <si>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</si>
  <si>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</si>
  <si>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</si>
  <si>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</si>
  <si>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</si>
  <si>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</si>
  <si>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</si>
  <si>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</si>
  <si>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</si>
  <si>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</si>
  <si>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</si>
  <si>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</si>
  <si>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</si>
  <si>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</si>
  <si>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</si>
  <si>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</si>
  <si>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</si>
  <si>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</si>
  <si>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</si>
  <si>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</si>
  <si>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</si>
  <si>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</si>
  <si>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</si>
  <si>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</si>
  <si>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</si>
  <si>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</si>
  <si>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</si>
  <si>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</si>
  <si>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</si>
  <si>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</si>
  <si>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</si>
  <si>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</si>
  <si>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</si>
  <si>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</si>
  <si>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</si>
  <si>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</si>
  <si>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</si>
  <si>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</si>
  <si>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</si>
  <si>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</si>
  <si>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</si>
  <si>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</si>
  <si>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</si>
  <si>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</si>
  <si>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</si>
  <si>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</si>
  <si>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</si>
  <si>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</si>
  <si>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</si>
  <si>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</si>
  <si>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</si>
  <si>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</si>
  <si>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</si>
  <si>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</si>
  <si>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</si>
  <si>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</si>
  <si>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</si>
  <si>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</si>
  <si>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</si>
  <si>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</si>
  <si>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</si>
  <si>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</si>
  <si>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</si>
  <si>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</si>
  <si>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</si>
  <si>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</si>
  <si>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</si>
  <si>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</si>
  <si>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</si>
  <si>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</si>
  <si>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</si>
  <si>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</si>
  <si>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</si>
  <si>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</si>
  <si>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</si>
  <si>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</si>
  <si>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</si>
  <si>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</si>
  <si>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</si>
  <si>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</si>
  <si>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</si>
  <si>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</si>
  <si>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</si>
  <si>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</si>
  <si>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</si>
  <si>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</si>
  <si>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</si>
  <si>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</si>
  <si>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</si>
  <si>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</si>
  <si>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</si>
  <si>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</si>
  <si>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</si>
  <si>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</si>
  <si>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</si>
  <si>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</si>
  <si>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</si>
  <si>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</si>
  <si>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</si>
  <si>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</si>
  <si>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</si>
  <si>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</si>
  <si>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</si>
  <si>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</si>
  <si>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</si>
  <si>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</si>
  <si>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</si>
  <si>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</si>
  <si>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</si>
  <si>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</si>
  <si>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</si>
  <si>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</si>
  <si>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</si>
  <si>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</si>
  <si>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</si>
  <si>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</si>
  <si>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</si>
  <si>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</si>
  <si>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</si>
  <si>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</si>
  <si>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</si>
  <si>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</si>
  <si>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</si>
  <si>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</si>
  <si>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</si>
  <si>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</si>
  <si>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</si>
  <si>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</si>
  <si>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</si>
  <si>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</si>
  <si>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</si>
  <si>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</si>
  <si>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</si>
  <si>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</si>
  <si>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</si>
  <si>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</si>
  <si>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</si>
  <si>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</si>
  <si>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</si>
  <si>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</si>
  <si>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</si>
  <si>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</si>
  <si>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</si>
  <si>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</si>
  <si>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</si>
  <si>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</si>
  <si>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</si>
  <si>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</si>
  <si>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</si>
  <si>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</si>
  <si>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</si>
  <si>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</si>
  <si>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</si>
  <si>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</si>
  <si>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</si>
  <si>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</si>
  <si>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</si>
  <si>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</si>
  <si>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</si>
  <si>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</si>
  <si>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</si>
  <si>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</si>
  <si>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</si>
  <si>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</si>
  <si>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</si>
  <si>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</si>
  <si>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</si>
  <si>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</si>
  <si>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</si>
  <si>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</si>
  <si>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</si>
  <si>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</si>
  <si>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</si>
  <si>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</si>
  <si>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</si>
  <si>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</si>
  <si>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</si>
  <si>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</si>
  <si>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</si>
  <si>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</si>
  <si>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</si>
  <si>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</si>
  <si>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</si>
  <si>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</si>
  <si>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</si>
  <si>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</si>
  <si>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</si>
  <si>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</si>
  <si>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</si>
  <si>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</si>
  <si>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</si>
  <si>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</si>
  <si>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</si>
  <si>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</si>
  <si>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</si>
  <si>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</si>
  <si>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</si>
  <si>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</si>
  <si>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</si>
  <si>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</si>
  <si>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</si>
  <si>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</si>
  <si>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</si>
  <si>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</si>
  <si>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</si>
  <si>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</si>
  <si>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</si>
  <si>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</si>
  <si>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</si>
  <si>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</si>
  <si>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</si>
  <si>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</si>
  <si>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</si>
  <si>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</si>
  <si>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</si>
  <si>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</si>
  <si>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</si>
  <si>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</si>
  <si>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</si>
  <si>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</si>
  <si>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</si>
  <si>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</si>
  <si>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</si>
  <si>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</si>
  <si>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</si>
  <si>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</si>
  <si>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</si>
  <si>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</si>
  <si>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</si>
  <si>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</si>
  <si>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</si>
  <si>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</si>
  <si>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</si>
  <si>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</si>
  <si>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</si>
  <si>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</si>
  <si>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</si>
  <si>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</si>
  <si>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</si>
  <si>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</si>
  <si>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</si>
  <si>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</si>
  <si>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</si>
  <si>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</si>
  <si>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</si>
  <si>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</si>
  <si>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</si>
  <si>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</si>
  <si>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</si>
  <si>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</si>
  <si>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</si>
  <si>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</si>
  <si>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</si>
  <si>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</si>
  <si>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</si>
  <si>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</si>
  <si>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</si>
  <si>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</si>
  <si>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</si>
  <si>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</si>
  <si>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</si>
  <si>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</si>
  <si>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</si>
  <si>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</si>
  <si>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</si>
  <si>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</si>
  <si>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</si>
  <si>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</si>
  <si>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</si>
  <si>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</si>
  <si>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</si>
  <si>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</si>
  <si>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</si>
  <si>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</si>
  <si>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</si>
  <si>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</si>
  <si>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</si>
  <si>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</si>
  <si>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</si>
  <si>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</si>
  <si>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</si>
  <si>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</si>
  <si>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</si>
  <si>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</si>
  <si>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</si>
  <si>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</si>
  <si>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</si>
  <si>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</si>
  <si>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</si>
  <si>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</si>
  <si>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</si>
  <si>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</si>
  <si>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</si>
  <si>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</si>
  <si>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</si>
  <si>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</si>
  <si>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</si>
  <si>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</si>
  <si>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</si>
  <si>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</si>
  <si>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</si>
  <si>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</si>
  <si>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</si>
  <si>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</si>
  <si>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</si>
  <si>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</si>
  <si>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</si>
  <si>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</si>
  <si>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</si>
  <si>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</si>
  <si>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</si>
  <si>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</si>
  <si>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</si>
  <si>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</si>
  <si>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</si>
  <si>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</si>
  <si>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</si>
  <si>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</si>
  <si>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</si>
  <si>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</si>
  <si>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</si>
  <si>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</si>
  <si>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</si>
  <si>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</si>
  <si>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</si>
  <si>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</si>
  <si>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</si>
  <si>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</si>
  <si>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</si>
  <si>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</si>
  <si>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</si>
  <si>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</si>
  <si>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</si>
  <si>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</si>
  <si>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</si>
  <si>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</si>
  <si>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</si>
  <si>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</si>
  <si>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</si>
  <si>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</si>
  <si>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</si>
  <si>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</si>
  <si>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</si>
  <si>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</si>
  <si>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</si>
  <si>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</si>
  <si>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</si>
  <si>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</si>
  <si>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</si>
  <si>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</si>
  <si>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</si>
  <si>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</si>
  <si>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</si>
  <si>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</si>
  <si>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</si>
  <si>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</si>
  <si>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</si>
  <si>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</si>
  <si>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</si>
  <si>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</si>
  <si>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</si>
  <si>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</si>
  <si>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</si>
  <si>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</si>
  <si>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</si>
  <si>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</si>
  <si>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</si>
  <si>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</si>
  <si>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</si>
  <si>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</si>
  <si>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</si>
  <si>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</si>
  <si>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</si>
  <si>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</si>
  <si>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</si>
  <si>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</si>
  <si>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</si>
  <si>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</si>
  <si>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</si>
  <si>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</si>
  <si>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</si>
  <si>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</si>
  <si>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</si>
  <si>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</si>
  <si>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</si>
  <si>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</si>
  <si>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</si>
  <si>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</si>
  <si>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</si>
  <si>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</si>
  <si>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</si>
  <si>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</si>
  <si>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</si>
  <si>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</si>
  <si>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</si>
  <si>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</si>
  <si>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</si>
  <si>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</si>
  <si>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</si>
  <si>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</si>
  <si>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</si>
  <si>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</si>
  <si>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</si>
  <si>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</si>
  <si>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</si>
  <si>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</si>
  <si>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</si>
  <si>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</si>
  <si>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</si>
  <si>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</si>
  <si>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</si>
  <si>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</si>
  <si>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</si>
  <si>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</si>
  <si>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</si>
  <si>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</si>
  <si>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</si>
  <si>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</si>
  <si>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</si>
  <si>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</si>
  <si>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</si>
  <si>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</si>
  <si>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</si>
  <si>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</si>
  <si>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</si>
  <si>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</si>
  <si>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</si>
  <si>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</si>
  <si>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</si>
  <si>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</si>
  <si>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</si>
  <si>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</si>
  <si>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</si>
  <si>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</si>
  <si>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</si>
  <si>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</si>
  <si>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</si>
  <si>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</si>
  <si>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</si>
  <si>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</si>
  <si>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</si>
  <si>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</si>
  <si>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</si>
  <si>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</si>
  <si>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</si>
  <si>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</si>
  <si>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</si>
  <si>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</si>
  <si>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</si>
  <si>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</si>
  <si>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</si>
  <si>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</si>
  <si>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</si>
  <si>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</si>
  <si>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</si>
  <si>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</si>
  <si>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</si>
  <si>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</si>
  <si>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</si>
  <si>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</si>
  <si>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</si>
  <si>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</si>
  <si>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</si>
  <si>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</si>
  <si>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</si>
  <si>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</si>
  <si>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</si>
  <si>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</si>
  <si>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</si>
  <si>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</si>
  <si>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</si>
  <si>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</si>
  <si>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</si>
  <si>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</si>
  <si>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</si>
  <si>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</si>
  <si>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</si>
  <si>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</si>
  <si>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</si>
  <si>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</si>
  <si>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</si>
  <si>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</si>
  <si>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</si>
  <si>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</si>
  <si>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</si>
  <si>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</si>
  <si>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</si>
  <si>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</si>
  <si>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</si>
  <si>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</si>
  <si>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</si>
  <si>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</si>
  <si>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</si>
  <si>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</si>
  <si>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</si>
  <si>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</si>
  <si>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</si>
  <si>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</si>
  <si>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</si>
  <si>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</si>
  <si>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</si>
  <si>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</si>
  <si>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</si>
  <si>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</si>
  <si>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</si>
  <si>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</si>
  <si>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</si>
  <si>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</si>
  <si>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</si>
  <si>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</si>
  <si>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</si>
  <si>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</si>
  <si>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</si>
  <si>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</si>
  <si>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</si>
  <si>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</si>
  <si>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</si>
  <si>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</si>
  <si>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</si>
  <si>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</si>
  <si>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</si>
  <si>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</si>
  <si>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</si>
  <si>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</si>
  <si>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</si>
  <si>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</si>
  <si>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</si>
  <si>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</si>
  <si>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</si>
  <si>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</si>
  <si>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</si>
  <si>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</si>
  <si>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</si>
  <si>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</si>
  <si>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</si>
  <si>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</si>
  <si>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</si>
  <si>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</si>
  <si>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</si>
  <si>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</si>
  <si>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</si>
  <si>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</si>
  <si>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</si>
  <si>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</si>
  <si>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</si>
  <si>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</si>
  <si>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</si>
  <si>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</si>
  <si>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</si>
  <si>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</si>
  <si>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</si>
  <si>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</si>
  <si>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</si>
  <si>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</si>
  <si>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</si>
  <si>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</si>
  <si>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</si>
  <si>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</si>
  <si>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</si>
  <si>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</si>
  <si>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</si>
  <si>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</si>
  <si>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</si>
  <si>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</si>
  <si>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</si>
  <si>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</si>
  <si>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</si>
  <si>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</si>
  <si>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</si>
  <si>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</si>
  <si>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</si>
  <si>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</si>
  <si>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</si>
  <si>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</si>
  <si>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</si>
  <si>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</si>
  <si>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</si>
  <si>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</si>
  <si>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</si>
  <si>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</si>
  <si>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</si>
  <si>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</si>
  <si>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</si>
  <si>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</si>
  <si>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</si>
  <si>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</si>
  <si>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</si>
  <si>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</si>
  <si>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</si>
  <si>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</si>
  <si>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</si>
  <si>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</si>
  <si>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</si>
  <si>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</si>
  <si>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</si>
  <si>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</si>
  <si>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</si>
  <si>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</si>
  <si>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</si>
  <si>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</si>
  <si>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</si>
  <si>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</si>
  <si>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</si>
  <si>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</si>
  <si>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</si>
  <si>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</si>
  <si>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</si>
  <si>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</si>
  <si>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</si>
  <si>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</si>
  <si>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</si>
  <si>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</si>
  <si>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</si>
  <si>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</si>
  <si>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</si>
  <si>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</si>
  <si>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</si>
  <si>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</si>
  <si>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</si>
  <si>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</si>
  <si>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</si>
  <si>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</si>
  <si>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</si>
  <si>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</si>
  <si>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</si>
  <si>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</si>
  <si>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</si>
  <si>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</si>
  <si>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</si>
  <si>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</si>
  <si>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</si>
  <si>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</si>
  <si>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</si>
  <si>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</si>
  <si>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</si>
  <si>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</si>
  <si>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</si>
  <si>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</si>
  <si>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</si>
  <si>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</si>
  <si>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</si>
  <si>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</si>
  <si>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</si>
  <si>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</si>
  <si>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</si>
  <si>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</si>
  <si>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</si>
  <si>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</si>
  <si>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</si>
  <si>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</si>
  <si>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</si>
  <si>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</si>
  <si>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</si>
  <si>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</si>
  <si>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</si>
  <si>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</si>
  <si>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</si>
  <si>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</si>
  <si>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</si>
  <si>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</si>
  <si>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</si>
  <si>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</si>
  <si>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</si>
  <si>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</si>
  <si>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</si>
  <si>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</si>
  <si>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</si>
  <si>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</si>
  <si>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</si>
  <si>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</si>
  <si>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</si>
  <si>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</si>
  <si>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</si>
  <si>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</si>
  <si>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</si>
  <si>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</si>
  <si>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</si>
  <si>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</si>
  <si>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</si>
  <si>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</si>
  <si>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</si>
  <si>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</si>
  <si>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</si>
  <si>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</si>
  <si>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</si>
  <si>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</si>
  <si>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</si>
  <si>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</si>
  <si>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</si>
  <si>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</si>
  <si>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</si>
  <si>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</si>
  <si>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</si>
  <si>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</si>
  <si>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</si>
  <si>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</si>
  <si>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</si>
  <si>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</si>
  <si>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</si>
  <si>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</si>
  <si>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</si>
  <si>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</si>
  <si>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</si>
  <si>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</si>
  <si>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</si>
  <si>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</si>
  <si>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</si>
  <si>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</si>
  <si>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</si>
  <si>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</si>
  <si>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</si>
  <si>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</si>
  <si>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</si>
  <si>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</si>
  <si>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</si>
  <si>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</si>
  <si>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</si>
  <si>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</si>
  <si>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</si>
  <si>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</si>
  <si>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</si>
  <si>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</si>
  <si>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</si>
  <si>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</si>
  <si>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</si>
  <si>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</si>
  <si>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</si>
  <si>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</si>
  <si>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</si>
  <si>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</si>
  <si>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</si>
  <si>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</si>
  <si>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</si>
  <si>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</si>
  <si>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</si>
  <si>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</si>
  <si>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</si>
  <si>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</si>
  <si>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</si>
  <si>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</si>
  <si>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</si>
  <si>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</si>
  <si>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</si>
  <si>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</si>
  <si>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</si>
  <si>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</si>
  <si>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</si>
  <si>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</si>
  <si>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</si>
  <si>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</si>
  <si>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</si>
  <si>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</si>
  <si>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</si>
  <si>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</si>
  <si>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</si>
  <si>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</si>
  <si>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</si>
  <si>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</si>
  <si>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</si>
  <si>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</si>
  <si>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</si>
  <si>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</si>
  <si>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</si>
  <si>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</si>
  <si>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</si>
  <si>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</si>
  <si>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</si>
  <si>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</si>
  <si>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</si>
  <si>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</si>
  <si>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</si>
  <si>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</si>
  <si>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</si>
  <si>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</si>
  <si>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</si>
  <si>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</si>
  <si>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</si>
  <si>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</si>
  <si>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</si>
  <si>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</si>
  <si>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</si>
  <si>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</si>
  <si>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</si>
  <si>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</si>
  <si>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</si>
  <si>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</si>
  <si>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</si>
  <si>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</si>
  <si>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</si>
  <si>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</si>
  <si>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</si>
  <si>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</si>
  <si>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</si>
  <si>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</si>
  <si>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</si>
  <si>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</si>
  <si>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</si>
  <si>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</si>
  <si>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</si>
  <si>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</si>
  <si>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</si>
  <si>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</si>
  <si>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</si>
  <si>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</si>
  <si>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</si>
  <si>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</si>
  <si>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</si>
  <si>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</si>
  <si>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</si>
  <si>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</si>
  <si>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</si>
  <si>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</si>
  <si>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</si>
  <si>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</si>
  <si>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</si>
  <si>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</si>
  <si>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</si>
  <si>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</si>
  <si>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</si>
  <si>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</si>
  <si>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</si>
  <si>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</si>
  <si>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</si>
  <si>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</si>
  <si>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</si>
  <si>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</si>
  <si>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</si>
  <si>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</si>
  <si>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</si>
  <si>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</si>
  <si>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</si>
  <si>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</si>
  <si>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</si>
  <si>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</si>
  <si>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</si>
  <si>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</si>
  <si>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</si>
  <si>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</si>
  <si>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</si>
  <si>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</si>
  <si>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</si>
  <si>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</si>
  <si>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</si>
  <si>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</si>
  <si>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</si>
  <si>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</si>
  <si>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</si>
  <si>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</si>
  <si>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</si>
  <si>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</si>
  <si>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</si>
  <si>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</si>
  <si>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</si>
  <si>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</si>
  <si>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</si>
  <si>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</si>
  <si>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</si>
  <si>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</si>
  <si>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</si>
  <si>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</si>
  <si>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</si>
  <si>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</si>
  <si>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</si>
  <si>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</si>
  <si>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</si>
  <si>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</si>
  <si>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</si>
  <si>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</si>
  <si>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</si>
  <si>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</si>
  <si>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</si>
  <si>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</si>
  <si>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</si>
  <si>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</si>
  <si>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</si>
  <si>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</si>
  <si>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</si>
  <si>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</si>
  <si>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</si>
  <si>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</si>
  <si>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</si>
  <si>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</si>
  <si>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</si>
  <si>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</si>
  <si>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</si>
  <si>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</si>
  <si>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</si>
  <si>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</si>
  <si>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</si>
  <si>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</si>
  <si>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</si>
  <si>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</si>
  <si>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</si>
  <si>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</si>
  <si>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</si>
  <si>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</si>
  <si>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</si>
  <si>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</si>
  <si>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</si>
  <si>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</si>
  <si>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</si>
  <si>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</si>
  <si>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</si>
  <si>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</si>
  <si>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</si>
  <si>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</si>
  <si>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</si>
  <si>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</si>
  <si>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</si>
  <si>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</si>
  <si>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</si>
  <si>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</si>
  <si>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</si>
  <si>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</si>
  <si>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</si>
  <si>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</si>
  <si>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</si>
  <si>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</si>
  <si>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</si>
  <si>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</si>
  <si>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</si>
  <si>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</si>
  <si>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</si>
  <si>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</si>
  <si>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</si>
  <si>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</si>
  <si>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</si>
  <si>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</si>
  <si>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</si>
  <si>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</si>
  <si>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</si>
  <si>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</si>
  <si>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</si>
  <si>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</si>
  <si>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</si>
  <si>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</si>
  <si>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</si>
  <si>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</si>
  <si>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</si>
  <si>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</si>
  <si>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</si>
  <si>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</si>
  <si>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</si>
  <si>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</si>
  <si>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</si>
  <si>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</si>
  <si>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</si>
  <si>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</si>
  <si>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</si>
  <si>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</si>
  <si>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</si>
  <si>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</si>
  <si>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</si>
  <si>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</si>
  <si>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</si>
  <si>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</si>
  <si>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</si>
  <si>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</si>
  <si>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</si>
  <si>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</si>
  <si>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</si>
  <si>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</si>
  <si>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</si>
  <si>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</si>
  <si>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</si>
  <si>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</si>
  <si>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</si>
  <si>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</si>
  <si>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</si>
  <si>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</si>
  <si>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</si>
  <si>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</si>
  <si>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</si>
  <si>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</si>
  <si>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</si>
  <si>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</si>
  <si>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</si>
  <si>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</si>
  <si>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</si>
  <si>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</si>
  <si>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</si>
  <si>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</si>
  <si>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</si>
  <si>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</si>
  <si>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</si>
  <si>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</si>
  <si>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</si>
  <si>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</si>
  <si>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</si>
  <si>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</si>
  <si>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</si>
  <si>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</si>
  <si>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</si>
  <si>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</si>
  <si>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</si>
  <si>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</si>
  <si>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</si>
  <si>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</si>
  <si>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</si>
  <si>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</si>
  <si>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</si>
  <si>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</si>
  <si>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</si>
  <si>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</si>
  <si>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</si>
  <si>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</si>
  <si>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</si>
  <si>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</si>
  <si>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</si>
  <si>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</si>
  <si>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</si>
  <si>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</si>
  <si>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</si>
  <si>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</si>
  <si>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</si>
  <si>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</si>
  <si>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</si>
  <si>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</si>
  <si>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</si>
  <si>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</si>
  <si>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</si>
  <si>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</si>
  <si>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</si>
  <si>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</si>
  <si>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</si>
  <si>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</si>
  <si>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</si>
  <si>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</si>
  <si>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</si>
  <si>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</si>
  <si>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</si>
  <si>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</si>
  <si>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</si>
  <si>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</si>
  <si>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</si>
  <si>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</si>
  <si>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</si>
  <si>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</si>
  <si>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</si>
  <si>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</si>
  <si>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</si>
  <si>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</si>
  <si>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</si>
  <si>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</si>
  <si>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</si>
  <si>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</si>
  <si>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</si>
  <si>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</si>
  <si>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</si>
  <si>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</si>
  <si>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</si>
  <si>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</si>
  <si>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</si>
  <si>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</si>
  <si>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</si>
  <si>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</si>
  <si>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</si>
  <si>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</si>
  <si>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</si>
  <si>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</si>
  <si>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</si>
  <si>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</si>
  <si>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</si>
  <si>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</si>
  <si>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</si>
  <si>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</si>
  <si>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</si>
  <si>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</si>
  <si>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</si>
  <si>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</si>
  <si>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</si>
  <si>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</si>
  <si>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</si>
  <si>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</si>
  <si>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</si>
  <si>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</si>
  <si>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</si>
  <si>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</si>
  <si>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</si>
  <si>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</si>
  <si>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</si>
  <si>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</si>
  <si>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</si>
  <si>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</si>
  <si>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</si>
  <si>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</si>
  <si>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</si>
  <si>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</si>
  <si>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</si>
  <si>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</si>
  <si>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</si>
  <si>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</si>
  <si>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</si>
  <si>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</si>
  <si>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</si>
  <si>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</si>
  <si>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</si>
  <si>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</si>
  <si>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</si>
  <si>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</si>
  <si>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</si>
  <si>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</si>
  <si>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</si>
  <si>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</si>
  <si>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</si>
  <si>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</si>
  <si>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</si>
  <si>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</si>
  <si>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</si>
  <si>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</si>
  <si>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</si>
  <si>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</si>
  <si>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</si>
  <si>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</si>
  <si>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</si>
  <si>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</si>
  <si>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</si>
  <si>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</si>
  <si>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</si>
  <si>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</si>
  <si>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</si>
  <si>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</si>
  <si>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</si>
  <si>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</si>
  <si>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</si>
  <si>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</si>
  <si>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</si>
  <si>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</si>
  <si>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</si>
  <si>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</si>
  <si>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</si>
  <si>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</si>
  <si>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</si>
  <si>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</si>
  <si>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</si>
  <si>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</si>
  <si>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</si>
  <si>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</si>
  <si>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</si>
  <si>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</si>
  <si>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</si>
  <si>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</si>
  <si>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</si>
  <si>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</si>
  <si>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</si>
  <si>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</si>
  <si>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</si>
  <si>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</si>
  <si>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</si>
  <si>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</si>
  <si>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</si>
  <si>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</si>
  <si>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</si>
  <si>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</si>
  <si>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</si>
  <si>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</si>
  <si>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</si>
  <si>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</si>
  <si>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</si>
  <si>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</si>
  <si>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</si>
  <si>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</si>
  <si>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</si>
  <si>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</si>
  <si>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</si>
  <si>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</si>
  <si>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</si>
  <si>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</si>
  <si>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</si>
  <si>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</si>
  <si>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</si>
  <si>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</si>
  <si>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</si>
  <si>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</si>
  <si>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</si>
  <si>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</si>
  <si>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</si>
  <si>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</si>
  <si>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</si>
  <si>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</si>
  <si>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</si>
  <si>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</si>
  <si>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</si>
  <si>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</si>
  <si>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</si>
  <si>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</si>
  <si>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</si>
  <si>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</si>
  <si>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</si>
  <si>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</si>
  <si>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</si>
  <si>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</si>
  <si>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</si>
  <si>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</si>
  <si>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</si>
  <si>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</si>
  <si>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</si>
  <si>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</si>
  <si>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</si>
  <si>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</si>
  <si>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</si>
  <si>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</si>
  <si>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</si>
  <si>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</si>
  <si>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</si>
  <si>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</si>
  <si>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</si>
  <si>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</si>
  <si>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</si>
  <si>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</si>
  <si>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</si>
  <si>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</si>
  <si>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</si>
  <si>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</si>
  <si>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</si>
  <si>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</si>
  <si>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</si>
  <si>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</si>
  <si>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</si>
  <si>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</si>
  <si>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</si>
  <si>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</si>
  <si>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</si>
  <si>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</si>
  <si>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</si>
  <si>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</si>
  <si>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</si>
  <si>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</si>
  <si>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</si>
  <si>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</si>
  <si>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</si>
  <si>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</si>
  <si>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</si>
  <si>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</si>
  <si>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</si>
  <si>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</si>
  <si>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</si>
  <si>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</si>
  <si>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</si>
  <si>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</si>
  <si>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</si>
  <si>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</si>
  <si>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</si>
  <si>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</si>
  <si>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</si>
  <si>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</si>
  <si>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</si>
  <si>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</si>
  <si>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</si>
  <si>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</si>
  <si>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</si>
  <si>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</si>
  <si>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</si>
  <si>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</si>
  <si>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</si>
  <si>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</si>
  <si>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</si>
  <si>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</si>
  <si>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</si>
  <si>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</si>
  <si>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</si>
  <si>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</si>
  <si>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</si>
  <si>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</si>
  <si>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</si>
  <si>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</si>
  <si>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</si>
  <si>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</si>
  <si>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</si>
  <si>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</si>
  <si>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</si>
  <si>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</si>
  <si>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</si>
  <si>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</si>
  <si>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</si>
  <si>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</si>
  <si>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</si>
  <si>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</si>
  <si>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</si>
  <si>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</si>
  <si>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</si>
  <si>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</si>
  <si>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</si>
  <si>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</si>
  <si>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</si>
  <si>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</si>
  <si>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</si>
  <si>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</si>
  <si>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</si>
  <si>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</si>
  <si>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</si>
  <si>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</si>
  <si>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</si>
  <si>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</si>
  <si>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</si>
  <si>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</si>
  <si>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</si>
  <si>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</si>
  <si>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</si>
  <si>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</si>
  <si>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</si>
  <si>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</si>
  <si>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</si>
  <si>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</si>
  <si>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</si>
  <si>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</si>
  <si>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</si>
  <si>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</si>
  <si>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</si>
  <si>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</si>
  <si>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</si>
  <si>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</si>
  <si>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</si>
  <si>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</si>
  <si>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</si>
  <si>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</si>
  <si>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</si>
  <si>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</si>
  <si>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</si>
  <si>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</si>
  <si>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</si>
  <si>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</si>
  <si>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</si>
  <si>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</si>
  <si>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</si>
  <si>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</si>
  <si>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</si>
  <si>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</si>
  <si>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</si>
  <si>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</si>
  <si>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</si>
  <si>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</si>
  <si>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</si>
  <si>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</si>
  <si>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</si>
  <si>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</si>
  <si>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</si>
  <si>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</si>
  <si>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</si>
  <si>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</si>
  <si>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</si>
  <si>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</si>
  <si>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</si>
  <si>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</si>
  <si>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</si>
  <si>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</si>
  <si>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</si>
  <si>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</si>
  <si>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</si>
  <si>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</si>
  <si>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</si>
  <si>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</si>
  <si>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</si>
  <si>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</si>
  <si>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</si>
  <si>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</si>
  <si>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</si>
  <si>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</si>
  <si>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</si>
  <si>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</si>
  <si>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</si>
  <si>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</si>
  <si>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</si>
  <si>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</si>
  <si>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</si>
  <si>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</si>
  <si>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</si>
  <si>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</si>
  <si>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</si>
  <si>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</si>
  <si>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</si>
  <si>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</si>
  <si>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</si>
  <si>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</si>
  <si>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</si>
  <si>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</si>
  <si>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</si>
  <si>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</si>
  <si>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</si>
  <si>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</si>
  <si>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</si>
  <si>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</si>
  <si>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</si>
  <si>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</si>
  <si>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</si>
  <si>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</si>
  <si>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</si>
  <si>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</si>
  <si>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</si>
  <si>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</si>
  <si>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</si>
  <si>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</si>
  <si>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</si>
  <si>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</si>
  <si>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</si>
  <si>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</si>
  <si>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</si>
  <si>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</si>
  <si>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</si>
  <si>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</si>
  <si>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</si>
  <si>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</si>
  <si>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</si>
  <si>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</si>
  <si>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</si>
  <si>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</si>
  <si>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</si>
  <si>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</si>
  <si>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</si>
  <si>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</si>
  <si>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</si>
  <si>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</si>
  <si>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</si>
  <si>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</si>
  <si>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</si>
  <si>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</si>
  <si>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</si>
  <si>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</si>
  <si>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</si>
  <si>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</si>
  <si>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</si>
  <si>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</si>
  <si>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</si>
  <si>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</si>
  <si>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</si>
  <si>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</si>
  <si>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</si>
  <si>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</si>
  <si>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</si>
  <si>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</si>
  <si>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</si>
  <si>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</si>
  <si>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</si>
  <si>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</si>
  <si>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</si>
  <si>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</si>
  <si>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</si>
  <si>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</si>
  <si>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</si>
  <si>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</si>
  <si>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</si>
  <si>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</si>
  <si>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</si>
  <si>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</si>
  <si>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</si>
  <si>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</si>
  <si>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</si>
  <si>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</si>
  <si>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</si>
  <si>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</si>
  <si>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</si>
  <si>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</si>
  <si>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</si>
  <si>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</si>
  <si>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</si>
  <si>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</si>
  <si>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</si>
  <si>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</si>
  <si>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</si>
  <si>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</si>
  <si>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</si>
  <si>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</si>
  <si>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</si>
  <si>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</si>
  <si>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</si>
  <si>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</si>
  <si>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</si>
  <si>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</si>
  <si>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</si>
  <si>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</si>
  <si>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</si>
  <si>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</si>
  <si>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</si>
  <si>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</si>
  <si>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</si>
  <si>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</si>
  <si>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</si>
  <si>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</si>
  <si>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</si>
  <si>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</si>
  <si>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</si>
  <si>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</si>
  <si>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</si>
  <si>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</si>
  <si>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</si>
  <si>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</si>
  <si>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</si>
  <si>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</si>
  <si>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</si>
  <si>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</si>
  <si>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</si>
  <si>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</si>
  <si>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</si>
  <si>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</si>
  <si>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</si>
  <si>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</si>
  <si>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</si>
  <si>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</si>
  <si>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</si>
  <si>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</si>
  <si>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</si>
  <si>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</si>
  <si>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</si>
  <si>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</si>
  <si>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</si>
  <si>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</si>
  <si>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</si>
  <si>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</si>
  <si>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</si>
  <si>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</si>
  <si>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</si>
  <si>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</si>
  <si>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</si>
  <si>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</si>
  <si>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</si>
  <si>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</si>
  <si>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</si>
  <si>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</si>
  <si>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</si>
  <si>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</si>
  <si>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</si>
  <si>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</si>
  <si>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</si>
  <si>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</si>
  <si>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</si>
  <si>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</si>
  <si>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</si>
  <si>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</si>
  <si>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</si>
  <si>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</si>
  <si>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</si>
  <si>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</si>
  <si>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</si>
  <si>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</si>
  <si>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</si>
  <si>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</si>
  <si>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</si>
  <si>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</si>
  <si>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</si>
  <si>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</si>
  <si>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</si>
  <si>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</si>
  <si>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</si>
  <si>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</si>
  <si>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</si>
  <si>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</si>
  <si>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</si>
  <si>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</si>
  <si>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</si>
  <si>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</si>
  <si>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</si>
  <si>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</si>
  <si>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</si>
  <si>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</si>
  <si>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</si>
  <si>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</si>
  <si>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</si>
  <si>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</si>
  <si>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</si>
  <si>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</si>
  <si>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</si>
  <si>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</si>
  <si>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</si>
  <si>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</si>
  <si>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</si>
  <si>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</si>
  <si>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</si>
  <si>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</si>
  <si>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</si>
  <si>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</si>
  <si>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</si>
  <si>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</si>
  <si>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</si>
  <si>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</si>
  <si>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</si>
  <si>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</si>
  <si>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</si>
  <si>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</si>
  <si>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</si>
  <si>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</si>
  <si>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</si>
  <si>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</si>
  <si>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</si>
  <si>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</si>
  <si>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</si>
  <si>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</si>
  <si>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</si>
  <si>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</si>
  <si>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</si>
  <si>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</si>
  <si>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</si>
  <si>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</si>
  <si>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</si>
  <si>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</si>
  <si>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</si>
  <si>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</si>
  <si>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</si>
  <si>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</si>
  <si>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</si>
  <si>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</si>
  <si>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</si>
  <si>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</si>
  <si>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</si>
  <si>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</si>
  <si>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</si>
  <si>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</si>
  <si>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</si>
  <si>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</si>
  <si>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</si>
  <si>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</si>
  <si>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</si>
  <si>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</si>
  <si>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</si>
  <si>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</si>
  <si>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</si>
  <si>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</si>
  <si>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</si>
  <si>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</si>
  <si>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</si>
  <si>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</si>
  <si>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</si>
  <si>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</si>
  <si>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</si>
  <si>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</si>
  <si>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</si>
  <si>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</si>
  <si>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</si>
  <si>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</si>
  <si>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</si>
  <si>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</si>
  <si>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</si>
  <si>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</si>
  <si>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</si>
  <si>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</si>
  <si>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</si>
  <si>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</si>
  <si>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</si>
  <si>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</si>
  <si>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</si>
  <si>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</si>
  <si>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</si>
  <si>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</si>
  <si>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</si>
  <si>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</si>
  <si>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</si>
  <si>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</si>
  <si>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</si>
  <si>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</si>
  <si>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</si>
  <si>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</si>
  <si>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</si>
  <si>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</si>
  <si>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</si>
  <si>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</si>
  <si>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</si>
  <si>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</si>
  <si>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</si>
  <si>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</si>
  <si>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</si>
  <si>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</si>
  <si>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</si>
  <si>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</si>
  <si>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</si>
  <si>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</si>
  <si>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</si>
  <si>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</si>
  <si>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</si>
  <si>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</si>
  <si>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</si>
  <si>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</si>
  <si>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</si>
  <si>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</si>
  <si>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</si>
  <si>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</si>
  <si>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</si>
  <si>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</si>
  <si>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</si>
  <si>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</si>
  <si>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</si>
  <si>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</si>
  <si>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</si>
  <si>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</si>
  <si>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</si>
  <si>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</si>
  <si>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</si>
  <si>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</si>
  <si>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</si>
  <si>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</si>
  <si>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</si>
  <si>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</si>
  <si>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</si>
  <si>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</si>
  <si>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</si>
  <si>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</si>
  <si>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</si>
  <si>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</si>
  <si>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</si>
  <si>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</si>
  <si>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</si>
  <si>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</si>
  <si>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</si>
  <si>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</si>
  <si>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</si>
  <si>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</si>
  <si>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</si>
  <si>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</si>
  <si>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</si>
  <si>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</si>
  <si>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</si>
  <si>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</si>
  <si>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</si>
  <si>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</si>
  <si>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</si>
  <si>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</si>
  <si>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</si>
  <si>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</si>
  <si>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</si>
  <si>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</si>
  <si>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</si>
  <si>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</si>
  <si>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</si>
  <si>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</si>
  <si>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</si>
  <si>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</si>
  <si>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</si>
  <si>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</si>
  <si>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</si>
  <si>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</si>
  <si>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</si>
  <si>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</si>
  <si>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</si>
  <si>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</si>
  <si>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</si>
  <si>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</si>
  <si>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</si>
  <si>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</si>
  <si>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</si>
  <si>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</si>
  <si>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</si>
  <si>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</si>
  <si>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</si>
  <si>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</si>
  <si>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</si>
  <si>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</si>
  <si>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</si>
  <si>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</si>
  <si>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</si>
  <si>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</si>
  <si>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</si>
  <si>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</si>
  <si>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</si>
  <si>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</si>
  <si>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</si>
  <si>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</si>
  <si>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</si>
  <si>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</si>
  <si>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</si>
  <si>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</si>
  <si>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</si>
  <si>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</si>
  <si>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</si>
  <si>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</si>
  <si>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</si>
  <si>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</si>
  <si>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</si>
  <si>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</si>
  <si>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</si>
  <si>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</si>
  <si>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</si>
  <si>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</si>
  <si>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</si>
  <si>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</si>
  <si>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</si>
  <si>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</si>
  <si>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</si>
  <si>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</si>
  <si>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</si>
  <si>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</si>
  <si>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</si>
  <si>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</si>
  <si>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</si>
  <si>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</si>
  <si>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</si>
  <si>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</si>
  <si>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</si>
  <si>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</si>
  <si>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</si>
  <si>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</si>
  <si>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</si>
  <si>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</si>
  <si>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</si>
  <si>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</si>
  <si>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</si>
  <si>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</si>
  <si>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</si>
  <si>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</si>
  <si>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</si>
  <si>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</si>
  <si>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</si>
  <si>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</si>
  <si>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</si>
  <si>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</si>
  <si>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</si>
  <si>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</si>
  <si>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</si>
  <si>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</si>
  <si>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</si>
  <si>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</si>
  <si>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</si>
  <si>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</si>
  <si>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</si>
  <si>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</si>
  <si>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</si>
  <si>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</si>
  <si>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</si>
  <si>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</si>
  <si>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</si>
  <si>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</si>
  <si>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</si>
  <si>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</si>
  <si>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</si>
  <si>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</si>
  <si>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</si>
  <si>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</si>
  <si>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</si>
  <si>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</si>
  <si>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</si>
  <si>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</si>
  <si>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</si>
  <si>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</si>
  <si>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</si>
  <si>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</si>
  <si>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</si>
  <si>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</si>
  <si>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</si>
  <si>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</si>
  <si>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</si>
  <si>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</si>
  <si>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</si>
  <si>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</si>
  <si>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</si>
  <si>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</si>
  <si>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</si>
  <si>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</si>
  <si>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</si>
  <si>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</si>
  <si>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</si>
  <si>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</si>
  <si>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</si>
  <si>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</si>
  <si>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</si>
  <si>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</si>
  <si>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</si>
  <si>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</si>
  <si>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</si>
  <si>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</si>
  <si>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</si>
  <si>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</si>
  <si>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</si>
  <si>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</si>
  <si>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</si>
  <si>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</si>
  <si>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</si>
  <si>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</si>
  <si>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</si>
  <si>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</si>
  <si>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</si>
  <si>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</si>
  <si>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</si>
  <si>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</si>
  <si>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</si>
  <si>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</si>
  <si>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</si>
  <si>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</si>
  <si>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</si>
  <si>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</si>
  <si>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</si>
  <si>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</si>
  <si>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</si>
  <si>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</si>
  <si>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</si>
  <si>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</si>
  <si>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</si>
  <si>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</si>
  <si>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</si>
  <si>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</si>
  <si>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</si>
  <si>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</si>
  <si>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</si>
  <si>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</si>
  <si>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</si>
  <si>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</si>
  <si>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</si>
  <si>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</si>
  <si>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</si>
  <si>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</si>
  <si>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</si>
  <si>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</si>
  <si>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</si>
  <si>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</si>
  <si>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</si>
  <si>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</si>
  <si>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</si>
  <si>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</si>
  <si>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</si>
  <si>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</si>
  <si>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</si>
  <si>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</si>
  <si>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</si>
  <si>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</si>
  <si>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</si>
  <si>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</si>
  <si>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</si>
  <si>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</si>
  <si>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</si>
  <si>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</si>
  <si>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</si>
  <si>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</si>
  <si>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</si>
  <si>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</si>
  <si>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</si>
  <si>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</si>
  <si>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</si>
  <si>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</si>
  <si>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</si>
  <si>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</si>
  <si>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</si>
  <si>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</si>
  <si>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</si>
  <si>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</si>
  <si>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</si>
  <si>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</si>
  <si>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</si>
  <si>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</si>
  <si>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</si>
  <si>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</si>
  <si>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</si>
  <si>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</si>
  <si>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</si>
  <si>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</si>
  <si>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</si>
  <si>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</si>
  <si>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</si>
  <si>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</si>
  <si>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</si>
  <si>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</si>
  <si>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</si>
  <si>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</si>
  <si>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</si>
  <si>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</si>
  <si>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</si>
  <si>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</si>
  <si>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</si>
  <si>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</si>
  <si>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</si>
  <si>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</si>
  <si>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</si>
  <si>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</si>
  <si>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</si>
  <si>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</si>
  <si>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</si>
  <si>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</si>
  <si>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</si>
  <si>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</si>
  <si>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</si>
  <si>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</si>
  <si>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</si>
  <si>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</si>
  <si>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</si>
  <si>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</si>
  <si>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</si>
  <si>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</si>
  <si>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</si>
  <si>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</si>
  <si>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</si>
  <si>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</si>
  <si>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</si>
  <si>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</si>
  <si>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</si>
  <si>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</si>
  <si>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</si>
  <si>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</si>
  <si>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</si>
  <si>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</si>
  <si>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</si>
  <si>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</si>
  <si>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</si>
  <si>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</si>
  <si>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</si>
  <si>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</si>
  <si>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</si>
  <si>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</si>
  <si>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</si>
  <si>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</si>
  <si>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</si>
  <si>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</si>
  <si>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</si>
  <si>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</si>
  <si>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</si>
  <si>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</si>
  <si>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</si>
  <si>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</si>
  <si>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</si>
  <si>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</si>
  <si>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</si>
  <si>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</si>
  <si>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</si>
  <si>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</si>
  <si>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</si>
  <si>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</si>
  <si>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</si>
  <si>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</si>
  <si>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</si>
  <si>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</si>
  <si>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</si>
  <si>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</si>
  <si>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</si>
  <si>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</si>
  <si>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</si>
  <si>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</si>
  <si>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</si>
  <si>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</si>
  <si>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</si>
  <si>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</si>
  <si>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</si>
  <si>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</si>
  <si>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</si>
  <si>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</si>
  <si>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</si>
  <si>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</si>
  <si>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</si>
  <si>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</si>
  <si>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</si>
  <si>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</si>
  <si>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</si>
  <si>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</si>
  <si>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</si>
  <si>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</si>
  <si>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</si>
  <si>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</si>
  <si>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</si>
  <si>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</si>
  <si>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</si>
  <si>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</si>
  <si>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</si>
  <si>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</si>
  <si>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</si>
  <si>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</si>
  <si>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</si>
  <si>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</si>
  <si>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</si>
  <si>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</si>
  <si>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</si>
  <si>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</si>
  <si>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</si>
  <si>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</si>
  <si>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</si>
  <si>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</si>
  <si>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</si>
  <si>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</si>
  <si>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</si>
  <si>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</si>
  <si>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</si>
  <si>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</si>
  <si>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</si>
  <si>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</si>
  <si>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</si>
  <si>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</si>
  <si>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</si>
  <si>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</si>
  <si>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</si>
  <si>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</si>
  <si>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</si>
  <si>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</si>
  <si>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</si>
  <si>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</si>
  <si>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</si>
  <si>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</si>
  <si>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</si>
  <si>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</si>
  <si>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</si>
  <si>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</si>
  <si>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</si>
  <si>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</si>
  <si>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</si>
  <si>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</si>
  <si>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</si>
  <si>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</si>
  <si>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</si>
  <si>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</si>
  <si>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</si>
  <si>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</si>
  <si>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</si>
  <si>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</si>
  <si>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</si>
  <si>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</si>
  <si>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</si>
  <si>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</si>
  <si>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</si>
  <si>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</si>
  <si>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</si>
  <si>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</si>
  <si>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</si>
  <si>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</si>
  <si>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</si>
  <si>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</si>
  <si>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</si>
  <si>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</si>
  <si>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</si>
  <si>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</si>
  <si>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</si>
  <si>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</si>
  <si>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</si>
  <si>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</si>
  <si>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</si>
  <si>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</si>
  <si>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</si>
  <si>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</si>
  <si>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</si>
  <si>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</si>
  <si>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</si>
  <si>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</si>
  <si>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</si>
  <si>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</si>
  <si>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</si>
  <si>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</si>
  <si>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</si>
  <si>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</si>
  <si>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</si>
  <si>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</si>
  <si>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</si>
  <si>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</si>
  <si>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</si>
  <si>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</si>
  <si>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</si>
  <si>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</si>
  <si>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</si>
  <si>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</si>
  <si>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</si>
  <si>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</si>
  <si>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</si>
  <si>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</si>
  <si>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</si>
  <si>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</si>
  <si>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</si>
  <si>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</si>
  <si>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</si>
  <si>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</si>
  <si>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</si>
  <si>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</si>
  <si>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</si>
  <si>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</si>
  <si>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</si>
  <si>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</si>
  <si>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</si>
  <si>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</si>
  <si>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</si>
  <si>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</si>
  <si>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</si>
  <si>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</si>
  <si>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</si>
  <si>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</si>
  <si>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</si>
  <si>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</si>
  <si>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</si>
  <si>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</si>
  <si>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</si>
  <si>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</si>
  <si>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</si>
  <si>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</si>
  <si>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</si>
  <si>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</si>
  <si>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</si>
  <si>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</si>
  <si>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</si>
  <si>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</si>
  <si>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</si>
  <si>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</si>
  <si>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</si>
  <si>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</si>
  <si>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</si>
  <si>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</si>
  <si>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</si>
  <si>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</si>
  <si>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</si>
  <si>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</si>
  <si>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</si>
  <si>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</si>
  <si>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</si>
  <si>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</si>
  <si>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</si>
  <si>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</si>
  <si>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</si>
  <si>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</si>
  <si>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</si>
  <si>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</si>
  <si>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</si>
  <si>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</si>
  <si>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</si>
  <si>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</si>
  <si>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</si>
  <si>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</si>
  <si>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</si>
  <si>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</si>
  <si>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</si>
  <si>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</si>
  <si>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</si>
  <si>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</si>
  <si>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</si>
  <si>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</si>
  <si>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</si>
  <si>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</si>
  <si>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</si>
  <si>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</si>
  <si>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</si>
  <si>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</si>
  <si>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</si>
  <si>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</si>
  <si>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</si>
  <si>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</si>
  <si>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</si>
  <si>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</si>
  <si>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</si>
  <si>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</si>
  <si>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</si>
  <si>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</si>
  <si>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</si>
  <si>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</si>
  <si>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</si>
  <si>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</si>
  <si>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</si>
  <si>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</si>
  <si>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</si>
  <si>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</si>
  <si>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</si>
  <si>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</si>
  <si>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</si>
  <si>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</si>
  <si>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</si>
  <si>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</si>
  <si>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</si>
  <si>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</si>
  <si>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</si>
  <si>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</si>
  <si>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</si>
  <si>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</si>
  <si>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</si>
  <si>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</si>
  <si>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</si>
  <si>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</si>
  <si>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</si>
  <si>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</si>
  <si>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</si>
  <si>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</si>
  <si>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</si>
  <si>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</si>
  <si>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</si>
  <si>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</si>
  <si>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</si>
  <si>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</si>
  <si>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</si>
  <si>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</si>
  <si>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</si>
  <si>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</si>
  <si>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</si>
  <si>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</si>
  <si>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</si>
  <si>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</si>
  <si>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</si>
  <si>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</si>
  <si>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</si>
  <si>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</si>
  <si>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</si>
  <si>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</si>
  <si>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</si>
  <si>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</si>
  <si>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</si>
  <si>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</si>
  <si>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</si>
  <si>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</si>
  <si>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</si>
  <si>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</si>
  <si>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</si>
  <si>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</si>
  <si>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</si>
  <si>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</si>
  <si>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</si>
  <si>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</si>
  <si>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</si>
  <si>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</si>
  <si>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</si>
  <si>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</si>
  <si>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</si>
  <si>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</si>
  <si>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</si>
  <si>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</si>
  <si>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</si>
  <si>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</si>
  <si>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</si>
  <si>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</si>
  <si>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</si>
  <si>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</si>
  <si>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</si>
  <si>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</si>
  <si>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</si>
  <si>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</si>
  <si>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</si>
  <si>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</si>
  <si>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</si>
  <si>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</si>
  <si>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</si>
  <si>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</si>
  <si>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</si>
  <si>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</si>
  <si>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</si>
  <si>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</si>
  <si>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</si>
  <si>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</si>
  <si>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</si>
  <si>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</si>
  <si>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</si>
  <si>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</si>
  <si>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</si>
  <si>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</si>
  <si>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</si>
  <si>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</si>
  <si>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</si>
  <si>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</si>
  <si>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</si>
  <si>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</si>
  <si>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</si>
  <si>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</si>
  <si>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</si>
  <si>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</si>
  <si>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</si>
  <si>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</si>
  <si>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</si>
  <si>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</si>
  <si>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</si>
  <si>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</si>
  <si>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</si>
  <si>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</si>
  <si>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</si>
  <si>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</si>
  <si>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</si>
  <si>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</si>
  <si>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</si>
  <si>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</si>
  <si>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</si>
  <si>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</si>
  <si>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</si>
  <si>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</si>
  <si>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</si>
  <si>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</si>
  <si>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</si>
  <si>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</si>
  <si>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</si>
  <si>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</si>
  <si>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</si>
  <si>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</si>
  <si>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</si>
  <si>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</si>
  <si>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</si>
  <si>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</si>
  <si>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</si>
  <si>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</si>
  <si>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</si>
  <si>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</si>
  <si>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</si>
  <si>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</si>
  <si>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</si>
  <si>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</si>
  <si>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</si>
  <si>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</si>
  <si>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</si>
  <si>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</si>
  <si>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</si>
  <si>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</si>
  <si>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</si>
  <si>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</si>
  <si>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</si>
  <si>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</si>
  <si>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</si>
  <si>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</si>
  <si>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</si>
  <si>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</si>
  <si>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</si>
  <si>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</si>
  <si>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</si>
  <si>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</si>
  <si>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</si>
  <si>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</si>
  <si>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</si>
  <si>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</si>
  <si>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</si>
  <si>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</si>
  <si>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</si>
  <si>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</si>
  <si>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</si>
  <si>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</si>
  <si>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</si>
  <si>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</si>
  <si>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</si>
  <si>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</si>
  <si>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</si>
  <si>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</si>
  <si>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</si>
  <si>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</si>
  <si>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</si>
  <si>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</si>
  <si>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</si>
  <si>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</si>
  <si>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</si>
  <si>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</si>
  <si>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</si>
  <si>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</si>
  <si>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</si>
  <si>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</si>
  <si>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</si>
  <si>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</si>
  <si>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</si>
  <si>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</si>
  <si>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</si>
  <si>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</si>
  <si>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</si>
  <si>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</si>
  <si>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</si>
  <si>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</si>
  <si>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</si>
  <si>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</si>
  <si>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</si>
  <si>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</si>
  <si>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</si>
  <si>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</si>
  <si>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</si>
  <si>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</si>
  <si>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</si>
  <si>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</si>
  <si>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</si>
  <si>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</si>
  <si>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</si>
  <si>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</si>
  <si>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</si>
  <si>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</si>
  <si>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</si>
  <si>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</si>
  <si>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</si>
  <si>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</si>
  <si>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</si>
  <si>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</si>
  <si>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</si>
  <si>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</si>
  <si>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</si>
  <si>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</si>
  <si>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</si>
  <si>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</si>
  <si>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</si>
  <si>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</si>
  <si>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</si>
  <si>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</si>
  <si>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</si>
  <si>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</si>
  <si>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</si>
  <si>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</si>
  <si>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</si>
  <si>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</si>
  <si>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</si>
  <si>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</si>
  <si>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</si>
  <si>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</si>
  <si>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</si>
  <si>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</si>
  <si>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</si>
  <si>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</si>
  <si>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</si>
  <si>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</si>
  <si>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</si>
  <si>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</si>
  <si>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</si>
  <si>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</si>
  <si>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</si>
  <si>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</si>
  <si>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</si>
  <si>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</si>
  <si>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</si>
  <si>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</si>
  <si>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</si>
  <si>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</si>
  <si>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</si>
  <si>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</si>
  <si>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</si>
  <si>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</si>
  <si>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</si>
  <si>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</si>
  <si>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</si>
  <si>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</si>
  <si>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</si>
  <si>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</si>
  <si>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</si>
  <si>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</si>
  <si>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</si>
  <si>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</si>
  <si>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</si>
  <si>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</si>
  <si>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</si>
  <si>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</si>
  <si>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</si>
  <si>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</si>
  <si>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</si>
  <si>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</si>
  <si>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</si>
  <si>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</si>
  <si>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</si>
  <si>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</si>
  <si>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</si>
  <si>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</si>
  <si>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</si>
  <si>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</si>
  <si>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</si>
  <si>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</si>
  <si>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</si>
  <si>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</si>
  <si>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</si>
  <si>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</si>
  <si>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</si>
  <si>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</si>
  <si>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</si>
  <si>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</si>
  <si>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</si>
  <si>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</si>
  <si>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</si>
  <si>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</si>
  <si>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</si>
  <si>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</si>
  <si>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</si>
  <si>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</si>
  <si>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</si>
  <si>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</si>
  <si>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</si>
  <si>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</si>
  <si>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</si>
  <si>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</si>
  <si>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</si>
  <si>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</si>
  <si>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</si>
  <si>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</si>
  <si>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</si>
  <si>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</si>
  <si>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</si>
  <si>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</si>
  <si>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</si>
  <si>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</si>
  <si>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</si>
  <si>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</si>
  <si>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</si>
  <si>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</si>
  <si>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</si>
  <si>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</si>
  <si>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</si>
  <si>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</si>
  <si>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</si>
  <si>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</si>
  <si>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</si>
  <si>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</si>
  <si>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</si>
  <si>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</si>
  <si>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</si>
  <si>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</si>
  <si>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</si>
  <si>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</si>
  <si>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</si>
  <si>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</si>
  <si>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</si>
  <si>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</si>
  <si>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</si>
  <si>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</si>
  <si>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</si>
  <si>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</si>
  <si>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</si>
  <si>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</si>
  <si>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</si>
  <si>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</si>
  <si>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</si>
  <si>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</si>
  <si>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</si>
  <si>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</si>
  <si>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</si>
  <si>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</si>
  <si>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</si>
  <si>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</si>
  <si>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</si>
  <si>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</si>
  <si>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</si>
  <si>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</si>
  <si>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</si>
  <si>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</si>
  <si>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</si>
  <si>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</si>
  <si>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</si>
  <si>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</si>
  <si>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</si>
  <si>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</si>
  <si>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</si>
  <si>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</si>
  <si>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</si>
  <si>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</si>
  <si>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</si>
  <si>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</si>
  <si>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</si>
  <si>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</si>
  <si>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</si>
  <si>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</si>
  <si>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</si>
  <si>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</si>
  <si>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</si>
  <si>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</si>
  <si>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</si>
  <si>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</si>
  <si>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</si>
  <si>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</si>
  <si>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</si>
  <si>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</si>
  <si>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</si>
  <si>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</si>
  <si>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</si>
  <si>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</si>
  <si>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</si>
  <si>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</si>
  <si>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</si>
  <si>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</si>
  <si>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</si>
  <si>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</si>
  <si>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</si>
  <si>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</si>
  <si>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</si>
  <si>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</si>
  <si>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</si>
  <si>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</si>
  <si>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</si>
  <si>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</si>
  <si>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</si>
  <si>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</si>
  <si>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</si>
  <si>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</si>
  <si>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</si>
  <si>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</si>
  <si>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</si>
  <si>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</si>
  <si>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</si>
  <si>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</si>
  <si>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</si>
  <si>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</si>
  <si>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</si>
  <si>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</si>
  <si>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</si>
  <si>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</si>
  <si>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</si>
  <si>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</si>
  <si>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</si>
  <si>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</si>
  <si>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</si>
  <si>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</si>
  <si>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</si>
  <si>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</si>
  <si>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</si>
  <si>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</si>
  <si>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</si>
  <si>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</si>
  <si>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杭钱塘工出【2022】17号</t>
  </si>
  <si>
    <t>杭州市</t>
  </si>
  <si>
    <t>1.2≤容积率≤2.4</t>
  </si>
  <si>
    <t>挂牌</t>
  </si>
  <si>
    <t>其他工业用地</t>
  </si>
  <si>
    <t>2022-06-30</t>
  </si>
  <si>
    <t>杭州吉海信息科技有限公司</t>
  </si>
  <si>
    <t>3星</t>
  </si>
  <si>
    <t>杭钱塘工出【2022】16号</t>
  </si>
  <si>
    <t>杭钱塘工出【2022】19号</t>
  </si>
  <si>
    <t>2.2≤容积率≤3.0</t>
  </si>
  <si>
    <t>杭州奥恺生物技术有限公司</t>
  </si>
  <si>
    <t>杭钱塘工出【2022】15号</t>
  </si>
  <si>
    <t>2.2≤容积率≤2.8</t>
  </si>
  <si>
    <t>浙江艾比奥医药科技有限公司</t>
  </si>
  <si>
    <t>4星</t>
  </si>
  <si>
    <t>杭钱塘工出【2022】18号</t>
  </si>
  <si>
    <t>2.0≤容积率≤2.8</t>
  </si>
  <si>
    <t>标准厂房</t>
  </si>
  <si>
    <t>杭州和达智谷园区发展有限公司</t>
  </si>
  <si>
    <t>杭钱塘工出[2022]14号地块</t>
  </si>
  <si>
    <t>1.2≤容积率≤2.8</t>
  </si>
  <si>
    <t>2022-05-30</t>
  </si>
  <si>
    <t>浙江杭煜制药有限公司</t>
  </si>
  <si>
    <t>杭钱塘工出【2022】13号地块</t>
  </si>
  <si>
    <t>2.2≤容积率≤2.4</t>
  </si>
  <si>
    <t>2022-05-27</t>
  </si>
  <si>
    <t>杭州美迪凯微电子有限公司</t>
  </si>
  <si>
    <t>杭钱塘工出【2022】12号地块</t>
  </si>
  <si>
    <t>1.2≤容积率≤3.5</t>
  </si>
  <si>
    <t>浙江百年宜格实业发展有限公司</t>
  </si>
  <si>
    <t>杭钱塘工出【2022】11号地块</t>
  </si>
  <si>
    <t>杭州聚合顺新材料股份有限公司</t>
  </si>
  <si>
    <t>杭钱塘工出【2022】10号</t>
  </si>
  <si>
    <t>2022-04-14</t>
  </si>
  <si>
    <t>浙江顾家梅林家居有限公司</t>
  </si>
  <si>
    <t>杭钱塘工出【2022】9号</t>
  </si>
  <si>
    <t>2022-03-21</t>
  </si>
  <si>
    <t>宝鼎乾芯集成电路(杭州)有限公司</t>
  </si>
  <si>
    <t>杭钱塘工出【2022】8号</t>
  </si>
  <si>
    <t>1.2≤容积率≤3.0</t>
  </si>
  <si>
    <t>2022-02-28</t>
  </si>
  <si>
    <t>浙江百万卡卡布科技发展有限公司</t>
  </si>
  <si>
    <t>杭钱塘工出【2022】7号</t>
  </si>
  <si>
    <t>1.6≤容积率≤3.0</t>
  </si>
  <si>
    <t>浙江杭千实业有限公司</t>
  </si>
  <si>
    <t>杭钱塘工出【2022】2号地块</t>
  </si>
  <si>
    <t>1.6≤容积率≤2.8</t>
  </si>
  <si>
    <t>2022-02-10</t>
  </si>
  <si>
    <t>浙江翔瑞智能制造有限公司</t>
  </si>
  <si>
    <t>杭钱塘工出【2022】1号</t>
  </si>
  <si>
    <t>杭州中策钱塘实业有限公司</t>
  </si>
  <si>
    <t>杭钱塘工出【2022】3号地块</t>
  </si>
  <si>
    <t>杭州和达能源有限公司</t>
  </si>
  <si>
    <t>杭钱塘工出【2022】4号地块</t>
  </si>
  <si>
    <t>浙江浙天智慧物联有限公司</t>
  </si>
  <si>
    <t>杭钱塘工出【2022】6号地块</t>
  </si>
  <si>
    <t>1.7≤容积率≤3.0</t>
  </si>
  <si>
    <t>娇时日化(杭州)股份有限公司</t>
  </si>
  <si>
    <t>杭钱塘工出【2022】5号地块</t>
  </si>
  <si>
    <t>浙江浙天数字能源科技有限公司</t>
  </si>
  <si>
    <t>杭钱塘工出【2021】35号</t>
  </si>
  <si>
    <t>2022-01-24</t>
  </si>
  <si>
    <t>杭州和曦企业管理有限责任公司</t>
  </si>
  <si>
    <t>杭钱塘工出【2021】32号</t>
  </si>
  <si>
    <t>2.2≤容积率≤4.0</t>
  </si>
  <si>
    <t>工业用地(其他工业用地)</t>
  </si>
  <si>
    <t>2021-12-20</t>
  </si>
  <si>
    <t>光环新网(杭州)数字科技有限公司</t>
  </si>
  <si>
    <t>杭钱塘工出【2021】34号</t>
  </si>
  <si>
    <t>杭州万事利智能科技有限公司</t>
  </si>
  <si>
    <t>江东七路南-2020-22号地块</t>
  </si>
  <si>
    <t>1.8≤容积率≤3.0</t>
  </si>
  <si>
    <t>工业用地(标准厂房)</t>
  </si>
  <si>
    <t>2021-12-03</t>
  </si>
  <si>
    <t>杭州和达芯谷园区管理有限公司</t>
  </si>
  <si>
    <t>1星</t>
  </si>
  <si>
    <t>杭钱塘工出【2021】31号</t>
  </si>
  <si>
    <t>3.0≤容积率≤4.0</t>
  </si>
  <si>
    <t>2021-12-02</t>
  </si>
  <si>
    <t>浙江钛和检则认证有限公司</t>
  </si>
  <si>
    <t>杭钱塘工出【2021】29号</t>
  </si>
  <si>
    <t>1.2≤容积率≤2.2</t>
  </si>
  <si>
    <t>德琪〈杭州)生物有限公司</t>
  </si>
  <si>
    <t>杭钱塘工出【2021】30号</t>
  </si>
  <si>
    <t>语宏(杭州)科技有限公司</t>
  </si>
  <si>
    <t>杭钱塘工出[2021]28号</t>
  </si>
  <si>
    <t>2021-11-23</t>
  </si>
  <si>
    <t>浙江方圆检测集团股份有限公司</t>
  </si>
  <si>
    <t>杭钱塘工出【2021】24号</t>
  </si>
  <si>
    <t>2021-11-22</t>
  </si>
  <si>
    <t>杭钱塘工出【2021】27号</t>
  </si>
  <si>
    <t>杭州联德精密机械股份有限公司</t>
  </si>
  <si>
    <t>杭钱塘工出【2021】26号</t>
  </si>
  <si>
    <t>浙江科昕能源技术有限公司</t>
  </si>
  <si>
    <t>杭钱塘工出[2021]23号</t>
  </si>
  <si>
    <t>和达投资集团(杭州)有限公司</t>
  </si>
  <si>
    <t>杭钱塘工出【2021】25号</t>
  </si>
  <si>
    <t>1.2≤容积率≤4.0</t>
  </si>
  <si>
    <t>杭州金卡智创科技有限公司</t>
  </si>
  <si>
    <t>杭钱塘工出【2021】21号</t>
  </si>
  <si>
    <t>2021-10-28</t>
  </si>
  <si>
    <t>浙江鼎龙科技股份有限公司</t>
  </si>
  <si>
    <t>杭钱塘工出【2021】22号</t>
  </si>
  <si>
    <t>浙江零跑新能源汽车零部件技术有限公司</t>
  </si>
  <si>
    <t>北元M-86号地块</t>
  </si>
  <si>
    <t>2021-10-09</t>
  </si>
  <si>
    <t>杭州景杰生物科技股份有限公司</t>
  </si>
  <si>
    <t>北元M-84号地块</t>
  </si>
  <si>
    <t>浙江海昶生物医药技术有限公司</t>
  </si>
  <si>
    <t>西一路西2020-03-4号地块</t>
  </si>
  <si>
    <t>浙江中通智能制造有限公司</t>
  </si>
  <si>
    <t>杭钱塘工出【2021】20号</t>
  </si>
  <si>
    <t>杭州毕方航空技术有限公司</t>
  </si>
  <si>
    <t>杭钱塘工出【2021】19号</t>
  </si>
  <si>
    <t>2021-08-31</t>
  </si>
  <si>
    <t>浙江麦格米特电气技术有限公司</t>
  </si>
  <si>
    <t>杭钱塘工出【2021】18号</t>
  </si>
  <si>
    <t>2021-07-27</t>
  </si>
  <si>
    <t>瑞博(杭州)医药科技有限公司</t>
  </si>
  <si>
    <t>杭钱塘工出【2021】17号</t>
  </si>
  <si>
    <t>浙江和泽医药科技股份有限公司</t>
  </si>
  <si>
    <t>杭钱塘工出【2021】16号</t>
  </si>
  <si>
    <t>浙江零跑新能源汽车零部件技术有限</t>
  </si>
  <si>
    <t>杭钱塘工出【2021】14号</t>
  </si>
  <si>
    <t>2021-07-12</t>
  </si>
  <si>
    <t>史陶比尔(杭州)精密机械电子有限公司</t>
  </si>
  <si>
    <t>杭钱塘工出【2021】13号</t>
  </si>
  <si>
    <t>浙江欧亚联合装备集团有限公司</t>
  </si>
  <si>
    <t>杭钱塘工出【2021】15号</t>
  </si>
  <si>
    <t>浙江驭远生物科技有限公司</t>
  </si>
  <si>
    <t>杭钱塘工出【2021】11号</t>
  </si>
  <si>
    <t>2021-05-31</t>
  </si>
  <si>
    <t>浙江古伽智能科技有限公司</t>
  </si>
  <si>
    <t>北元M-69地块</t>
  </si>
  <si>
    <t>上海东富龙科技股份有限公司</t>
  </si>
  <si>
    <t>杭钱塘工出【2021】12号</t>
  </si>
  <si>
    <t>杭州博华食品科技有限公司</t>
  </si>
  <si>
    <t>杭钱塘工出【2021】10号</t>
  </si>
  <si>
    <t>杭州世如家居科技有限公司</t>
  </si>
  <si>
    <t>5星</t>
  </si>
  <si>
    <t>2021-05-17</t>
  </si>
  <si>
    <t>杭州嘉辐科技有限公司</t>
  </si>
  <si>
    <t>杭钱塘工出【2021】9号</t>
  </si>
  <si>
    <t>浙江茂宇医疗器械有限公司</t>
  </si>
  <si>
    <t>杭钱塘工出【2021】6号</t>
  </si>
  <si>
    <t>浙江鸿汇大健康科技集团有限公司</t>
  </si>
  <si>
    <t>杭州源玺医药科技有限公司</t>
  </si>
  <si>
    <t>杭钱塘工出【2021】5号</t>
  </si>
  <si>
    <t>杭州梦饷实业有限公司</t>
  </si>
  <si>
    <t>1.2≤容积率≤2.0</t>
  </si>
  <si>
    <t>2021-05-13</t>
  </si>
  <si>
    <t>杭州松下家电(综合保税区)有限公司</t>
  </si>
  <si>
    <t>杭钱塘工出[2021]2号</t>
  </si>
  <si>
    <t>2021-02-23</t>
  </si>
  <si>
    <t>杭州浩月实业有限公司</t>
  </si>
  <si>
    <t>杭钱塘工出[2021]1号</t>
  </si>
  <si>
    <t>福莱蒽特(杭州)材料科学硏究有限公司</t>
  </si>
  <si>
    <t>杭州钱塘新区银海街以北,海达北路以东。东至空地,南至银海街,西至空地,北至新建河规划绿化。</t>
  </si>
  <si>
    <t>≥2,≤2.2</t>
  </si>
  <si>
    <t>2020-12-25</t>
  </si>
  <si>
    <t>维亚聃诚生物科技(杭州)有限公司</t>
  </si>
  <si>
    <t>0星</t>
  </si>
  <si>
    <t>杭州钱塘新区规划支路以北,科技园路以西。东至科技园路,南至空地,西至空地,北至杭州裕廊腾飞数据处理有限公司。</t>
  </si>
  <si>
    <t>≥1.2,≤4</t>
  </si>
  <si>
    <t>绍兴品通贸易有限公司</t>
  </si>
  <si>
    <t>杭州钱塘新区呈瑞街以南,海达北路以西。东至杭州医药港小镇发展服务中心,南至杭州康洲生物技术有限公司,西至规划道路,北至杭州医药港小镇发展服务中心。</t>
  </si>
  <si>
    <t>≥1.2,≤2.2</t>
  </si>
  <si>
    <t>杭州菲丝凯生物科技有限公司</t>
  </si>
  <si>
    <t>纬五路北2019-02-7地块位于杭州钱塘新区临江街道</t>
  </si>
  <si>
    <t>≥1.2且≤2.4</t>
  </si>
  <si>
    <t>专用设备制造业</t>
  </si>
  <si>
    <t>2020-10-10</t>
  </si>
  <si>
    <t>浙江佳鹏电脑科技股份有限公司</t>
  </si>
  <si>
    <t>青西四路西-01-20号地块</t>
  </si>
  <si>
    <t>≥1.2且≤3.0</t>
  </si>
  <si>
    <t>招标</t>
  </si>
  <si>
    <t>化学原料和化学制品制造业</t>
  </si>
  <si>
    <t>2020-09-22</t>
  </si>
  <si>
    <t>杭州珈创生物科技有限公司</t>
  </si>
  <si>
    <t>北元M-63地块</t>
  </si>
  <si>
    <t>≥1.2且≤2.2</t>
  </si>
  <si>
    <t>医药制造业</t>
  </si>
  <si>
    <t>天境生物科技(杭州)有限公司</t>
  </si>
  <si>
    <t>东二路东2019-03-5号地块</t>
  </si>
  <si>
    <t>铁路、船舶、航空航天和其他运输设备制造业</t>
  </si>
  <si>
    <t>杭州大江东地产开发有限公司</t>
  </si>
  <si>
    <t>杭钱塘工出[2020]19号</t>
  </si>
  <si>
    <t>化学原料和化学制品制造业,高性能氟硅新材料、功能性硅材料等先进高分子材料研究</t>
  </si>
  <si>
    <t>2020-07-23</t>
  </si>
  <si>
    <t>浙江中天东方新材料有限公司</t>
  </si>
  <si>
    <t>杭钱塘工出[2020]17号</t>
  </si>
  <si>
    <t>≥1.2且≤2.6</t>
  </si>
  <si>
    <t>计算机、通信和其他电子设备制造业,电子信息产品制造产业</t>
  </si>
  <si>
    <t>杭州拓尔微电子有限公司</t>
  </si>
  <si>
    <t>杭钱塘工出[2020]20号</t>
  </si>
  <si>
    <t>计算机、通信和其他电子设备制造业</t>
  </si>
  <si>
    <t>杭州网捷供应链管理有限公司</t>
  </si>
  <si>
    <t>杭钱塘工出[2020]16号</t>
  </si>
  <si>
    <t>通用设备制造业、专业设备制造业</t>
  </si>
  <si>
    <t>杭州创威实业股份有限公司</t>
  </si>
  <si>
    <t>杭钱塘工出[2020]18号</t>
  </si>
  <si>
    <t>计算机、通信他和其他电子设备制造业</t>
  </si>
  <si>
    <t>杭州兆奕置业有限公司</t>
  </si>
  <si>
    <t>杭钱塘工出[2020]21号</t>
  </si>
  <si>
    <t>汽车制造业</t>
  </si>
  <si>
    <t>杭州吉利汽车有限公司</t>
  </si>
  <si>
    <t>杭钱塘工出[2020]15号</t>
  </si>
  <si>
    <t>＞3.0且≤4.0</t>
  </si>
  <si>
    <t>数字经济(互联网及其相关服务业)</t>
  </si>
  <si>
    <t>2020-07-17</t>
  </si>
  <si>
    <t>杭州卓健信息科技有限公司</t>
  </si>
  <si>
    <t>杭钱塘工出[2020]14号</t>
  </si>
  <si>
    <t>≥1.8且≤2.2</t>
  </si>
  <si>
    <t>杭州万海投资管理有限公司</t>
  </si>
  <si>
    <t>北元M-68地块</t>
  </si>
  <si>
    <t>生物医药产业(生物诊断试剂的开发和应用)</t>
  </si>
  <si>
    <t>2020-05-18</t>
  </si>
  <si>
    <t>浙江元勤生物科技有限公司</t>
  </si>
  <si>
    <t>北M-11-4地块</t>
  </si>
  <si>
    <t>专用设备制造业,(其他机械装备C42-35*大注射量、高精度、机电一体化塑料成型机)</t>
  </si>
  <si>
    <t>泰瑞机器股份有限公司</t>
  </si>
  <si>
    <t>(MG8-15-20地块</t>
  </si>
  <si>
    <t>≥1.2且≤4.0</t>
  </si>
  <si>
    <t>其他制造业</t>
  </si>
  <si>
    <t>杭州忆萱堂网络科技有限公司</t>
  </si>
  <si>
    <t>钱塘新区(经四路东2019-02-10号地块,东至杭州科利化工有限公司,南至临江工业园管理委员会(20110012号地块),西至经四路,北至杭州宇田科技有限公司)。</t>
  </si>
  <si>
    <t>化学原料和化学制品制造业(染料有机颜料及其中间体清洁生产)</t>
  </si>
  <si>
    <t>杭州福莱菌特新材料有限公司</t>
  </si>
  <si>
    <t>钱塘新区(青西三路东2020-01-1号地块,东至钱江直河规划绿化,南邻规划江东六路,西至空地、萧山经济技术开发区招商局,北至临鸿路绿化)</t>
  </si>
  <si>
    <t>红十五线北2018-02-2号地块</t>
  </si>
  <si>
    <t>浙江传化公路港物流发展有限公司</t>
  </si>
  <si>
    <t>MG8-15-19地块</t>
  </si>
  <si>
    <t>计算机、通信和其他电子设备业</t>
  </si>
  <si>
    <t>微点(杭州)网络科技有限公司</t>
  </si>
  <si>
    <t>钱塘新区(M10-21-8地块,东至大田大明光学(杭州)有限公司,南至浙江杭康药业有限公司,西至21号大街,北至杭州创新生物检控技术有限公司)。</t>
  </si>
  <si>
    <t>浙江浙芯科技发展有限公司</t>
  </si>
  <si>
    <t>北元M-64地块</t>
  </si>
  <si>
    <t>2.0-2.2</t>
  </si>
  <si>
    <t>电力、热力生产和供应业</t>
  </si>
  <si>
    <t>2020-03-31</t>
  </si>
  <si>
    <t>浙江华云电力实业集团有限公司</t>
  </si>
  <si>
    <t>钱塘新区临鸿东路南2019-01-9号地块</t>
  </si>
  <si>
    <t>1.2-2.4</t>
  </si>
  <si>
    <t>橡胶和塑料制品业</t>
  </si>
  <si>
    <t>杭州伊珂包装科技有限公司</t>
  </si>
  <si>
    <t>北元M-19地块</t>
  </si>
  <si>
    <t>3.5≥且≤4.0</t>
  </si>
  <si>
    <t>2020-03-24</t>
  </si>
  <si>
    <t>杭州康洲生物技术有限公司</t>
  </si>
  <si>
    <t>东临八公段直河绿化,西至杭州明浦供应链管理有限公司,南至江东三路绿化,北至大立建设集团有限公司</t>
  </si>
  <si>
    <t>工业用地,其它制造业</t>
  </si>
  <si>
    <t>2020-02-18</t>
  </si>
  <si>
    <t>杭州启昊新能源科技发展有限公司</t>
  </si>
  <si>
    <t>北元M-62地块</t>
  </si>
  <si>
    <t>1.2-2.2</t>
  </si>
  <si>
    <t>2020-01-16</t>
  </si>
  <si>
    <t>2020-01-17</t>
  </si>
  <si>
    <t>明峰医疗系统股份有限公司</t>
  </si>
  <si>
    <t>杭钱塘工出[2019]17号</t>
  </si>
  <si>
    <t>1.2-.2.4</t>
  </si>
  <si>
    <t>其它制造业</t>
  </si>
  <si>
    <t>2020-01-09</t>
  </si>
  <si>
    <t>杭钱塘工出[2019]15号</t>
  </si>
  <si>
    <t>1.5-2.0</t>
  </si>
  <si>
    <t>2019-12-24</t>
  </si>
  <si>
    <t>2019-12-26</t>
  </si>
  <si>
    <t>杭州泰谷诺石英有限公司</t>
  </si>
  <si>
    <t>杭钱塘工出[2019]16号</t>
  </si>
  <si>
    <t>1.8-2.0</t>
  </si>
  <si>
    <t>杭州海汇企业管理有限公司</t>
  </si>
  <si>
    <t>杭钱塘工出[2019]14号</t>
  </si>
  <si>
    <t>3.0-3.5</t>
  </si>
  <si>
    <t>工业(创新型产业用地)</t>
  </si>
  <si>
    <t>2019-12-23</t>
  </si>
  <si>
    <t>杭州鲸建实业有限公司</t>
  </si>
  <si>
    <t>北元M-58地块</t>
  </si>
  <si>
    <t>2.0-2.4</t>
  </si>
  <si>
    <t>杭州奥泰生物技术股份有限公司</t>
  </si>
  <si>
    <t>北元M-59地块</t>
  </si>
  <si>
    <t>杭州联川生物医药科技有限公司</t>
  </si>
  <si>
    <t>北元M-60地块</t>
  </si>
  <si>
    <t>杭州多禧生物科技有限公司</t>
  </si>
  <si>
    <t>杭钱塘工出[2019]10号</t>
  </si>
  <si>
    <t>通用设备制造业</t>
  </si>
  <si>
    <t>2019-12-03</t>
  </si>
  <si>
    <t>2019-12-04</t>
  </si>
  <si>
    <t>格力电器(杭州)有限公司</t>
  </si>
  <si>
    <t>杭钱塘工出[2019]9号</t>
  </si>
  <si>
    <t>2019-10-29</t>
  </si>
  <si>
    <t>得力智能物联技术有限公司</t>
  </si>
  <si>
    <t>杭钱塘工出[2019]8号</t>
  </si>
  <si>
    <t>杭州沃镭智能科技股份有限公司</t>
  </si>
  <si>
    <t>杭钱塘工出[2019]7号</t>
  </si>
  <si>
    <t>2019-10-17</t>
  </si>
  <si>
    <t>2019-10-21</t>
  </si>
  <si>
    <t>杭州徐睿机械有限公司</t>
  </si>
  <si>
    <t>杭钱塘工出[2019]6号</t>
  </si>
  <si>
    <t>1.2-2.5</t>
  </si>
  <si>
    <t>2019-10-11</t>
  </si>
  <si>
    <t>杭州旭海通信科技有限公司</t>
  </si>
  <si>
    <t>杭钱塘工出[2019]5号</t>
  </si>
  <si>
    <t>≥1.2≤2.4</t>
  </si>
  <si>
    <t>家具制造业</t>
  </si>
  <si>
    <t>2019-10-09</t>
  </si>
  <si>
    <t>顾家家居股份有限公司</t>
  </si>
  <si>
    <t>临江工业园区</t>
  </si>
  <si>
    <t>2019-09-03</t>
  </si>
  <si>
    <t>杭州欧集星食品有限公司</t>
  </si>
  <si>
    <t>钱塘新区白杨街道</t>
  </si>
  <si>
    <t>≥2.8≤3.9</t>
  </si>
  <si>
    <t>2019-09-04</t>
  </si>
  <si>
    <t>杭州网创大家科技有限公司</t>
  </si>
  <si>
    <t>钱塘新区下沙街道</t>
  </si>
  <si>
    <t>≥1.2≤2.2</t>
  </si>
  <si>
    <t>杭州金卡物联科技有限公司</t>
  </si>
  <si>
    <r>
      <rPr>
        <sz val="10"/>
        <rFont val="宋体"/>
        <family val="3"/>
        <charset val="134"/>
      </rPr>
      <t>地面价</t>
    </r>
    <phoneticPr fontId="140" type="noConversion"/>
  </si>
  <si>
    <t>正常</t>
    <phoneticPr fontId="31" type="noConversion"/>
  </si>
  <si>
    <t>出让</t>
  </si>
  <si>
    <t>企业</t>
  </si>
  <si>
    <t>其他：</t>
  </si>
  <si>
    <t>工业</t>
    <phoneticPr fontId="31" type="noConversion"/>
  </si>
  <si>
    <t>工业</t>
    <phoneticPr fontId="31" type="noConversion"/>
  </si>
  <si>
    <t>50</t>
    <phoneticPr fontId="31" type="noConversion"/>
  </si>
  <si>
    <t>50</t>
    <phoneticPr fontId="31" type="noConversion"/>
  </si>
  <si>
    <t>单位面积地价</t>
  </si>
  <si>
    <t>地上</t>
  </si>
  <si>
    <t>是</t>
  </si>
  <si>
    <t>工业</t>
    <phoneticPr fontId="7" type="noConversion"/>
  </si>
  <si>
    <t>成新度</t>
  </si>
  <si>
    <t>收益法</t>
  </si>
  <si>
    <t>利息：取LPR加浮动点数</t>
  </si>
  <si>
    <t>正常</t>
    <phoneticPr fontId="33" type="noConversion"/>
  </si>
  <si>
    <t>正常</t>
    <phoneticPr fontId="33" type="noConversion"/>
  </si>
  <si>
    <t>正常</t>
    <phoneticPr fontId="33" type="noConversion"/>
  </si>
  <si>
    <t>工业</t>
    <phoneticPr fontId="33" type="noConversion"/>
  </si>
  <si>
    <t>工业</t>
    <phoneticPr fontId="33" type="noConversion"/>
  </si>
  <si>
    <t>较好</t>
  </si>
  <si>
    <t>一般</t>
    <phoneticPr fontId="33" type="noConversion"/>
  </si>
  <si>
    <t>一般</t>
    <phoneticPr fontId="33" type="noConversion"/>
  </si>
  <si>
    <t>较好</t>
    <phoneticPr fontId="33" type="noConversion"/>
  </si>
  <si>
    <t>较好</t>
    <phoneticPr fontId="33" type="noConversion"/>
  </si>
  <si>
    <t>较好</t>
    <phoneticPr fontId="33" type="noConversion"/>
  </si>
  <si>
    <t>六通</t>
    <phoneticPr fontId="33" type="noConversion"/>
  </si>
  <si>
    <t>六通</t>
    <phoneticPr fontId="33" type="noConversion"/>
  </si>
  <si>
    <t>六通</t>
    <phoneticPr fontId="33" type="noConversion"/>
  </si>
  <si>
    <t>较规则</t>
    <phoneticPr fontId="33" type="noConversion"/>
  </si>
  <si>
    <t>较规则</t>
    <phoneticPr fontId="33" type="noConversion"/>
  </si>
  <si>
    <t>五通</t>
    <phoneticPr fontId="33" type="noConversion"/>
  </si>
  <si>
    <t>三通</t>
    <phoneticPr fontId="33" type="noConversion"/>
  </si>
  <si>
    <t>三通</t>
    <phoneticPr fontId="33" type="noConversion"/>
  </si>
  <si>
    <t>五通</t>
    <phoneticPr fontId="33" type="noConversion"/>
  </si>
  <si>
    <t>四通</t>
    <phoneticPr fontId="33" type="noConversion"/>
  </si>
  <si>
    <t>押一</t>
  </si>
  <si>
    <t>按租金收入计税</t>
  </si>
  <si>
    <t>钢混</t>
  </si>
  <si>
    <t>非生产用房</t>
  </si>
  <si>
    <t>成本法</t>
  </si>
  <si>
    <t>总价</t>
  </si>
  <si>
    <t>成本比率</t>
  </si>
  <si>
    <t>未包含在土地购买价格中</t>
  </si>
  <si>
    <t>全部缴纳</t>
  </si>
  <si>
    <t>已包含在土地取得成本中</t>
  </si>
  <si>
    <t>工业部分没有容积率地价</t>
    <phoneticPr fontId="140" type="noConversion"/>
  </si>
  <si>
    <t>崔锴</t>
  </si>
  <si>
    <t>郑燚</t>
  </si>
  <si>
    <r>
      <rPr>
        <sz val="10"/>
        <rFont val="宋体"/>
        <family val="3"/>
        <charset val="134"/>
      </rPr>
      <t>杭钱塘工出【</t>
    </r>
    <r>
      <rPr>
        <sz val="10"/>
        <rFont val="Arial"/>
        <family val="2"/>
      </rPr>
      <t>2021</t>
    </r>
    <r>
      <rPr>
        <sz val="10"/>
        <rFont val="宋体"/>
        <family val="3"/>
        <charset val="134"/>
      </rPr>
      <t>】</t>
    </r>
    <r>
      <rPr>
        <sz val="10"/>
        <rFont val="Arial"/>
        <family val="2"/>
      </rPr>
      <t>8</t>
    </r>
    <r>
      <rPr>
        <sz val="10"/>
        <rFont val="宋体"/>
        <family val="3"/>
        <charset val="134"/>
      </rPr>
      <t>号</t>
    </r>
    <phoneticPr fontId="140" type="noConversion"/>
  </si>
  <si>
    <r>
      <rPr>
        <sz val="10"/>
        <rFont val="宋体"/>
        <family val="3"/>
        <charset val="134"/>
      </rPr>
      <t>杭钱塘工出</t>
    </r>
    <r>
      <rPr>
        <sz val="10"/>
        <rFont val="Arial"/>
        <family val="2"/>
      </rPr>
      <t>[2021]4</t>
    </r>
    <r>
      <rPr>
        <sz val="10"/>
        <rFont val="宋体"/>
        <family val="3"/>
        <charset val="134"/>
      </rPr>
      <t>号</t>
    </r>
    <phoneticPr fontId="140" type="noConversion"/>
  </si>
  <si>
    <t>一般</t>
  </si>
  <si>
    <t>http://www.hhtz.gov.cn/art/2022/6/20/art_1229247301_4044786.html</t>
    <phoneticPr fontId="3" type="noConversion"/>
  </si>
  <si>
    <r>
      <rPr>
        <sz val="10"/>
        <rFont val="宋体"/>
        <family val="3"/>
        <charset val="134"/>
      </rPr>
      <t>杭钱塘工出【</t>
    </r>
    <r>
      <rPr>
        <sz val="10"/>
        <rFont val="Arial"/>
        <family val="2"/>
      </rPr>
      <t>2021</t>
    </r>
    <r>
      <rPr>
        <sz val="10"/>
        <rFont val="宋体"/>
        <family val="3"/>
        <charset val="134"/>
      </rPr>
      <t>】</t>
    </r>
    <r>
      <rPr>
        <sz val="10"/>
        <rFont val="Arial"/>
        <family val="2"/>
      </rPr>
      <t>7</t>
    </r>
    <r>
      <rPr>
        <sz val="10"/>
        <rFont val="宋体"/>
        <family val="3"/>
        <charset val="134"/>
      </rPr>
      <t>号</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</si>
</sst>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55" fillId="0" borderId="0" xfId="17"/>
    <xf numFmtId="0" fontId="55" fillId="5" borderId="0" xfId="17" applyFill="1"/>
    <xf numFmtId="0" fontId="55" fillId="0" borderId="0" xfId="17"/>
    <xf numFmtId="0" fontId="55" fillId="0" borderId="0" xfId="17"/>
    <xf numFmtId="0" fontId="0" fillId="5" borderId="0" xfId="0" applyFill="1">
      <alignment vertical="center"/>
    </xf>
    <xf numFmtId="0" fontId="55" fillId="0" borderId="0" xfId="17" applyFill="1"/>
    <xf numFmtId="0" fontId="55" fillId="16" borderId="0" xfId="17" applyFill="1"/>
    <xf numFmtId="0" fontId="0" fillId="16" borderId="0" xfId="0" applyFill="1">
      <alignment vertical="center"/>
    </xf>
    <xf numFmtId="0" fontId="55" fillId="12" borderId="0" xfId="17" applyFill="1"/>
    <xf numFmtId="0" fontId="0" fillId="12"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3" fillId="20" borderId="1"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81" fontId="46" fillId="20" borderId="1" xfId="0" applyNumberFormat="1" applyFont="1" applyFill="1" applyBorder="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313478</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80953" cy="4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65896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8096" cy="6219048"/>
        </a:xfrm>
        <a:prstGeom prst="rect">
          <a:avLst/>
        </a:prstGeom>
      </xdr:spPr>
    </xdr:pic>
    <xdr:clientData/>
  </xdr:twoCellAnchor>
  <xdr:twoCellAnchor editAs="oneCell">
    <xdr:from>
      <xdr:col>0</xdr:col>
      <xdr:colOff>0</xdr:colOff>
      <xdr:row>36</xdr:row>
      <xdr:rowOff>0</xdr:rowOff>
    </xdr:from>
    <xdr:to>
      <xdr:col>9</xdr:col>
      <xdr:colOff>84943</xdr:colOff>
      <xdr:row>53</xdr:row>
      <xdr:rowOff>104398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257143" cy="3019048"/>
        </a:xfrm>
        <a:prstGeom prst="rect">
          <a:avLst/>
        </a:prstGeom>
      </xdr:spPr>
    </xdr:pic>
    <xdr:clientData/>
  </xdr:twoCellAnchor>
  <xdr:twoCellAnchor editAs="oneCell">
    <xdr:from>
      <xdr:col>0</xdr:col>
      <xdr:colOff>0</xdr:colOff>
      <xdr:row>56</xdr:row>
      <xdr:rowOff>0</xdr:rowOff>
    </xdr:from>
    <xdr:to>
      <xdr:col>16</xdr:col>
      <xdr:colOff>84344</xdr:colOff>
      <xdr:row>87</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057144"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房地产抵押价值预评估</v>
      </c>
    </row>
    <row r="3" spans="1:2" s="1316" customFormat="1">
      <c r="A3" s="1314" t="s">
        <v>948</v>
      </c>
      <c r="B3" s="1315">
        <f>'预评函-封皮'!B40</f>
        <v>0</v>
      </c>
    </row>
    <row r="4" spans="1:2" s="1316" customFormat="1">
      <c r="A4" s="1314" t="s">
        <v>949</v>
      </c>
      <c r="B4" s="1315" t="str">
        <f ca="1">'预评函-封皮'!B46</f>
        <v>崔锴（注册号：0)、郑燚（注册号：1120070131)</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受贵公司委托，我公司对房地产抵押价值进行了预评估。</v>
      </c>
    </row>
    <row r="7" spans="1:2" s="1316" customFormat="1">
      <c r="A7" s="1314" t="s">
        <v>991</v>
      </c>
      <c r="B7" s="1315" t="str">
        <f>'预评函-1'!A7</f>
        <v>估价对象为房地产，为所有。根据《国有土地使用证》[]，估价对象（分摊）出让国有建设用地使用权面积为17188平方米，建筑面积为13867.57平方米。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估价对象为房地产,属开发建设的，该项目尚在开发建设中。根据《国有土地使用证》[]，估价对象（分摊）出让国有建设用地使用权面积为17188平方米，规划建筑面积为13867.57平方米。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2022年8月8日</v>
      </c>
    </row>
    <row r="13" spans="1:2" s="1316" customFormat="1">
      <c r="A13" s="1314" t="s">
        <v>954</v>
      </c>
      <c r="B13" s="1315"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7482</v>
      </c>
    </row>
    <row r="21" spans="1:2" s="1316" customFormat="1">
      <c r="A21" s="1314" t="s">
        <v>962</v>
      </c>
      <c r="B21" s="1315">
        <f ca="1">'预评函-2'!D7</f>
        <v>5395</v>
      </c>
    </row>
    <row r="22" spans="1:2" s="1316" customFormat="1">
      <c r="A22" s="1314" t="s">
        <v>963</v>
      </c>
      <c r="B22" s="1315" t="str">
        <f ca="1">'预评函-2'!D6</f>
        <v>柒仟肆佰捌拾贰万元整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7482</v>
      </c>
    </row>
    <row r="31" spans="1:2" s="1316" customFormat="1">
      <c r="A31" s="1314" t="s">
        <v>1001</v>
      </c>
      <c r="B31" s="1315">
        <f ca="1">'预评函-2'!D15</f>
        <v>5395</v>
      </c>
    </row>
    <row r="32" spans="1:2" s="1316" customFormat="1">
      <c r="A32" s="1314" t="s">
        <v>968</v>
      </c>
      <c r="B32" s="1315" t="str">
        <f ca="1">'预评函-2'!D14</f>
        <v>柒仟肆佰捌拾贰万元整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房地产</v>
      </c>
    </row>
    <row r="42" spans="1:2" s="1316" customFormat="1">
      <c r="A42" s="1314" t="s">
        <v>1015</v>
      </c>
      <c r="B42" s="1315" t="str">
        <f>'预评函-3'!B2</f>
        <v>建筑面积</v>
      </c>
    </row>
    <row r="43" spans="1:2" s="1316" customFormat="1">
      <c r="A43" s="1314" t="s">
        <v>1016</v>
      </c>
      <c r="B43" s="1315">
        <f>'预评函-3'!B4</f>
        <v>13867.57</v>
      </c>
    </row>
    <row r="44" spans="1:2" s="1316" customFormat="1">
      <c r="A44" s="1314" t="s">
        <v>1000</v>
      </c>
      <c r="B44" s="1315" t="str">
        <f>'预评函-3'!C2</f>
        <v>(分摊)土地面积</v>
      </c>
    </row>
    <row r="45" spans="1:2" s="1316" customFormat="1">
      <c r="A45" s="1314" t="s">
        <v>972</v>
      </c>
      <c r="B45" s="1315">
        <f>'预评函-3'!C4</f>
        <v>17188</v>
      </c>
    </row>
    <row r="46" spans="1:2" s="1316" customFormat="1">
      <c r="A46" s="1314" t="s">
        <v>998</v>
      </c>
      <c r="B46" s="1315" t="str">
        <f>'预评函-3'!D2</f>
        <v>出让国有建设用地使用权价值</v>
      </c>
    </row>
    <row r="47" spans="1:2" s="1316" customFormat="1">
      <c r="A47" s="1314" t="s">
        <v>973</v>
      </c>
      <c r="B47" s="1315">
        <f ca="1">'预评函-3'!D4</f>
        <v>2896</v>
      </c>
    </row>
    <row r="48" spans="1:2" s="1316" customFormat="1">
      <c r="A48" s="1314" t="s">
        <v>974</v>
      </c>
      <c r="B48" s="1315">
        <f ca="1">'预评函-3'!E4</f>
        <v>2088</v>
      </c>
    </row>
    <row r="49" spans="1:2" s="1316" customFormat="1">
      <c r="A49" s="1314" t="s">
        <v>975</v>
      </c>
      <c r="B49" s="1315" t="str">
        <f ca="1">'预评函-3'!D5</f>
        <v>贰仟捌佰玖拾陆万元整</v>
      </c>
    </row>
    <row r="50" spans="1:2" s="1316" customFormat="1">
      <c r="A50" s="1314" t="s">
        <v>999</v>
      </c>
      <c r="B50" s="1315" t="str">
        <f>'预评函-3'!F2</f>
        <v>在建建筑物价值</v>
      </c>
    </row>
    <row r="51" spans="1:2" s="1316" customFormat="1">
      <c r="A51" s="1314" t="s">
        <v>976</v>
      </c>
      <c r="B51" s="1315">
        <f ca="1">'预评函-3'!F4</f>
        <v>4586</v>
      </c>
    </row>
    <row r="52" spans="1:2" s="1316" customFormat="1">
      <c r="A52" s="1314" t="s">
        <v>977</v>
      </c>
      <c r="B52" s="1315">
        <f ca="1">'预评函-3'!G4</f>
        <v>3307</v>
      </c>
    </row>
    <row r="53" spans="1:2" s="1316" customFormat="1">
      <c r="A53" s="1314" t="s">
        <v>1005</v>
      </c>
      <c r="B53" s="1315" t="str">
        <f ca="1">'预评函-3'!F5</f>
        <v>肆仟伍佰捌拾陆万元整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t="str">
        <f>'预评函-4'!A4</f>
        <v>崔锴</v>
      </c>
    </row>
    <row r="71" spans="1:2">
      <c r="A71" s="1314" t="s">
        <v>988</v>
      </c>
      <c r="B71" s="1315">
        <f ca="1">'预评函-4'!B4</f>
        <v>0</v>
      </c>
    </row>
    <row r="72" spans="1:2">
      <c r="A72" s="1314" t="s">
        <v>989</v>
      </c>
      <c r="B72" s="1323" t="str">
        <f>'预评函-4'!A5</f>
        <v>郑燚</v>
      </c>
    </row>
    <row r="73" spans="1:2" s="1310" customFormat="1" ht="15" thickBot="1">
      <c r="A73" s="1317" t="s">
        <v>990</v>
      </c>
      <c r="B73" s="1318">
        <f ca="1">'预评函-4'!B5</f>
        <v>1120070131</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2792</v>
      </c>
      <c r="C17" s="1681"/>
    </row>
    <row r="18" spans="1:3">
      <c r="A18" s="1680" t="s">
        <v>1491</v>
      </c>
      <c r="B18" s="1680" t="s">
        <v>2936</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93"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88" t="s">
        <v>651</v>
      </c>
      <c r="C54" s="1685" t="s">
        <v>1008</v>
      </c>
    </row>
    <row r="55" spans="1:4">
      <c r="A55" s="3293"/>
      <c r="B55" s="1688" t="s">
        <v>652</v>
      </c>
      <c r="C55" s="1685" t="s">
        <v>1009</v>
      </c>
    </row>
    <row r="56" spans="1:4">
      <c r="A56" s="3293"/>
      <c r="B56" s="1688" t="s">
        <v>653</v>
      </c>
      <c r="C56" s="1685" t="s">
        <v>1013</v>
      </c>
    </row>
    <row r="57" spans="1:4">
      <c r="A57" s="3293"/>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F7" sqref="F7"/>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2" customWidth="1"/>
    <col min="12" max="13" width="10" style="2803"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7" t="s">
        <v>2667</v>
      </c>
      <c r="B1" s="3302" t="str">
        <f>IF(B10="北京市","北京市",C10)&amp;F10&amp;IF(结果表!G1="在建","出让国有建设用地使用权及在建建筑物",IF(结果表!G1="土地","出让国有建设用地使用权",))&amp;B9&amp;"预评估"</f>
        <v>房地产抵押价值预评估</v>
      </c>
      <c r="C1" s="3303"/>
      <c r="D1" s="3303"/>
      <c r="E1" s="3303"/>
      <c r="F1" s="3303"/>
      <c r="G1" s="3303"/>
      <c r="H1" s="3303"/>
      <c r="I1" s="3304"/>
      <c r="J1" s="2644"/>
      <c r="K1" s="2539"/>
      <c r="L1" s="2540"/>
      <c r="M1" s="2540"/>
      <c r="N1" s="2541"/>
      <c r="O1" s="1710"/>
      <c r="P1" s="2541"/>
      <c r="Q1" s="2541"/>
      <c r="R1" s="2541"/>
      <c r="S1" s="1817" t="str">
        <f>IF(B10="北京市","北京市",C10)&amp;F10&amp;IF(结果表!G1="在建","出让国有建设用地使用权及在建建筑物房地产抵押价值",IF(结果表!G1="土地","出让国有建设用地使用权抵押价值",B9))</f>
        <v>房地产抵押价值</v>
      </c>
      <c r="T1" s="1880"/>
      <c r="U1" s="1880"/>
      <c r="V1" s="1880"/>
      <c r="W1" s="1880"/>
      <c r="X1" s="1880"/>
      <c r="Y1" s="1880"/>
      <c r="Z1" s="1880"/>
      <c r="AA1" s="1880"/>
      <c r="AB1" s="1880"/>
    </row>
    <row r="2" spans="1:28">
      <c r="A2" s="2538" t="s">
        <v>2668</v>
      </c>
      <c r="B2" s="2542"/>
      <c r="C2" s="2543"/>
      <c r="D2" s="2846"/>
      <c r="E2" s="2836"/>
      <c r="F2" s="2836"/>
      <c r="G2" s="2837"/>
      <c r="H2" s="2837"/>
      <c r="I2" s="2837"/>
      <c r="J2" s="2644"/>
      <c r="K2" s="2539"/>
      <c r="L2" s="2540"/>
      <c r="M2" s="2540"/>
      <c r="N2" s="2541"/>
      <c r="O2" s="1710"/>
      <c r="P2" s="2541"/>
      <c r="Q2" s="2541"/>
      <c r="R2" s="2541"/>
      <c r="S2" s="1817" t="str">
        <f>IF(B10="北京市","北京市",C10)&amp;F10&amp;IF(结果表!G1="在建","出让国有建设用地使用权及在建建筑物房地产",IF(结果表!G1="土地","出让国有建设用地使用权","房地产"))</f>
        <v>房地产</v>
      </c>
      <c r="T2" s="1880"/>
      <c r="U2" s="1880"/>
      <c r="V2" s="1880"/>
      <c r="W2" s="1880"/>
      <c r="X2" s="1880"/>
      <c r="Y2" s="1880"/>
      <c r="Z2" s="1880"/>
      <c r="AA2" s="1880"/>
      <c r="AB2" s="1880"/>
    </row>
    <row r="3" spans="1:28">
      <c r="A3" s="307" t="s">
        <v>2669</v>
      </c>
      <c r="B3" s="2544"/>
      <c r="C3" s="2545" t="s">
        <v>2670</v>
      </c>
      <c r="D3" s="2544">
        <v>44781</v>
      </c>
      <c r="E3" s="2837"/>
      <c r="F3" s="2837"/>
      <c r="G3" s="2837"/>
      <c r="H3" s="2837"/>
      <c r="I3" s="2837"/>
      <c r="J3" s="2644"/>
      <c r="K3" s="2539"/>
      <c r="L3" s="2540"/>
      <c r="M3" s="2540"/>
      <c r="N3" s="2541"/>
      <c r="O3" s="1710"/>
      <c r="P3" s="2541"/>
      <c r="Q3" s="2541"/>
      <c r="R3" s="2541"/>
      <c r="S3" s="1817"/>
      <c r="T3" s="1880"/>
      <c r="U3" s="1880"/>
      <c r="V3" s="1880"/>
      <c r="W3" s="1880"/>
      <c r="X3" s="1880"/>
      <c r="Y3" s="1880"/>
      <c r="Z3" s="1880"/>
      <c r="AA3" s="1880"/>
      <c r="AB3" s="1880"/>
    </row>
    <row r="4" spans="1:28" ht="13.5" thickBot="1">
      <c r="A4" s="1202" t="s">
        <v>2671</v>
      </c>
      <c r="B4" s="2546" t="s">
        <v>3556</v>
      </c>
      <c r="C4" s="2547">
        <f ca="1">SUMIF(注册房地产估价师,B4,估价师及机构信息!B3:B24)</f>
        <v>0</v>
      </c>
      <c r="D4" s="2546" t="s">
        <v>3557</v>
      </c>
      <c r="E4" s="2548">
        <f ca="1">SUMIF(注册房地产估价师,D4,估价师及机构信息!B3:B24)</f>
        <v>1120070131</v>
      </c>
      <c r="F4" s="2546"/>
      <c r="G4" s="2548">
        <f>SUMIF(注册房地产估价师,F4,估价师及机构信息!B3:B24)</f>
        <v>0</v>
      </c>
      <c r="H4" s="2546"/>
      <c r="I4" s="2548">
        <f>SUMIF(注册房地产估价师,H4,估价师及机构信息!B3:B24)</f>
        <v>0</v>
      </c>
      <c r="J4" s="2612"/>
      <c r="K4" s="2549" t="str">
        <f ca="1">CONCATENATE(B4,"（注册号：",C4,")、",D4,"（注册号：",E4,")")</f>
        <v>崔锴（注册号：0)、郑燚（注册号：1120070131)</v>
      </c>
      <c r="L4" s="2540"/>
      <c r="M4" s="2540"/>
      <c r="N4" s="2541"/>
      <c r="O4" s="1710"/>
      <c r="P4" s="2541"/>
      <c r="Q4" s="2541"/>
      <c r="R4" s="2541"/>
      <c r="S4" s="1817"/>
      <c r="T4" s="1880"/>
      <c r="U4" s="1880"/>
      <c r="V4" s="1880"/>
      <c r="W4" s="1880"/>
      <c r="X4" s="1880"/>
      <c r="Y4" s="1880"/>
      <c r="Z4" s="1880"/>
      <c r="AA4" s="1880"/>
      <c r="AB4" s="1880"/>
    </row>
    <row r="5" spans="1:28" ht="13.5" thickTop="1">
      <c r="A5" s="2550" t="s">
        <v>2672</v>
      </c>
      <c r="B5" s="2551"/>
      <c r="C5" s="2552"/>
      <c r="D5" s="2553"/>
      <c r="E5" s="2838"/>
      <c r="F5" s="2838"/>
      <c r="G5" s="2838"/>
      <c r="H5" s="2838"/>
      <c r="I5" s="2838"/>
      <c r="J5" s="2612"/>
      <c r="K5" s="2549" t="str">
        <f>IF(F4="——","",IF(H4="——",F4&amp;"（注册号："&amp;G4&amp;")",CONCATENATE(F4,"（注册号：",G4,")、",H4,"（注册号：",I4,")")))</f>
        <v>（注册号：0)、（注册号：0)</v>
      </c>
      <c r="L5" s="2540"/>
      <c r="M5" s="2540"/>
      <c r="N5" s="2541"/>
      <c r="O5" s="1710"/>
      <c r="P5" s="2541"/>
      <c r="Q5" s="2541"/>
      <c r="R5" s="2541"/>
      <c r="S5" s="1880"/>
      <c r="T5" s="1880"/>
      <c r="U5" s="1880"/>
      <c r="V5" s="1880"/>
      <c r="W5" s="1880"/>
      <c r="X5" s="1880"/>
      <c r="Y5" s="1880"/>
      <c r="Z5" s="1880"/>
      <c r="AA5" s="1880"/>
      <c r="AB5" s="1880"/>
    </row>
    <row r="6" spans="1:28">
      <c r="A6" s="2554" t="s">
        <v>2673</v>
      </c>
      <c r="B6" s="2555"/>
      <c r="C6" s="2556"/>
      <c r="D6" s="2557"/>
      <c r="E6" s="2836"/>
      <c r="F6" s="2838"/>
      <c r="G6" s="2838"/>
      <c r="H6" s="2838"/>
      <c r="I6" s="2838"/>
      <c r="J6" s="2612"/>
      <c r="K6" s="2788" t="str">
        <f>IF(COUNTIF(B6,"*上海银行*"),"上海银行","")</f>
        <v/>
      </c>
      <c r="L6" s="2786"/>
      <c r="M6" s="2786"/>
      <c r="N6" s="2612"/>
      <c r="O6" s="2623"/>
      <c r="P6" s="2612"/>
      <c r="Q6" s="2612"/>
      <c r="R6" s="2612"/>
    </row>
    <row r="7" spans="1:28">
      <c r="A7" s="2554" t="s">
        <v>2674</v>
      </c>
      <c r="B7" s="2558"/>
      <c r="C7" s="2556"/>
      <c r="D7" s="2557"/>
      <c r="E7" s="2836"/>
      <c r="F7" s="2838"/>
      <c r="G7" s="2838"/>
      <c r="H7" s="2838"/>
      <c r="I7" s="2838"/>
      <c r="J7" s="2612"/>
      <c r="K7" s="2789"/>
      <c r="L7" s="2786"/>
      <c r="M7" s="2786"/>
      <c r="N7" s="2612"/>
      <c r="O7" s="2623"/>
      <c r="P7" s="2612"/>
      <c r="Q7" s="2612"/>
      <c r="R7" s="2612"/>
    </row>
    <row r="8" spans="1:28">
      <c r="A8" s="2559" t="s">
        <v>2675</v>
      </c>
      <c r="B8" s="2560" t="s">
        <v>3173</v>
      </c>
      <c r="C8" s="2561"/>
      <c r="D8" s="3305" t="s">
        <v>2676</v>
      </c>
      <c r="E8" s="2562"/>
      <c r="F8" s="2563"/>
      <c r="G8" s="2837"/>
      <c r="H8" s="2837"/>
      <c r="I8" s="2837"/>
      <c r="J8" s="2612"/>
      <c r="K8" s="2787"/>
      <c r="L8" s="2786"/>
      <c r="M8" s="2786"/>
      <c r="N8" s="2612"/>
      <c r="O8" s="2623"/>
      <c r="P8" s="2612"/>
      <c r="Q8" s="2612"/>
      <c r="R8" s="2612"/>
    </row>
    <row r="9" spans="1:28" ht="13.5" thickBot="1">
      <c r="A9" s="2564" t="s">
        <v>2677</v>
      </c>
      <c r="B9" s="2565" t="s">
        <v>3174</v>
      </c>
      <c r="C9" s="2566"/>
      <c r="D9" s="3306"/>
      <c r="E9" s="2565"/>
      <c r="F9" s="2567"/>
      <c r="G9" s="2839"/>
      <c r="H9" s="2839"/>
      <c r="I9" s="2839"/>
      <c r="J9" s="2612"/>
      <c r="K9" s="2789"/>
      <c r="L9" s="2786"/>
      <c r="M9" s="2786"/>
      <c r="N9" s="2612"/>
      <c r="O9" s="2623"/>
      <c r="P9" s="2612"/>
      <c r="Q9" s="2612"/>
      <c r="R9" s="2612"/>
    </row>
    <row r="10" spans="1:28" ht="13.5" thickTop="1">
      <c r="A10" s="2568" t="s">
        <v>2678</v>
      </c>
      <c r="B10" s="2569" t="s">
        <v>3512</v>
      </c>
      <c r="C10" s="2570"/>
      <c r="D10" s="2553"/>
      <c r="E10" s="2571" t="s">
        <v>2679</v>
      </c>
      <c r="F10" s="2840"/>
      <c r="G10" s="2841"/>
      <c r="H10" s="2842"/>
      <c r="I10" s="2843"/>
      <c r="J10" s="2612"/>
      <c r="K10" s="2789"/>
      <c r="L10" s="2786"/>
      <c r="M10" s="2786"/>
      <c r="N10" s="2612"/>
      <c r="O10" s="2623"/>
      <c r="P10" s="2612"/>
      <c r="Q10" s="2612"/>
      <c r="R10" s="2612"/>
    </row>
    <row r="11" spans="1:28">
      <c r="A11" s="2572" t="s">
        <v>2680</v>
      </c>
      <c r="B11" s="2573" t="s">
        <v>3511</v>
      </c>
      <c r="C11" s="2574"/>
      <c r="D11" s="2575"/>
      <c r="E11" s="2541"/>
      <c r="F11" s="2541"/>
      <c r="G11" s="2541"/>
      <c r="H11" s="2541"/>
      <c r="I11" s="2541"/>
      <c r="J11" s="2612"/>
      <c r="K11" s="2789"/>
      <c r="L11" s="2786"/>
      <c r="M11" s="2786"/>
      <c r="N11" s="2612"/>
      <c r="O11" s="2623"/>
      <c r="P11" s="2612"/>
      <c r="Q11" s="2612"/>
      <c r="R11" s="2612"/>
    </row>
    <row r="12" spans="1:28">
      <c r="A12" s="2576" t="s">
        <v>2681</v>
      </c>
      <c r="B12" s="2573" t="s">
        <v>3510</v>
      </c>
      <c r="C12" s="328" t="s">
        <v>2682</v>
      </c>
      <c r="D12" s="2577" t="s">
        <v>2683</v>
      </c>
      <c r="E12" s="2577" t="s">
        <v>2684</v>
      </c>
      <c r="F12" s="2577" t="s">
        <v>2685</v>
      </c>
      <c r="G12" s="2577" t="s">
        <v>2686</v>
      </c>
      <c r="H12" s="2577" t="s">
        <v>2687</v>
      </c>
      <c r="I12" s="2577" t="s">
        <v>2688</v>
      </c>
      <c r="J12" s="2612"/>
      <c r="K12" s="2789"/>
      <c r="L12" s="2786"/>
      <c r="M12" s="2786"/>
      <c r="N12" s="2612"/>
      <c r="O12" s="2623"/>
      <c r="P12" s="2612"/>
      <c r="Q12" s="2612"/>
      <c r="R12" s="2612"/>
    </row>
    <row r="13" spans="1:28">
      <c r="A13" s="1193"/>
      <c r="B13" s="2578"/>
      <c r="C13" s="2579" t="s">
        <v>2689</v>
      </c>
      <c r="D13" s="945"/>
      <c r="E13" s="945"/>
      <c r="F13" s="945"/>
      <c r="G13" s="945"/>
      <c r="H13" s="945"/>
      <c r="I13" s="945">
        <v>56204</v>
      </c>
      <c r="J13" s="2612"/>
      <c r="K13" s="2789"/>
      <c r="L13" s="2786"/>
      <c r="M13" s="2786"/>
      <c r="N13" s="2612"/>
      <c r="O13" s="2623"/>
      <c r="P13" s="2612"/>
      <c r="Q13" s="2612"/>
      <c r="R13" s="2612"/>
    </row>
    <row r="14" spans="1:28">
      <c r="A14" s="1193"/>
      <c r="B14" s="2578"/>
      <c r="C14" s="2579" t="s">
        <v>2690</v>
      </c>
      <c r="D14" s="2580"/>
      <c r="E14" s="2580"/>
      <c r="F14" s="2580"/>
      <c r="G14" s="2580"/>
      <c r="H14" s="2580"/>
      <c r="I14" s="2580">
        <v>50</v>
      </c>
      <c r="J14" s="2612"/>
      <c r="K14" s="2790"/>
      <c r="L14" s="2786"/>
      <c r="M14" s="2786"/>
      <c r="N14" s="2612"/>
      <c r="O14" s="2623"/>
      <c r="P14" s="2612"/>
      <c r="Q14" s="2612"/>
      <c r="R14" s="2612"/>
    </row>
    <row r="15" spans="1:28">
      <c r="A15" s="325"/>
      <c r="B15" s="2581"/>
      <c r="C15" s="2582" t="s">
        <v>2691</v>
      </c>
      <c r="D15" s="2583" t="str">
        <f>IF(B12="出让",IF(D13="","",ROUNDDOWN(MIN((D13-$D$3)/365,D14),2)),D14)</f>
        <v/>
      </c>
      <c r="E15" s="2583" t="str">
        <f>IF(B12="出让",IF(E13="","",ROUNDDOWN(MIN((E13-$D$3)/365,E14),2)),E14)</f>
        <v/>
      </c>
      <c r="F15" s="2583" t="str">
        <f>IF(B12="出让",IF(F13="","",ROUNDDOWN(MIN((F13-$D$3)/365,F14),2)),F14)</f>
        <v/>
      </c>
      <c r="G15" s="2583" t="str">
        <f>IF(B12="出让",IF(G13="","",ROUNDDOWN(MIN((G13-$D$3)/365,G14),2)),G14)</f>
        <v/>
      </c>
      <c r="H15" s="2583" t="str">
        <f>IF(B12="出让",IF(H13="","",ROUNDDOWN(MIN((H13-$D$3)/365,H14),2)),H14)</f>
        <v/>
      </c>
      <c r="I15" s="2583">
        <f>IF(B12="出让",IF(I13="","",ROUNDDOWN(MIN((I13-$D$3)/365,I14),2)),I14)</f>
        <v>31.29</v>
      </c>
      <c r="J15" s="2612"/>
      <c r="K15" s="2791"/>
      <c r="L15" s="2624"/>
      <c r="M15" s="2624"/>
      <c r="N15" s="2682"/>
      <c r="O15" s="2624"/>
      <c r="P15" s="2682"/>
      <c r="Q15" s="2612"/>
      <c r="R15" s="2612"/>
    </row>
    <row r="16" spans="1:28">
      <c r="A16" s="2571" t="s">
        <v>2692</v>
      </c>
      <c r="B16" s="3312"/>
      <c r="C16" s="3313"/>
      <c r="D16" s="3314"/>
      <c r="E16" s="2586" t="s">
        <v>2693</v>
      </c>
      <c r="F16" s="3315"/>
      <c r="G16" s="3316"/>
      <c r="H16" s="3316"/>
      <c r="I16" s="3317"/>
      <c r="J16" s="2612"/>
      <c r="K16" s="2791"/>
      <c r="L16" s="2624"/>
      <c r="M16" s="2624"/>
      <c r="N16" s="2682"/>
      <c r="O16" s="2624"/>
      <c r="P16" s="2682"/>
      <c r="Q16" s="2612"/>
      <c r="R16" s="2612"/>
    </row>
    <row r="17" spans="1:28">
      <c r="A17" s="318" t="s">
        <v>2694</v>
      </c>
      <c r="B17" s="307" t="s">
        <v>2695</v>
      </c>
      <c r="C17" s="11">
        <f>'数据-汇总表'!E3</f>
        <v>13867.57</v>
      </c>
      <c r="D17" s="2493" t="s">
        <v>2696</v>
      </c>
      <c r="E17" s="3318" t="s">
        <v>2697</v>
      </c>
      <c r="F17" s="3319"/>
      <c r="G17" s="3319"/>
      <c r="H17" s="3319"/>
      <c r="I17" s="3320"/>
      <c r="J17" s="2612"/>
      <c r="K17" s="2792"/>
      <c r="L17" s="2624"/>
      <c r="M17" s="2624"/>
      <c r="N17" s="2682"/>
      <c r="O17" s="2624"/>
      <c r="P17" s="2682"/>
      <c r="Q17" s="2612"/>
      <c r="R17" s="2612"/>
      <c r="S17" s="2612"/>
      <c r="T17" s="2612"/>
      <c r="U17" s="2612"/>
      <c r="V17" s="2612"/>
    </row>
    <row r="18" spans="1:28" ht="24.75" thickBot="1">
      <c r="A18" s="2587" t="s">
        <v>2698</v>
      </c>
      <c r="B18" s="1202" t="s">
        <v>2699</v>
      </c>
      <c r="C18" s="2588">
        <f>'数据-汇总表'!D3</f>
        <v>17188</v>
      </c>
      <c r="D18" s="1204" t="s">
        <v>2700</v>
      </c>
      <c r="E18" s="3321" t="s">
        <v>2701</v>
      </c>
      <c r="F18" s="3322"/>
      <c r="G18" s="3322"/>
      <c r="H18" s="3322"/>
      <c r="I18" s="3323"/>
      <c r="J18" s="2612"/>
      <c r="K18" s="2792"/>
      <c r="L18" s="2624"/>
      <c r="M18" s="2624"/>
      <c r="N18" s="2682"/>
      <c r="O18" s="2624"/>
      <c r="P18" s="2682"/>
      <c r="Q18" s="2612"/>
      <c r="R18" s="2612"/>
      <c r="S18" s="2612"/>
      <c r="T18" s="2612"/>
      <c r="U18" s="2612"/>
      <c r="V18" s="2612"/>
    </row>
    <row r="19" spans="1:28" ht="37.5" thickTop="1" thickBot="1">
      <c r="A19" s="332" t="s">
        <v>1500</v>
      </c>
      <c r="B19" s="312" t="s">
        <v>2702</v>
      </c>
      <c r="C19" s="1697"/>
      <c r="D19" s="1698" t="s">
        <v>2703</v>
      </c>
      <c r="E19" s="1699"/>
      <c r="F19" s="1700" t="str">
        <f>IF(AND(C19="是",E19="否"),"是否提供他项权证或相关说明","")</f>
        <v/>
      </c>
      <c r="G19" s="1701"/>
      <c r="H19" s="2838"/>
      <c r="I19" s="2838"/>
      <c r="J19" s="2612"/>
      <c r="K19" s="2789"/>
      <c r="L19" s="2786"/>
      <c r="M19" s="2786"/>
      <c r="N19" s="2682"/>
      <c r="O19" s="2624"/>
      <c r="P19" s="2682"/>
      <c r="Q19" s="2612"/>
      <c r="R19" s="2612"/>
      <c r="S19" s="2612"/>
      <c r="T19" s="2612"/>
      <c r="U19" s="2612"/>
      <c r="V19" s="2612"/>
    </row>
    <row r="20" spans="1:28">
      <c r="A20" s="2806" t="s">
        <v>2704</v>
      </c>
      <c r="B20" s="3308" t="s">
        <v>2705</v>
      </c>
      <c r="C20" s="3309"/>
      <c r="D20" s="3310" t="s">
        <v>2706</v>
      </c>
      <c r="E20" s="3311"/>
      <c r="F20" s="2821" t="s">
        <v>1501</v>
      </c>
      <c r="G20" s="2838"/>
      <c r="H20" s="2838"/>
      <c r="I20" s="2838"/>
      <c r="J20" s="2612"/>
      <c r="K20" s="3307" t="s">
        <v>2707</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0"/>
      <c r="N20" s="2585"/>
      <c r="O20" s="2584"/>
      <c r="P20" s="2585"/>
      <c r="Q20" s="2541"/>
      <c r="R20" s="2541"/>
      <c r="S20" s="2541"/>
      <c r="T20" s="2541"/>
      <c r="U20" s="2541"/>
      <c r="V20" s="2541"/>
      <c r="W20" s="1880"/>
      <c r="X20" s="1880"/>
      <c r="Y20" s="1880"/>
      <c r="Z20" s="1880"/>
      <c r="AA20" s="1880"/>
      <c r="AB20" s="1880"/>
    </row>
    <row r="21" spans="1:28" ht="24.75" thickBot="1">
      <c r="A21" s="2806"/>
      <c r="B21" s="2807" t="s">
        <v>2708</v>
      </c>
      <c r="C21" s="2808" t="s">
        <v>1502</v>
      </c>
      <c r="D21" s="1702" t="s">
        <v>2709</v>
      </c>
      <c r="E21" s="2809" t="s">
        <v>1502</v>
      </c>
      <c r="F21" s="2822"/>
      <c r="G21" s="2838"/>
      <c r="H21" s="2838"/>
      <c r="I21" s="2838"/>
      <c r="J21" s="2612"/>
      <c r="K21" s="330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80"/>
      <c r="X21" s="1880"/>
      <c r="Y21" s="1880"/>
      <c r="Z21" s="1880"/>
      <c r="AA21" s="1880"/>
      <c r="AB21" s="1880"/>
    </row>
    <row r="22" spans="1:28" ht="24.75" thickBot="1">
      <c r="A22" s="2806"/>
      <c r="B22" s="2810" t="s">
        <v>2710</v>
      </c>
      <c r="C22" s="2808" t="s">
        <v>1503</v>
      </c>
      <c r="D22" s="2837"/>
      <c r="E22" s="2837"/>
      <c r="F22" s="2837"/>
      <c r="G22" s="2838"/>
      <c r="H22" s="2838"/>
      <c r="I22" s="2838"/>
      <c r="J22" s="2612"/>
      <c r="K22" s="330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80"/>
      <c r="X22" s="1880"/>
      <c r="Y22" s="1880"/>
      <c r="Z22" s="1880"/>
      <c r="AA22" s="1880"/>
      <c r="AB22" s="1880"/>
    </row>
    <row r="23" spans="1:28">
      <c r="A23" s="2811" t="s">
        <v>2711</v>
      </c>
      <c r="B23" s="2675" t="s">
        <v>2712</v>
      </c>
      <c r="C23" s="2812"/>
      <c r="D23" s="2813" t="s">
        <v>2712</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95" t="s">
        <v>2713</v>
      </c>
      <c r="B27" s="325" t="s">
        <v>2714</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295"/>
      <c r="B28" s="307" t="s">
        <v>2715</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295"/>
      <c r="B29" s="307" t="s">
        <v>2716</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296"/>
      <c r="B30" s="307" t="s">
        <v>2717</v>
      </c>
      <c r="C30" s="3297"/>
      <c r="D30" s="3298"/>
      <c r="E30" s="2838"/>
      <c r="F30" s="2838"/>
      <c r="G30" s="2838"/>
      <c r="H30" s="2838"/>
      <c r="I30" s="2838"/>
      <c r="J30" s="2612"/>
      <c r="K30" s="2789"/>
      <c r="L30" s="2786"/>
      <c r="M30" s="2786"/>
      <c r="N30" s="2612"/>
      <c r="O30" s="2623"/>
      <c r="P30" s="2612"/>
      <c r="Q30" s="2612"/>
      <c r="R30" s="2612"/>
      <c r="S30" s="2612"/>
      <c r="T30" s="2612"/>
      <c r="U30" s="2612"/>
      <c r="V30" s="2612"/>
    </row>
    <row r="31" spans="1:28">
      <c r="A31" s="3299" t="s">
        <v>2718</v>
      </c>
      <c r="B31" s="2595"/>
      <c r="C31" s="2494" t="str">
        <f>IF(B31="现房","成新及维护状况正常否",IF(B31="在建","工程状态是否正常",IF(B31="土地","是否闲置","-")))</f>
        <v>-</v>
      </c>
      <c r="D31" s="1506"/>
      <c r="E31" s="2596"/>
      <c r="F31" s="2838"/>
      <c r="G31" s="2838"/>
      <c r="H31" s="2838"/>
      <c r="I31" s="2838"/>
      <c r="J31" s="2612"/>
      <c r="K31" s="2788"/>
      <c r="L31" s="2786"/>
      <c r="M31" s="2786"/>
      <c r="N31" s="2612"/>
      <c r="O31" s="2623"/>
      <c r="P31" s="2612"/>
      <c r="Q31" s="2612"/>
      <c r="R31" s="2612"/>
      <c r="S31" s="2612"/>
      <c r="T31" s="2612"/>
      <c r="U31" s="2612"/>
      <c r="V31" s="2612"/>
    </row>
    <row r="32" spans="1:28">
      <c r="A32" s="3300"/>
      <c r="B32" s="2595"/>
      <c r="C32" s="2494" t="str">
        <f>IF(B32="现房","成新及维护状况是否正常",IF(B32="在建","工程状态是否正常",IF(B32="土地","是否闲置","-")))</f>
        <v>-</v>
      </c>
      <c r="D32" s="1506"/>
      <c r="E32" s="2596"/>
      <c r="F32" s="2838"/>
      <c r="G32" s="2838"/>
      <c r="H32" s="2838"/>
      <c r="I32" s="2838"/>
      <c r="J32" s="2612"/>
      <c r="K32" s="2789"/>
      <c r="L32" s="2786"/>
      <c r="M32" s="2786"/>
      <c r="N32" s="2612"/>
      <c r="O32" s="2623"/>
      <c r="P32" s="2612"/>
      <c r="Q32" s="2612"/>
      <c r="R32" s="2612"/>
      <c r="S32" s="2612"/>
      <c r="T32" s="2612"/>
      <c r="U32" s="2612"/>
      <c r="V32" s="2612"/>
    </row>
    <row r="33" spans="1:30">
      <c r="A33" s="3300"/>
      <c r="B33" s="2598"/>
      <c r="C33" s="1724" t="str">
        <f>IF(B33="现房","成新及维护状况是否正常",IF(B33="在建","工程状态是否正常",IF(B33="土地","是否闲置","-")))</f>
        <v>-</v>
      </c>
      <c r="D33" s="1498"/>
      <c r="E33" s="2599"/>
      <c r="F33" s="2838"/>
      <c r="G33" s="2838"/>
      <c r="H33" s="2838"/>
      <c r="I33" s="2838"/>
      <c r="J33" s="2612"/>
      <c r="K33" s="2789"/>
      <c r="L33" s="2786"/>
      <c r="M33" s="2786"/>
      <c r="N33" s="2612"/>
      <c r="O33" s="2623"/>
      <c r="P33" s="2612"/>
      <c r="Q33" s="2612"/>
      <c r="R33" s="2612"/>
      <c r="S33" s="2612"/>
      <c r="T33" s="2612"/>
      <c r="U33" s="2612"/>
      <c r="V33" s="2612"/>
    </row>
    <row r="34" spans="1:30">
      <c r="A34" s="307" t="s">
        <v>2719</v>
      </c>
      <c r="B34" s="2162"/>
      <c r="C34" s="2162"/>
      <c r="D34" s="2162"/>
      <c r="E34" s="2162"/>
      <c r="F34" s="2162"/>
      <c r="G34" s="2162"/>
      <c r="H34" s="2162"/>
      <c r="I34" s="2838"/>
      <c r="J34" s="2612"/>
      <c r="K34" s="2600">
        <f>COUNTIF(B34:H34,"——")</f>
        <v>0</v>
      </c>
      <c r="L34" s="328" t="s">
        <v>2720</v>
      </c>
      <c r="M34" s="328" t="s">
        <v>2721</v>
      </c>
      <c r="N34" s="328" t="s">
        <v>2722</v>
      </c>
      <c r="O34" s="328" t="s">
        <v>2723</v>
      </c>
      <c r="P34" s="328" t="s">
        <v>2724</v>
      </c>
      <c r="Q34" s="328" t="s">
        <v>2725</v>
      </c>
      <c r="R34" s="328" t="s">
        <v>2726</v>
      </c>
      <c r="S34" s="3294" t="s">
        <v>2727</v>
      </c>
      <c r="T34" s="2601" t="str">
        <f>NUMBERSTRING(7-K34,1)&amp;"通"</f>
        <v>七通</v>
      </c>
      <c r="U34" s="2612"/>
      <c r="V34" s="2612"/>
    </row>
    <row r="35" spans="1:30">
      <c r="A35" s="2602"/>
      <c r="B35" s="3301" t="s">
        <v>2728</v>
      </c>
      <c r="C35" s="3301"/>
      <c r="D35" s="3301"/>
      <c r="E35" s="3301"/>
      <c r="F35" s="672">
        <f>C10</f>
        <v>0</v>
      </c>
      <c r="G35" s="2838"/>
      <c r="H35" s="2838"/>
      <c r="I35" s="2838"/>
      <c r="J35" s="261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4"/>
      <c r="T35" s="334" t="str">
        <f>IF(T34="一通",L35,IF(T34="二通",M35,IF(T34="三通",N35,IF(T34="四通",O35,IF(T34="五通",P35,IF(T34="六通",Q35,R35))))))</f>
        <v>、、、、、、</v>
      </c>
      <c r="U35" s="2612"/>
      <c r="V35" s="2612"/>
    </row>
    <row r="36" spans="1:30">
      <c r="A36" s="2603"/>
      <c r="B36" s="672" t="s">
        <v>2684</v>
      </c>
      <c r="C36" s="672" t="s">
        <v>2685</v>
      </c>
      <c r="D36" s="672" t="s">
        <v>2683</v>
      </c>
      <c r="E36" s="672" t="s">
        <v>2688</v>
      </c>
      <c r="F36" s="2844"/>
      <c r="G36" s="2838"/>
      <c r="H36" s="2838"/>
      <c r="I36" s="2838"/>
      <c r="J36" s="2612"/>
      <c r="K36" s="2789"/>
      <c r="L36" s="2786"/>
      <c r="M36" s="2786"/>
      <c r="N36" s="2612"/>
      <c r="O36" s="2623"/>
      <c r="P36" s="2612"/>
      <c r="Q36" s="2612"/>
      <c r="R36" s="2612"/>
      <c r="S36" s="2612"/>
      <c r="T36" s="2612"/>
      <c r="U36" s="2612"/>
      <c r="V36" s="2612"/>
    </row>
    <row r="37" spans="1:30">
      <c r="A37" s="2804" t="s">
        <v>2729</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2730</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2731</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1"/>
      <c r="B40" s="2541"/>
      <c r="C40" s="2541"/>
      <c r="D40" s="2541"/>
      <c r="E40" s="2541"/>
      <c r="F40" s="2541"/>
      <c r="G40" s="2541"/>
      <c r="H40" s="2541"/>
      <c r="I40" s="1712"/>
      <c r="J40" s="2682"/>
      <c r="K40" s="2788"/>
      <c r="L40" s="2624"/>
      <c r="M40" s="2624"/>
      <c r="N40" s="2682"/>
      <c r="O40" s="2624"/>
      <c r="P40" s="2612"/>
      <c r="Q40" s="2612"/>
      <c r="R40" s="2612"/>
      <c r="S40" s="2612"/>
      <c r="T40" s="2612"/>
      <c r="U40" s="2612"/>
      <c r="V40" s="2612"/>
    </row>
    <row r="41" spans="1:30">
      <c r="A41" s="2609" t="s">
        <v>2732</v>
      </c>
      <c r="B41" s="1892"/>
      <c r="C41" s="1506"/>
      <c r="D41" s="2541"/>
      <c r="E41" s="2541"/>
      <c r="F41" s="2541"/>
      <c r="G41" s="2541"/>
      <c r="H41" s="2541"/>
      <c r="I41" s="1710"/>
      <c r="J41" s="2612"/>
      <c r="K41" s="2789"/>
      <c r="L41" s="2786"/>
      <c r="M41" s="2786"/>
      <c r="N41" s="2612"/>
      <c r="O41" s="2623"/>
      <c r="P41" s="2612"/>
      <c r="Q41" s="2612"/>
      <c r="R41" s="2612"/>
      <c r="S41" s="2612"/>
      <c r="T41" s="2612"/>
      <c r="U41" s="2612"/>
      <c r="V41" s="2612"/>
    </row>
    <row r="42" spans="1:30" ht="25.5">
      <c r="A42" s="328" t="s">
        <v>2733</v>
      </c>
      <c r="B42" s="11" t="s">
        <v>2734</v>
      </c>
      <c r="C42" s="11" t="s">
        <v>2735</v>
      </c>
      <c r="D42" s="11" t="s">
        <v>2736</v>
      </c>
      <c r="E42" s="11" t="s">
        <v>2737</v>
      </c>
      <c r="F42" s="11" t="s">
        <v>2738</v>
      </c>
      <c r="G42" s="11" t="s">
        <v>2739</v>
      </c>
      <c r="H42" s="11" t="s">
        <v>2740</v>
      </c>
      <c r="I42" s="11" t="s">
        <v>2741</v>
      </c>
      <c r="J42" s="2800" t="s">
        <v>2742</v>
      </c>
      <c r="K42" s="2801" t="s">
        <v>2743</v>
      </c>
      <c r="L42" s="2801" t="s">
        <v>2744</v>
      </c>
      <c r="M42" s="2801" t="s">
        <v>2745</v>
      </c>
      <c r="N42" s="2794" t="s">
        <v>2746</v>
      </c>
      <c r="O42" s="2794" t="s">
        <v>2747</v>
      </c>
      <c r="P42" s="2794" t="s">
        <v>2748</v>
      </c>
      <c r="Q42" s="2795" t="s">
        <v>2749</v>
      </c>
      <c r="R42" s="2795" t="s">
        <v>2750</v>
      </c>
      <c r="S42" s="2612"/>
      <c r="T42" s="2612"/>
      <c r="U42" s="2612"/>
      <c r="V42" s="2612"/>
    </row>
    <row r="43" spans="1:30" s="1878" customFormat="1">
      <c r="A43" s="1704"/>
      <c r="B43" s="1162"/>
      <c r="C43" s="1162"/>
      <c r="D43" s="1162"/>
      <c r="E43" s="1162"/>
      <c r="F43" s="1162"/>
      <c r="G43" s="1162"/>
      <c r="H43" s="1162"/>
      <c r="I43" s="1162"/>
      <c r="J43" s="2610"/>
      <c r="K43" s="2611"/>
      <c r="L43" s="2611"/>
      <c r="M43" s="1162"/>
      <c r="N43" s="1162"/>
      <c r="O43" s="1162"/>
      <c r="P43" s="1162"/>
      <c r="Q43" s="1162"/>
      <c r="R43" s="1162"/>
      <c r="S43" s="2612"/>
      <c r="T43" s="2612"/>
      <c r="U43" s="2612"/>
      <c r="V43" s="2612"/>
    </row>
    <row r="44" spans="1:30" s="1878" customFormat="1">
      <c r="A44" s="1704"/>
      <c r="B44" s="1704"/>
      <c r="C44" s="1162"/>
      <c r="D44" s="1162"/>
      <c r="E44" s="1162"/>
      <c r="F44" s="1162"/>
      <c r="G44" s="1162"/>
      <c r="H44" s="1162"/>
      <c r="I44" s="1162"/>
      <c r="J44" s="2610"/>
      <c r="K44" s="2611"/>
      <c r="L44" s="2611"/>
      <c r="M44" s="1162"/>
      <c r="N44" s="1162"/>
      <c r="O44" s="1162"/>
      <c r="P44" s="1162"/>
      <c r="Q44" s="1162"/>
      <c r="R44" s="1162"/>
      <c r="S44" s="2612"/>
      <c r="T44" s="2612"/>
      <c r="U44" s="2612"/>
      <c r="V44" s="2612"/>
    </row>
    <row r="45" spans="1:30" s="1878" customFormat="1">
      <c r="A45" s="1704"/>
      <c r="B45" s="1704"/>
      <c r="C45" s="1162"/>
      <c r="D45" s="1162"/>
      <c r="E45" s="1162"/>
      <c r="F45" s="1162"/>
      <c r="G45" s="1162"/>
      <c r="H45" s="1162"/>
      <c r="I45" s="1162"/>
      <c r="J45" s="2610"/>
      <c r="K45" s="2611"/>
      <c r="L45" s="2611"/>
      <c r="M45" s="1162"/>
      <c r="N45" s="1162"/>
      <c r="O45" s="1162"/>
      <c r="P45" s="1162"/>
      <c r="Q45" s="1162"/>
      <c r="R45" s="1162"/>
      <c r="S45" s="2612"/>
      <c r="T45" s="2612"/>
      <c r="U45" s="2612"/>
      <c r="V45" s="2612"/>
    </row>
    <row r="46" spans="1:30" s="1878" customFormat="1">
      <c r="A46" s="1704"/>
      <c r="B46" s="1704"/>
      <c r="C46" s="1162"/>
      <c r="D46" s="1162"/>
      <c r="E46" s="1162"/>
      <c r="F46" s="1162"/>
      <c r="G46" s="1162"/>
      <c r="H46" s="1162"/>
      <c r="I46" s="1162"/>
      <c r="J46" s="2610"/>
      <c r="K46" s="2611"/>
      <c r="L46" s="2611"/>
      <c r="M46" s="1162"/>
      <c r="N46" s="1162"/>
      <c r="O46" s="1162"/>
      <c r="P46" s="1162"/>
      <c r="Q46" s="1162"/>
      <c r="R46" s="1162"/>
      <c r="S46" s="2612"/>
      <c r="T46" s="2612"/>
      <c r="U46" s="2612"/>
      <c r="V46" s="2612"/>
    </row>
    <row r="47" spans="1:30" s="1878" customFormat="1">
      <c r="A47" s="1704"/>
      <c r="B47" s="1704"/>
      <c r="C47" s="1162"/>
      <c r="D47" s="1162"/>
      <c r="E47" s="1162"/>
      <c r="F47" s="1162"/>
      <c r="G47" s="1162"/>
      <c r="H47" s="1162"/>
      <c r="I47" s="1162"/>
      <c r="J47" s="2610"/>
      <c r="K47" s="2611"/>
      <c r="L47" s="2611"/>
      <c r="M47" s="1162"/>
      <c r="N47" s="1162"/>
      <c r="O47" s="1162"/>
      <c r="P47" s="1162"/>
      <c r="Q47" s="1162"/>
      <c r="R47" s="1162"/>
      <c r="S47" s="2612"/>
      <c r="T47" s="2612"/>
      <c r="U47" s="2612"/>
      <c r="V47" s="2612"/>
    </row>
    <row r="48" spans="1:30" s="1878" customFormat="1">
      <c r="A48" s="1704"/>
      <c r="B48" s="1704"/>
      <c r="C48" s="1162"/>
      <c r="D48" s="1162"/>
      <c r="E48" s="1162"/>
      <c r="F48" s="1162"/>
      <c r="G48" s="1162"/>
      <c r="H48" s="1162"/>
      <c r="I48" s="1162"/>
      <c r="J48" s="2610"/>
      <c r="K48" s="2611"/>
      <c r="L48" s="2611"/>
      <c r="M48" s="1162"/>
      <c r="N48" s="1162"/>
      <c r="O48" s="1162"/>
      <c r="P48" s="1162"/>
      <c r="Q48" s="1162"/>
      <c r="R48" s="1162"/>
      <c r="S48" s="2612"/>
      <c r="T48" s="2612"/>
      <c r="U48" s="2612"/>
      <c r="V48" s="2612"/>
    </row>
    <row r="49" spans="1:22" s="1878" customFormat="1">
      <c r="A49" s="1704"/>
      <c r="B49" s="1704"/>
      <c r="C49" s="1162"/>
      <c r="D49" s="1162"/>
      <c r="E49" s="1162"/>
      <c r="F49" s="1162"/>
      <c r="G49" s="1162"/>
      <c r="H49" s="1162"/>
      <c r="I49" s="1162"/>
      <c r="J49" s="2610"/>
      <c r="K49" s="2611"/>
      <c r="L49" s="2611"/>
      <c r="M49" s="1162"/>
      <c r="N49" s="1162"/>
      <c r="O49" s="1162"/>
      <c r="P49" s="1162"/>
      <c r="Q49" s="1162"/>
      <c r="R49" s="1162"/>
      <c r="S49" s="2612"/>
      <c r="T49" s="2612"/>
      <c r="U49" s="2612"/>
      <c r="V49" s="2612"/>
    </row>
    <row r="50" spans="1:22" s="1878" customFormat="1">
      <c r="A50" s="1704"/>
      <c r="B50" s="1704"/>
      <c r="C50" s="1162"/>
      <c r="D50" s="1162"/>
      <c r="E50" s="1162"/>
      <c r="F50" s="1162"/>
      <c r="G50" s="1162"/>
      <c r="H50" s="1162"/>
      <c r="I50" s="1162"/>
      <c r="J50" s="2610"/>
      <c r="K50" s="2611"/>
      <c r="L50" s="2611"/>
      <c r="M50" s="1162"/>
      <c r="N50" s="1162"/>
      <c r="O50" s="1162"/>
      <c r="P50" s="1162"/>
      <c r="Q50" s="1162"/>
      <c r="R50" s="1162"/>
      <c r="S50" s="2612"/>
      <c r="T50" s="2612"/>
      <c r="U50" s="2612"/>
      <c r="V50" s="2612"/>
    </row>
    <row r="51" spans="1:22" s="1878" customFormat="1">
      <c r="A51" s="1704"/>
      <c r="B51" s="1704"/>
      <c r="C51" s="1162"/>
      <c r="D51" s="1162"/>
      <c r="E51" s="1162"/>
      <c r="F51" s="1162"/>
      <c r="G51" s="1162"/>
      <c r="H51" s="1162"/>
      <c r="I51" s="1162"/>
      <c r="J51" s="2610"/>
      <c r="K51" s="2611"/>
      <c r="L51" s="2611"/>
      <c r="M51" s="1162"/>
      <c r="N51" s="1162"/>
      <c r="O51" s="1162"/>
      <c r="P51" s="1162"/>
      <c r="Q51" s="1162"/>
      <c r="R51" s="1162"/>
    </row>
    <row r="52" spans="1:22" s="1878" customFormat="1">
      <c r="A52" s="1704"/>
      <c r="B52" s="1704"/>
      <c r="C52" s="1704"/>
      <c r="D52" s="1704"/>
      <c r="E52" s="1704"/>
      <c r="F52" s="1162"/>
      <c r="G52" s="1704"/>
      <c r="H52" s="1704"/>
      <c r="I52" s="1704"/>
      <c r="J52" s="2613"/>
      <c r="K52" s="2611"/>
      <c r="L52" s="2611"/>
      <c r="M52" s="2611"/>
      <c r="N52" s="1704"/>
      <c r="O52" s="1704"/>
      <c r="P52" s="1704"/>
      <c r="Q52" s="1704"/>
      <c r="R52" s="1704"/>
    </row>
    <row r="53" spans="1:22" s="1878" customFormat="1">
      <c r="A53" s="1704"/>
      <c r="B53" s="1704"/>
      <c r="C53" s="1704"/>
      <c r="D53" s="1704"/>
      <c r="E53" s="1704"/>
      <c r="F53" s="1162"/>
      <c r="G53" s="1704"/>
      <c r="H53" s="1704"/>
      <c r="I53" s="1704"/>
      <c r="J53" s="2613"/>
      <c r="K53" s="2611"/>
      <c r="L53" s="2611"/>
      <c r="M53" s="2611"/>
      <c r="N53" s="1704"/>
      <c r="O53" s="1704"/>
      <c r="P53" s="1704"/>
      <c r="Q53" s="1704"/>
      <c r="R53" s="1704"/>
    </row>
    <row r="54" spans="1:22" s="1878" customFormat="1">
      <c r="A54" s="1704"/>
      <c r="B54" s="1704"/>
      <c r="C54" s="1704"/>
      <c r="D54" s="1704"/>
      <c r="E54" s="1704"/>
      <c r="F54" s="1162"/>
      <c r="G54" s="1704"/>
      <c r="H54" s="1704"/>
      <c r="I54" s="1704"/>
      <c r="J54" s="2613"/>
      <c r="K54" s="2611"/>
      <c r="L54" s="2611"/>
      <c r="M54" s="2611"/>
      <c r="N54" s="1704"/>
      <c r="O54" s="1704"/>
      <c r="P54" s="1704"/>
      <c r="Q54" s="1704"/>
      <c r="R54" s="1704"/>
    </row>
    <row r="55" spans="1:22" s="1878" customFormat="1">
      <c r="A55" s="1704"/>
      <c r="B55" s="1704"/>
      <c r="C55" s="1704"/>
      <c r="D55" s="1704"/>
      <c r="E55" s="1704"/>
      <c r="F55" s="1162"/>
      <c r="G55" s="1704"/>
      <c r="H55" s="1704"/>
      <c r="I55" s="1704"/>
      <c r="J55" s="2613"/>
      <c r="K55" s="2611"/>
      <c r="L55" s="2611"/>
      <c r="M55" s="2611"/>
      <c r="N55" s="1704"/>
      <c r="O55" s="1704"/>
      <c r="P55" s="1704"/>
      <c r="Q55" s="1704"/>
      <c r="R55" s="1704"/>
    </row>
    <row r="56" spans="1:22" s="1878" customFormat="1">
      <c r="A56" s="1704"/>
      <c r="B56" s="1704"/>
      <c r="C56" s="1704"/>
      <c r="D56" s="1704"/>
      <c r="E56" s="1704"/>
      <c r="F56" s="1162"/>
      <c r="G56" s="1704"/>
      <c r="H56" s="1704"/>
      <c r="I56" s="1704"/>
      <c r="J56" s="2613"/>
      <c r="K56" s="2611"/>
      <c r="L56" s="2611"/>
      <c r="M56" s="2611"/>
      <c r="N56" s="1704"/>
      <c r="O56" s="1704"/>
      <c r="P56" s="1704"/>
      <c r="Q56" s="1704"/>
      <c r="R56" s="170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v>17188</v>
      </c>
      <c r="B3" s="14">
        <f>IF(C3="否",G5-AT5,G5)</f>
        <v>13867.57</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1516</v>
      </c>
      <c r="B5" s="1480"/>
      <c r="C5" s="1480"/>
      <c r="D5" s="1482"/>
      <c r="E5" s="16" t="s">
        <v>1</v>
      </c>
      <c r="F5" s="16">
        <f>SUM(F13:F587)</f>
        <v>0</v>
      </c>
      <c r="G5" s="16">
        <f>SUM(G13:G587)</f>
        <v>13867.57</v>
      </c>
      <c r="H5" s="16">
        <f t="shared" ref="H5:AT5" si="0">SUM(H13:H656)</f>
        <v>13867.57</v>
      </c>
      <c r="I5" s="16">
        <f t="shared" si="0"/>
        <v>13867.57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13867.57</v>
      </c>
      <c r="BA5" s="18">
        <f t="shared" si="1"/>
        <v>13867.57</v>
      </c>
      <c r="BB5" s="18">
        <f t="shared" si="1"/>
        <v>13867.57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3" customFormat="1" ht="12.75">
      <c r="A6" s="15" t="s">
        <v>1517</v>
      </c>
      <c r="B6" s="1720"/>
      <c r="C6" s="1720"/>
      <c r="D6" s="1721"/>
      <c r="E6" s="16">
        <f>H6+AC6+AT6</f>
        <v>17188</v>
      </c>
      <c r="F6" s="16" t="s">
        <v>1</v>
      </c>
      <c r="G6" s="16" t="s">
        <v>2</v>
      </c>
      <c r="H6" s="20">
        <f>SUMIF(I$12:AB$12,"总值",I6:AB6)</f>
        <v>17188</v>
      </c>
      <c r="I6" s="16">
        <f t="shared" ref="I6:AB6" si="2">ROUND($A$3*I5/$B$3,2)</f>
        <v>17188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17188</v>
      </c>
      <c r="AZ6" s="16" t="s">
        <v>3</v>
      </c>
      <c r="BA6" s="16">
        <f>ROUND($AY$6*BA5/$AZ$5,2)</f>
        <v>17188</v>
      </c>
      <c r="BB6" s="16">
        <f>ROUND($AY$6*BB5/$AZ$5,2)</f>
        <v>17188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2"/>
      <c r="H9" s="1736" t="s">
        <v>1536</v>
      </c>
      <c r="I9" s="1737" t="s">
        <v>3518</v>
      </c>
      <c r="J9" s="898"/>
      <c r="K9" s="1737"/>
      <c r="L9" s="898"/>
      <c r="M9" s="1737"/>
      <c r="N9" s="898"/>
      <c r="O9" s="1737"/>
      <c r="P9" s="898"/>
      <c r="Q9" s="1737"/>
      <c r="R9" s="898"/>
      <c r="S9" s="1737"/>
      <c r="T9" s="898"/>
      <c r="U9" s="1737"/>
      <c r="V9" s="898"/>
      <c r="W9" s="1737"/>
      <c r="X9" s="1738"/>
      <c r="Y9" s="1737"/>
      <c r="Z9" s="898"/>
      <c r="AA9" s="1737"/>
      <c r="AB9" s="898"/>
      <c r="AC9" s="1729"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39"/>
      <c r="AT9" s="1728"/>
      <c r="AU9" s="1728" t="s">
        <v>1539</v>
      </c>
      <c r="AV9" s="1182"/>
      <c r="AW9" s="1711"/>
      <c r="AX9" s="1182"/>
      <c r="AY9" s="28"/>
      <c r="AZ9" s="28" t="s">
        <v>1529</v>
      </c>
      <c r="BA9" s="1740" t="s">
        <v>1540</v>
      </c>
      <c r="BB9" s="1741"/>
      <c r="BC9" s="1200"/>
      <c r="BD9" s="1200"/>
      <c r="BE9" s="1200"/>
      <c r="BF9" s="1200"/>
      <c r="BG9" s="1200"/>
      <c r="BH9" s="1200"/>
      <c r="BI9" s="1200"/>
      <c r="BJ9" s="1200"/>
      <c r="BK9" s="1742"/>
      <c r="BL9" s="15" t="s">
        <v>1541</v>
      </c>
      <c r="BM9" s="1493"/>
      <c r="BN9" s="1731"/>
      <c r="BO9" s="1493"/>
      <c r="BP9" s="1493"/>
      <c r="BQ9" s="1493"/>
      <c r="BR9" s="1493"/>
      <c r="BS9" s="1493"/>
      <c r="BT9" s="26"/>
    </row>
    <row r="10" spans="1:72" s="1735" customFormat="1" ht="12.75">
      <c r="A10" s="1728"/>
      <c r="B10" s="1728"/>
      <c r="C10" s="1728"/>
      <c r="D10" s="1728"/>
      <c r="E10" s="1728"/>
      <c r="F10" s="1728"/>
      <c r="G10" s="1182"/>
      <c r="H10" s="28"/>
      <c r="I10" s="1737" t="s">
        <v>6</v>
      </c>
      <c r="J10" s="898"/>
      <c r="K10" s="1743"/>
      <c r="L10" s="898"/>
      <c r="M10" s="1743"/>
      <c r="N10" s="898"/>
      <c r="O10" s="1743"/>
      <c r="P10" s="898"/>
      <c r="Q10" s="1743"/>
      <c r="R10" s="898"/>
      <c r="S10" s="1743"/>
      <c r="T10" s="898"/>
      <c r="U10" s="1743"/>
      <c r="V10" s="898"/>
      <c r="W10" s="1743"/>
      <c r="X10" s="898"/>
      <c r="Y10" s="1743"/>
      <c r="Z10" s="898"/>
      <c r="AA10" s="1743"/>
      <c r="AB10" s="898"/>
      <c r="AC10" s="1182"/>
      <c r="AD10" s="15" t="s">
        <v>1542</v>
      </c>
      <c r="AE10" s="1744"/>
      <c r="AF10" s="15" t="s">
        <v>1542</v>
      </c>
      <c r="AG10" s="1744"/>
      <c r="AH10" s="15" t="s">
        <v>1543</v>
      </c>
      <c r="AI10" s="1744"/>
      <c r="AJ10" s="15" t="s">
        <v>1543</v>
      </c>
      <c r="AK10" s="1744"/>
      <c r="AL10" s="15" t="s">
        <v>1544</v>
      </c>
      <c r="AM10" s="1188"/>
      <c r="AN10" s="15" t="s">
        <v>1544</v>
      </c>
      <c r="AO10" s="1188"/>
      <c r="AP10" s="15" t="s">
        <v>1545</v>
      </c>
      <c r="AQ10" s="1188"/>
      <c r="AR10" s="15" t="s">
        <v>1545</v>
      </c>
      <c r="AS10" s="1188"/>
      <c r="AT10" s="1728"/>
      <c r="AU10" s="1728"/>
      <c r="AV10" s="1182"/>
      <c r="AW10" s="1711"/>
      <c r="AX10" s="1182"/>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8"/>
      <c r="AZ11" s="28"/>
      <c r="BA11" s="28"/>
      <c r="BB11" s="1733" t="str">
        <f>I10</f>
        <v>工业</v>
      </c>
      <c r="BC11" s="1733">
        <f>K10</f>
        <v>0</v>
      </c>
      <c r="BD11" s="1733">
        <f>M10</f>
        <v>0</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2"/>
      <c r="B13" s="1162"/>
      <c r="C13" s="1162"/>
      <c r="D13" s="1759" t="s">
        <v>3519</v>
      </c>
      <c r="E13" s="16">
        <f>IF($C$3="是",ROUND($A$3*G13/$B$3,2),ROUND($A$3*(G13-AT13)/$B$3,2))</f>
        <v>17188</v>
      </c>
      <c r="F13" s="32"/>
      <c r="G13" s="33">
        <f>H13+AC13+AT13</f>
        <v>13867.57</v>
      </c>
      <c r="H13" s="20">
        <f>SUMIF(I$12:AB$12,"总值",I13:AB13)</f>
        <v>13867.57</v>
      </c>
      <c r="I13" s="1760">
        <v>13867.57</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f t="shared" si="6"/>
        <v>0</v>
      </c>
      <c r="AY13" s="1482">
        <f>ROUND($AY$6*AZ13/$AZ$5,2)</f>
        <v>17188</v>
      </c>
      <c r="AZ13" s="16">
        <f>BA13+BL13</f>
        <v>13867.57</v>
      </c>
      <c r="BA13" s="16">
        <f>SUM(BB13:BK13)</f>
        <v>13867.57</v>
      </c>
      <c r="BB13" s="16">
        <f>IF($D13="是",I13-J13,0)</f>
        <v>13867.57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3" customFormat="1" ht="12.75">
      <c r="A14" s="1162"/>
      <c r="B14" s="1162"/>
      <c r="C14" s="1704"/>
      <c r="D14" s="1759"/>
      <c r="E14" s="16">
        <f>IF($C$3="是",ROUND($A$3*G14/$B$3,2),ROUND($A$3*(G14-AT14)/$B$3,2))</f>
        <v>0</v>
      </c>
      <c r="F14" s="32"/>
      <c r="G14" s="33">
        <f>H14+AC14+AT14</f>
        <v>0</v>
      </c>
      <c r="H14" s="20">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2"/>
      <c r="B15" s="1162"/>
      <c r="C15" s="1704"/>
      <c r="D15" s="1759"/>
      <c r="E15" s="16">
        <f>IF($C$3="是",ROUND($A$3*G15/$B$3,2),ROUND($A$3*(G15-AT15)/$B$3,2))</f>
        <v>0</v>
      </c>
      <c r="F15" s="32"/>
      <c r="G15" s="33">
        <f>H15+AC15+AT15</f>
        <v>0</v>
      </c>
      <c r="H15" s="20">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2"/>
      <c r="B16" s="1162"/>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2"/>
      <c r="B17" s="1162"/>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8" sqref="L8"/>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3"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35" t="s">
        <v>1576</v>
      </c>
      <c r="B2" s="3335"/>
      <c r="C2" s="3335"/>
      <c r="D2" s="884" t="s">
        <v>1552</v>
      </c>
      <c r="E2" s="1773" t="s">
        <v>1553</v>
      </c>
      <c r="F2" s="2833"/>
      <c r="G2" s="2824"/>
      <c r="H2" s="2825"/>
      <c r="I2" s="2496" t="s">
        <v>1577</v>
      </c>
      <c r="J2" s="2833"/>
      <c r="K2" s="2833"/>
      <c r="L2" s="2833"/>
      <c r="M2" s="2833"/>
      <c r="N2" s="2835"/>
      <c r="O2" s="2833"/>
      <c r="P2" s="2833"/>
    </row>
    <row r="3" spans="1:16" ht="15.75" thickBot="1">
      <c r="A3" s="3336" t="s">
        <v>1550</v>
      </c>
      <c r="B3" s="3336"/>
      <c r="C3" s="3336"/>
      <c r="D3" s="46">
        <f>'数据-基础表'!AY6</f>
        <v>17188</v>
      </c>
      <c r="E3" s="46">
        <f>'数据-基础表'!AZ5</f>
        <v>13867.57</v>
      </c>
      <c r="F3" s="2833"/>
      <c r="G3" s="1259"/>
      <c r="H3" s="1137" t="s">
        <v>1551</v>
      </c>
      <c r="I3" s="944">
        <f>ROUND('数据-基础表'!B3/'数据-基础表'!A3,2)</f>
        <v>0.81</v>
      </c>
      <c r="J3" s="2833"/>
      <c r="K3" s="2833"/>
      <c r="L3" s="2833"/>
      <c r="M3" s="2833"/>
      <c r="N3" s="2835"/>
      <c r="O3" s="2833"/>
      <c r="P3" s="2833"/>
    </row>
    <row r="4" spans="1:16" ht="15">
      <c r="A4" s="3337"/>
      <c r="B4" s="3338"/>
      <c r="C4" s="3339"/>
      <c r="D4" s="1775" t="s">
        <v>1552</v>
      </c>
      <c r="E4" s="1776" t="s">
        <v>1553</v>
      </c>
      <c r="F4" s="2833"/>
      <c r="G4" s="2826" t="s">
        <v>1578</v>
      </c>
      <c r="H4" s="1137" t="s">
        <v>1558</v>
      </c>
      <c r="I4" s="944">
        <f>ROUND(SUMIF('数据-基础表'!I9:AS9,"地上",'数据-基础表'!I5:AS5)/'数据-基础表'!A3,2)</f>
        <v>0.81</v>
      </c>
      <c r="J4" s="2833"/>
      <c r="K4" s="2833"/>
      <c r="L4" s="2833"/>
      <c r="M4" s="2833"/>
      <c r="N4" s="2835"/>
      <c r="O4" s="2833"/>
      <c r="P4" s="2833"/>
    </row>
    <row r="5" spans="1:16">
      <c r="A5" s="47" t="s">
        <v>1554</v>
      </c>
      <c r="B5" s="3340" t="s">
        <v>1555</v>
      </c>
      <c r="C5" s="3340"/>
      <c r="D5" s="48">
        <f>ROUND($D$3*E5/$E$3,2)</f>
        <v>0</v>
      </c>
      <c r="E5" s="49">
        <f>SUMIF('数据-基础表'!$11:$11,"住宅",'数据-基础表'!$5:$5)</f>
        <v>0</v>
      </c>
      <c r="F5" s="2833"/>
      <c r="G5" s="1259"/>
      <c r="H5" s="1137" t="s">
        <v>1551</v>
      </c>
      <c r="I5" s="944">
        <f>ROUND(E31/D31,2)</f>
        <v>0.81</v>
      </c>
      <c r="J5" s="2833"/>
      <c r="K5" s="2833"/>
      <c r="L5" s="2833"/>
      <c r="M5" s="2833"/>
      <c r="N5" s="2833"/>
      <c r="O5" s="2833"/>
      <c r="P5" s="2833"/>
    </row>
    <row r="6" spans="1:16" ht="15" thickBot="1">
      <c r="A6" s="1778"/>
      <c r="B6" s="3340" t="s">
        <v>1556</v>
      </c>
      <c r="C6" s="3340"/>
      <c r="D6" s="48">
        <f>ROUND($D$3*E6/$E$3,2)</f>
        <v>17188</v>
      </c>
      <c r="E6" s="49">
        <f>E3-E5</f>
        <v>13867.57</v>
      </c>
      <c r="F6" s="2833"/>
      <c r="G6" s="2827" t="s">
        <v>1557</v>
      </c>
      <c r="H6" s="1260" t="s">
        <v>1558</v>
      </c>
      <c r="I6" s="2828">
        <f>ROUND(F31/D31,2)</f>
        <v>0.81</v>
      </c>
      <c r="J6" s="2833"/>
      <c r="K6" s="2833"/>
      <c r="L6" s="2833"/>
      <c r="M6" s="2833"/>
      <c r="N6" s="2833"/>
      <c r="O6" s="2833"/>
      <c r="P6" s="2833"/>
    </row>
    <row r="7" spans="1:16" ht="15.75" thickBot="1">
      <c r="A7" s="3332"/>
      <c r="B7" s="3333"/>
      <c r="C7" s="3334"/>
      <c r="D7" s="1775" t="s">
        <v>1552</v>
      </c>
      <c r="E7" s="1779"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17188</v>
      </c>
      <c r="E8" s="51">
        <f>SUMIF('数据-基础表'!BB10:BK10,"地上",'数据-基础表'!BB5:BK5)</f>
        <v>13867.57</v>
      </c>
      <c r="F8" s="2833"/>
      <c r="G8" s="2834"/>
      <c r="H8" s="2834"/>
      <c r="I8" s="2833"/>
      <c r="J8" s="2833"/>
      <c r="K8" s="2833"/>
      <c r="L8" s="2833"/>
      <c r="M8" s="2833"/>
      <c r="N8" s="2833"/>
      <c r="O8" s="2833"/>
      <c r="P8" s="2833"/>
    </row>
    <row r="9" spans="1:16">
      <c r="A9" s="1780"/>
      <c r="B9" s="1781"/>
      <c r="C9" s="48" t="s">
        <v>1564</v>
      </c>
      <c r="D9" s="48">
        <f t="shared" si="0"/>
        <v>0</v>
      </c>
      <c r="E9" s="52">
        <v>0</v>
      </c>
      <c r="F9" s="2833"/>
      <c r="G9" s="2834"/>
      <c r="H9" s="2834"/>
      <c r="I9" s="2833"/>
      <c r="J9" s="2833"/>
      <c r="K9" s="2833"/>
      <c r="L9" s="2833"/>
      <c r="M9" s="2833"/>
      <c r="N9" s="2833"/>
      <c r="O9" s="2833"/>
      <c r="P9" s="2833"/>
    </row>
    <row r="10" spans="1:16">
      <c r="A10" s="1780"/>
      <c r="B10" s="1781"/>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0"/>
      <c r="B11" s="1781"/>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0"/>
      <c r="B12" s="1781"/>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0"/>
      <c r="B13" s="1781"/>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0"/>
      <c r="B14" s="1781"/>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0"/>
      <c r="B15" s="1781"/>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8"/>
      <c r="B16" s="1781"/>
      <c r="C16" s="50" t="s">
        <v>1568</v>
      </c>
      <c r="D16" s="50">
        <f>SUM(D8:D15)</f>
        <v>17188</v>
      </c>
      <c r="E16" s="53">
        <f>SUM(E8:E15)</f>
        <v>13867.57</v>
      </c>
      <c r="F16" s="2833"/>
      <c r="G16" s="2834"/>
      <c r="H16" s="1782" t="s">
        <v>1580</v>
      </c>
      <c r="I16" s="1783"/>
      <c r="J16" s="1253"/>
      <c r="K16" s="3329" t="s">
        <v>1580</v>
      </c>
      <c r="L16" s="3330"/>
      <c r="M16" s="3330"/>
      <c r="N16" s="3330"/>
      <c r="O16" s="3330"/>
      <c r="P16" s="3331"/>
    </row>
    <row r="17" spans="1:19" ht="15">
      <c r="A17" s="1784" t="s">
        <v>1581</v>
      </c>
      <c r="B17" s="1785" t="s">
        <v>1582</v>
      </c>
      <c r="C17" s="1786" t="s">
        <v>1583</v>
      </c>
      <c r="D17" s="1787" t="s">
        <v>1571</v>
      </c>
      <c r="E17" s="1788" t="s">
        <v>1572</v>
      </c>
      <c r="F17" s="1789"/>
      <c r="G17" s="1790"/>
      <c r="H17" s="1791" t="s">
        <v>1584</v>
      </c>
      <c r="I17" s="1792" t="s">
        <v>1569</v>
      </c>
      <c r="J17" s="1253"/>
      <c r="K17" s="3326" t="s">
        <v>1585</v>
      </c>
      <c r="L17" s="3327"/>
      <c r="M17" s="3328"/>
      <c r="N17" s="3326" t="s">
        <v>1586</v>
      </c>
      <c r="O17" s="3327"/>
      <c r="P17" s="3328"/>
      <c r="R17" s="1774" t="s">
        <v>1587</v>
      </c>
      <c r="S17" s="60"/>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50" t="s">
        <v>1570</v>
      </c>
      <c r="C19" s="3240" t="s">
        <v>3520</v>
      </c>
      <c r="D19" s="48">
        <f>ROUND($D$3*E19/$E$3,2)</f>
        <v>17188</v>
      </c>
      <c r="E19" s="56">
        <f t="shared" ref="E19:E26" si="1">SUM(F19:G19)</f>
        <v>13867.57</v>
      </c>
      <c r="F19" s="2973">
        <f>'数据-基础表'!I13</f>
        <v>13867.57</v>
      </c>
      <c r="G19" s="2974"/>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17188</v>
      </c>
      <c r="S19" s="1138">
        <f t="shared" si="5"/>
        <v>13867.57</v>
      </c>
    </row>
    <row r="20" spans="1:19">
      <c r="A20" s="1805"/>
      <c r="B20" s="50" t="s">
        <v>1598</v>
      </c>
      <c r="C20" s="1802"/>
      <c r="D20" s="48">
        <f t="shared" ref="D20:D26" si="6">ROUND($D$3*E20/$E$3,2)</f>
        <v>0</v>
      </c>
      <c r="E20" s="56">
        <f t="shared" si="1"/>
        <v>0</v>
      </c>
      <c r="F20" s="2973"/>
      <c r="G20" s="2974"/>
      <c r="H20" s="678">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50" t="s">
        <v>1598</v>
      </c>
      <c r="C21" s="1802"/>
      <c r="D21" s="48">
        <f t="shared" si="6"/>
        <v>0</v>
      </c>
      <c r="E21" s="56">
        <f t="shared" si="1"/>
        <v>0</v>
      </c>
      <c r="F21" s="2973"/>
      <c r="G21" s="2974"/>
      <c r="H21" s="678">
        <f t="shared" si="7"/>
        <v>0</v>
      </c>
      <c r="I21" s="51">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50" t="s">
        <v>1598</v>
      </c>
      <c r="C22" s="58"/>
      <c r="D22" s="48">
        <f t="shared" si="6"/>
        <v>0</v>
      </c>
      <c r="E22" s="56">
        <f t="shared" si="1"/>
        <v>0</v>
      </c>
      <c r="F22" s="2975"/>
      <c r="G22" s="2976"/>
      <c r="H22" s="678">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5"/>
      <c r="G23" s="2976"/>
      <c r="H23" s="678">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5"/>
      <c r="G24" s="2976"/>
      <c r="H24" s="678">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5"/>
      <c r="G25" s="2976"/>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5"/>
      <c r="G26" s="2976"/>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17188</v>
      </c>
      <c r="E27" s="1255">
        <f>IF(SUM(E19:E26)='数据-基础表'!BA5,SUM(E19:E26),IF(F27="地上面积有误","面积有误","地下面积有误"))</f>
        <v>13867.57</v>
      </c>
      <c r="F27" s="1254">
        <f>IF(SUM(F19:F26)=E8,SUM(F19:F26),"地上面积有误")</f>
        <v>13867.57</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17188</v>
      </c>
      <c r="S27" s="1137">
        <f>IF(SUM(S19:S26)=$E$3,SUM(S19:S26),SUM(S19:S26)&amp;"误差"&amp;ROUND(SUM(S19:S26)-E3,2))</f>
        <v>13867.57</v>
      </c>
    </row>
    <row r="28" spans="1:19">
      <c r="A28" s="1805"/>
      <c r="B28" s="50" t="s">
        <v>1600</v>
      </c>
      <c r="C28" s="1149"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5"/>
      <c r="B29" s="50" t="s">
        <v>1600</v>
      </c>
      <c r="C29" s="1809"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5"/>
      <c r="B30" s="50"/>
      <c r="C30" s="1810" t="s">
        <v>1599</v>
      </c>
      <c r="D30" s="1254">
        <f>SUM(D28:D29)</f>
        <v>0</v>
      </c>
      <c r="E30" s="1254">
        <f>SUM(E28:E29)</f>
        <v>0</v>
      </c>
      <c r="F30" s="1254">
        <f>SUM(F28:F29)</f>
        <v>0</v>
      </c>
      <c r="G30" s="1256">
        <f>SUM(G28:G29)</f>
        <v>0</v>
      </c>
      <c r="H30" s="2833"/>
      <c r="I30" s="2833"/>
      <c r="J30" s="2833"/>
      <c r="K30" s="2833"/>
      <c r="L30" s="2833"/>
      <c r="M30" s="2833"/>
      <c r="N30" s="2833"/>
      <c r="O30" s="2833"/>
      <c r="P30" s="2833"/>
    </row>
    <row r="31" spans="1:19" ht="15.75" thickBot="1">
      <c r="A31" s="1811"/>
      <c r="B31" s="1812"/>
      <c r="C31" s="924" t="s">
        <v>1603</v>
      </c>
      <c r="D31" s="684">
        <f>D27+D30</f>
        <v>17188</v>
      </c>
      <c r="E31" s="684">
        <f>E27+E30</f>
        <v>13867.57</v>
      </c>
      <c r="F31" s="685">
        <f>F27+F30</f>
        <v>13867.57</v>
      </c>
      <c r="G31" s="686">
        <f>G27+G30</f>
        <v>0</v>
      </c>
      <c r="H31" s="2833"/>
      <c r="I31" s="2833"/>
      <c r="J31" s="2833"/>
      <c r="K31" s="2833"/>
      <c r="L31" s="2833"/>
      <c r="M31" s="2833"/>
      <c r="N31" s="2833"/>
      <c r="O31" s="2833"/>
      <c r="P31" s="2833"/>
    </row>
    <row r="32" spans="1:19">
      <c r="A32" s="1777"/>
      <c r="B32" s="1777" t="s">
        <v>1604</v>
      </c>
      <c r="C32" s="1777"/>
      <c r="D32" s="1777"/>
      <c r="E32" s="1164">
        <f>SUMIF(C19:C26,"*住宅*",E19:E26)</f>
        <v>0</v>
      </c>
      <c r="F32" s="1777"/>
      <c r="G32" s="1777"/>
      <c r="H32" s="2833"/>
      <c r="I32" s="2833"/>
      <c r="J32" s="2833"/>
      <c r="K32" s="2833"/>
      <c r="L32" s="2833"/>
      <c r="M32" s="2833"/>
      <c r="N32" s="2833"/>
      <c r="O32" s="2833"/>
      <c r="P32" s="2833"/>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D53" sqref="D53"/>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7"/>
      <c r="AO1" s="2847"/>
      <c r="AP1" s="2847"/>
      <c r="AQ1" s="2847"/>
      <c r="AR1" s="2847"/>
    </row>
    <row r="2" spans="1:67" s="1693" customFormat="1" ht="15.75" thickBot="1">
      <c r="A2" s="1818" t="s">
        <v>1606</v>
      </c>
      <c r="B2" s="1156">
        <f>项目基本情况!D3</f>
        <v>44781</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9"/>
      <c r="AO2" s="2849"/>
      <c r="AP2" s="2849"/>
      <c r="AQ2" s="2849"/>
      <c r="AR2" s="2849"/>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9"/>
      <c r="AO3" s="2849"/>
      <c r="AP3" s="2849"/>
      <c r="AQ3" s="2849"/>
      <c r="AR3" s="2849"/>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2"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9"/>
      <c r="AO4" s="2849"/>
      <c r="AP4" s="2849"/>
      <c r="AQ4" s="2849"/>
      <c r="AR4" s="2849"/>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3521</v>
      </c>
      <c r="O5" s="1837" t="s">
        <v>1626</v>
      </c>
      <c r="P5" s="1840" t="s">
        <v>1627</v>
      </c>
      <c r="Q5" s="65" t="s">
        <v>1628</v>
      </c>
      <c r="R5" s="1841" t="s">
        <v>1629</v>
      </c>
      <c r="S5" s="1842" t="s">
        <v>1630</v>
      </c>
      <c r="T5" s="1843" t="s">
        <v>1631</v>
      </c>
      <c r="U5" s="1157" t="s">
        <v>1632</v>
      </c>
      <c r="V5" s="1158" t="s">
        <v>1633</v>
      </c>
      <c r="W5" s="1158" t="s">
        <v>1634</v>
      </c>
      <c r="X5" s="67"/>
      <c r="Y5" s="66" t="s">
        <v>1635</v>
      </c>
      <c r="Z5" s="1844" t="s">
        <v>1632</v>
      </c>
      <c r="AA5" s="1158" t="s">
        <v>1633</v>
      </c>
      <c r="AB5" s="1158" t="s">
        <v>1634</v>
      </c>
      <c r="AC5" s="67"/>
      <c r="AD5" s="67" t="s">
        <v>1635</v>
      </c>
      <c r="AE5" s="1157" t="s">
        <v>1636</v>
      </c>
      <c r="AF5" s="1158" t="s">
        <v>1637</v>
      </c>
      <c r="AG5" s="66" t="s">
        <v>1638</v>
      </c>
      <c r="AH5" s="1157" t="s">
        <v>1639</v>
      </c>
      <c r="AI5" s="1844" t="s">
        <v>1640</v>
      </c>
      <c r="AJ5" s="1844" t="s">
        <v>1641</v>
      </c>
      <c r="AK5" s="1158" t="s">
        <v>1642</v>
      </c>
      <c r="AL5" s="1158" t="s">
        <v>1643</v>
      </c>
      <c r="AM5" s="66" t="s">
        <v>1644</v>
      </c>
      <c r="AN5" s="1845" t="s">
        <v>1645</v>
      </c>
      <c r="AO5" s="1696" t="s">
        <v>1646</v>
      </c>
      <c r="AP5" s="1139"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工业</v>
      </c>
      <c r="B6" s="1848" t="str">
        <f>IF(A6=0,"","经营性")</f>
        <v>经营性</v>
      </c>
      <c r="C6" s="1849" t="s">
        <v>6</v>
      </c>
      <c r="D6" s="947">
        <f>SUMIF(项目基本情况!D$12:I$12,C6,项目基本情况!D$14:I$14)</f>
        <v>50</v>
      </c>
      <c r="E6" s="946">
        <f>IF(B6="","",SUMIF(项目基本情况!D$12:I$12,C6,项目基本情况!D$13:I$13))</f>
        <v>56204</v>
      </c>
      <c r="F6" s="68">
        <f>SUMIF(项目基本情况!D$12:I$12,C6,项目基本情况!D$15:I$15)</f>
        <v>31.29</v>
      </c>
      <c r="G6" s="69">
        <f>IF(ISERROR(ROUND(POWER(1+H6,D6-F6)*(POWER(1+H6,F6)-1)/(POWER(1+H6,D6)-1),3)),0,ROUND(POWER(1+H6,D6-F6)*(POWER(1+H6,F6)-1)/(POWER(1+H6,D6)-1),3))</f>
        <v>0.873</v>
      </c>
      <c r="H6" s="740">
        <v>5.5E-2</v>
      </c>
      <c r="I6" s="3598">
        <v>0.06</v>
      </c>
      <c r="J6" s="70">
        <v>7.4999999999999997E-2</v>
      </c>
      <c r="K6" s="1141">
        <f>SUMIF('数据-汇总表'!C$19:C$33,A6,'数据-汇总表'!E$19:E$33)</f>
        <v>13867.57</v>
      </c>
      <c r="L6" s="741">
        <v>2500</v>
      </c>
      <c r="M6" s="71">
        <f t="shared" ref="M6:M14" si="0">ROUND(K6*L6/10000,0)</f>
        <v>3467</v>
      </c>
      <c r="N6" s="739">
        <f>ROUND((N27+N28)/2,2)</f>
        <v>0.75</v>
      </c>
      <c r="O6" s="71" t="str">
        <f>IF($N$5="成新度","——",ROUND(M6*N6,0))</f>
        <v>——</v>
      </c>
      <c r="P6" s="72" t="str">
        <f>IF($N$5="成新度","——",M6-O6)</f>
        <v>——</v>
      </c>
      <c r="Q6" s="742">
        <v>0.05</v>
      </c>
      <c r="R6" s="73">
        <f ca="1">SUMIF('数据-汇总表'!C$19:C$33,A6,'数据-汇总表'!R$19:R$27)</f>
        <v>17188</v>
      </c>
      <c r="S6" s="54">
        <f>IF('数据-汇总表'!$I$17="按面积比例",SUMIF('数据-汇总表'!C$19:C$33,A6,'数据-汇总表'!K$19:K$33),SUMIF('数据-汇总表'!C$19:C$33,A6,'数据-汇总表'!N$19:N$33))</f>
        <v>0</v>
      </c>
      <c r="T6" s="1286">
        <f>ROUND($L$14*S6/10000,0)</f>
        <v>0</v>
      </c>
      <c r="U6" s="3599">
        <v>1.5</v>
      </c>
      <c r="V6" s="75">
        <v>0.02</v>
      </c>
      <c r="W6" s="3600">
        <v>0.1</v>
      </c>
      <c r="X6" s="1151"/>
      <c r="Y6" s="76">
        <f>N6</f>
        <v>0.75</v>
      </c>
      <c r="Z6" s="77"/>
      <c r="AA6" s="70"/>
      <c r="AB6" s="70"/>
      <c r="AC6" s="1151"/>
      <c r="AD6" s="78"/>
      <c r="AE6" s="1152">
        <f ca="1">IF(AN6="",0,SUMIF(INDIRECT("'"&amp;AN6&amp;"'"&amp;"!E:E"),$AE$5,INDIRECT("'"&amp;AN6&amp;"'"&amp;"!F:F")))</f>
        <v>31.29</v>
      </c>
      <c r="AF6" s="1481"/>
      <c r="AG6" s="142">
        <f>IF(AF6="",0,AE6-AF6)</f>
        <v>0</v>
      </c>
      <c r="AH6" s="79"/>
      <c r="AI6" s="81">
        <v>365</v>
      </c>
      <c r="AJ6" s="82"/>
      <c r="AK6" s="83">
        <v>0.01</v>
      </c>
      <c r="AL6" s="84">
        <v>1E-3</v>
      </c>
      <c r="AM6" s="85">
        <v>0.02</v>
      </c>
      <c r="AN6" s="1850" t="s">
        <v>3522</v>
      </c>
      <c r="AO6" s="55">
        <f ca="1">SUMIF(INDIRECT("'"&amp;AN6&amp;"'"&amp;"!A:A"),"总价",INDIRECT("'"&amp;AN6&amp;"'"&amp;"!B:B"))</f>
        <v>8714</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1"/>
      <c r="AG7" s="142">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1"/>
      <c r="AG8" s="142">
        <f t="shared" si="7"/>
        <v>0</v>
      </c>
      <c r="AH8" s="746"/>
      <c r="AI8" s="81"/>
      <c r="AJ8" s="82"/>
      <c r="AK8" s="747"/>
      <c r="AL8" s="748"/>
      <c r="AM8" s="749"/>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1"/>
      <c r="AG9" s="142">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1"/>
      <c r="AG10" s="142">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1"/>
      <c r="AG11" s="142">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1"/>
      <c r="AG12" s="142">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1"/>
      <c r="AG13" s="142">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0"/>
      <c r="AJ14" s="712"/>
      <c r="AK14" s="1153"/>
      <c r="AL14" s="1154"/>
      <c r="AM14" s="1155"/>
      <c r="AN14" s="2847"/>
      <c r="AO14" s="2849"/>
      <c r="AP14" s="2849"/>
      <c r="AQ14" s="2849"/>
      <c r="AR14" s="2849"/>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0"/>
      <c r="AJ15" s="712"/>
      <c r="AK15" s="1153"/>
      <c r="AL15" s="1154"/>
      <c r="AM15" s="1155"/>
      <c r="AN15" s="2847"/>
      <c r="AO15" s="2849"/>
      <c r="AP15" s="2849"/>
      <c r="AQ15" s="2849"/>
      <c r="AR15" s="2849"/>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3"/>
      <c r="C16" s="922"/>
      <c r="D16" s="1855"/>
      <c r="E16" s="93"/>
      <c r="F16" s="93"/>
      <c r="G16" s="94">
        <f>ROUND(SUMPRODUCT(G6:G13,K6:K13)/SUMPRODUCT((G6:G13&gt;0)*(K6:K13)),3)</f>
        <v>0.873</v>
      </c>
      <c r="H16" s="95">
        <f>ROUND(SUMPRODUCT(H6:H13,K6:K13)/SUMPRODUCT((H6:H13&gt;0)*(K6:K13)),3)</f>
        <v>5.5E-2</v>
      </c>
      <c r="I16" s="96"/>
      <c r="J16" s="96"/>
      <c r="K16" s="97">
        <f>SUM(K6:K15)</f>
        <v>13867.57</v>
      </c>
      <c r="L16" s="98">
        <f>ROUND(M16*10000/SUM(K6:K14),0)</f>
        <v>2500</v>
      </c>
      <c r="M16" s="98">
        <f>SUM(M6:M14)</f>
        <v>3467</v>
      </c>
      <c r="N16" s="99">
        <f>ROUND(SUMPRODUCT(M6:M14,N6:N14)/M16,3)</f>
        <v>0.75</v>
      </c>
      <c r="O16" s="98">
        <f>SUM(O6:O14)</f>
        <v>0</v>
      </c>
      <c r="P16" s="98">
        <f>SUM(P6:P14)</f>
        <v>0</v>
      </c>
      <c r="Q16" s="100">
        <f>ROUND(SUMPRODUCT(Q6:Q13,K6:K13)/SUMPRODUCT((Q6:Q13&gt;0)*(K6:K13)),2)</f>
        <v>0.05</v>
      </c>
      <c r="R16" s="1145">
        <f ca="1">SUM(R6:R13)</f>
        <v>17188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7" t="s">
        <v>1656</v>
      </c>
      <c r="B19" s="108">
        <v>0</v>
      </c>
      <c r="C19" s="2977" t="s">
        <v>2804</v>
      </c>
      <c r="D19" s="2852"/>
      <c r="E19" s="2849"/>
      <c r="F19" s="2849"/>
      <c r="G19" s="2849"/>
      <c r="H19" s="2849"/>
      <c r="I19" s="2849"/>
      <c r="J19" s="2849"/>
      <c r="K19" s="2848"/>
      <c r="L19" s="2848"/>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8" t="s">
        <v>1657</v>
      </c>
      <c r="B20" s="109">
        <v>1</v>
      </c>
      <c r="C20" s="2978" t="s">
        <v>2802</v>
      </c>
      <c r="D20" s="2852"/>
      <c r="E20" s="2849"/>
      <c r="F20" s="2849"/>
      <c r="G20" s="2849"/>
      <c r="H20" s="2849"/>
      <c r="I20" s="2849"/>
      <c r="J20" s="2849"/>
      <c r="K20" s="2848"/>
      <c r="L20" s="2848"/>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59" t="s">
        <v>1658</v>
      </c>
      <c r="B21" s="109">
        <v>1</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8" t="s">
        <v>1659</v>
      </c>
      <c r="B22" s="110">
        <f>B19+B20</f>
        <v>1</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59" t="s">
        <v>1660</v>
      </c>
      <c r="B23" s="110">
        <f>B19+B21</f>
        <v>1</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0"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1"/>
      <c r="B25" s="1822"/>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8" t="s">
        <v>1662</v>
      </c>
      <c r="B26" s="1861" t="s">
        <v>1663</v>
      </c>
      <c r="C26" s="2853" t="s">
        <v>1664</v>
      </c>
      <c r="D26" s="2852"/>
      <c r="E26" s="2849"/>
      <c r="F26" s="2849"/>
      <c r="G26" s="2849"/>
      <c r="H26" s="2849"/>
      <c r="I26" s="2849"/>
      <c r="J26" s="2849"/>
      <c r="K26" s="2848"/>
      <c r="L26" s="2848"/>
      <c r="M26" s="2847"/>
      <c r="N26" s="2847">
        <v>2004</v>
      </c>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3" customFormat="1" ht="27.75">
      <c r="A27" s="1862" t="s">
        <v>1665</v>
      </c>
      <c r="B27" s="112">
        <v>150</v>
      </c>
      <c r="C27" s="2979" t="s">
        <v>2806</v>
      </c>
      <c r="D27" s="2855" t="s">
        <v>3561</v>
      </c>
      <c r="E27" s="2835"/>
      <c r="F27" s="2835"/>
      <c r="G27" s="2849"/>
      <c r="H27" s="2849"/>
      <c r="I27" s="2849"/>
      <c r="J27" s="2849"/>
      <c r="K27" s="2848"/>
      <c r="L27" s="2848"/>
      <c r="M27" s="2847"/>
      <c r="N27" s="2847">
        <f>ROUND(1-(2022-N26)/60,2)</f>
        <v>0.7</v>
      </c>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5">
        <v>220</v>
      </c>
      <c r="C28" s="2856"/>
      <c r="D28" s="2855"/>
      <c r="E28" s="2835"/>
      <c r="F28" s="2835"/>
      <c r="G28" s="2849"/>
      <c r="H28" s="2849"/>
      <c r="I28" s="2849"/>
      <c r="J28" s="2849"/>
      <c r="K28" s="2848"/>
      <c r="L28" s="2848"/>
      <c r="M28" s="2847"/>
      <c r="N28" s="2847">
        <v>0.8</v>
      </c>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3601">
        <f ca="1">成本法!C10</f>
        <v>305</v>
      </c>
      <c r="C29" s="2980" t="s">
        <v>2793</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79">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0">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1">
        <v>0.03</v>
      </c>
      <c r="C33" s="2981" t="s">
        <v>2794</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7">
        <v>0.05</v>
      </c>
      <c r="C34" s="2981" t="s">
        <v>2795</v>
      </c>
      <c r="D34" s="2860" t="s">
        <v>2803</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5">
        <v>200</v>
      </c>
      <c r="C35" s="2981" t="s">
        <v>2796</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8">
        <v>1.4999999999999999E-2</v>
      </c>
      <c r="C36" s="2981" t="s">
        <v>2797</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6" t="s">
        <v>1675</v>
      </c>
      <c r="B37" s="119">
        <v>0.02</v>
      </c>
      <c r="C37" s="2981" t="s">
        <v>2798</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4" t="s">
        <v>1676</v>
      </c>
      <c r="B38" s="117">
        <v>0.02</v>
      </c>
      <c r="C38" s="2981" t="s">
        <v>2798</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7" t="s">
        <v>1677</v>
      </c>
      <c r="B39" s="322">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3523</v>
      </c>
      <c r="B40" s="1190">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2" t="s">
        <v>1678</v>
      </c>
      <c r="B41" s="120">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8" t="s">
        <v>1679</v>
      </c>
      <c r="B42" s="121">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8" t="s">
        <v>1680</v>
      </c>
      <c r="B43" s="122">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69" t="s">
        <v>1681</v>
      </c>
      <c r="B44" s="123">
        <v>7.0000000000000007E-2</v>
      </c>
      <c r="C44" s="2981" t="s">
        <v>2807</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69" t="s">
        <v>1682</v>
      </c>
      <c r="B45" s="121">
        <v>0.03</v>
      </c>
      <c r="C45" s="2980" t="s">
        <v>2799</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69" t="s">
        <v>1683</v>
      </c>
      <c r="B46" s="121">
        <v>0.02</v>
      </c>
      <c r="C46" s="2980" t="s">
        <v>2800</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0" t="s">
        <v>1684</v>
      </c>
      <c r="B47" s="124"/>
      <c r="C47" s="2983" t="s">
        <v>2808</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1" t="s">
        <v>1685</v>
      </c>
      <c r="B48" s="125">
        <v>0.03</v>
      </c>
      <c r="C48" s="2980" t="s">
        <v>2799</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7" t="s">
        <v>1686</v>
      </c>
      <c r="B49" s="121">
        <v>5.0000000000000001E-4</v>
      </c>
      <c r="C49" s="2980" t="s">
        <v>2801</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2" t="s">
        <v>1687</v>
      </c>
      <c r="B50" s="126">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5" t="s">
        <v>1688</v>
      </c>
      <c r="B51" s="127">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2" t="s">
        <v>1689</v>
      </c>
      <c r="B52" s="128">
        <f>SUMIF(A54:A63,B53,B54:B63)</f>
        <v>5</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4" t="s">
        <v>1690</v>
      </c>
      <c r="B53" s="1873" t="s">
        <v>441</v>
      </c>
      <c r="C53" s="2835" t="s">
        <v>1691</v>
      </c>
      <c r="D53" s="2982" t="s">
        <v>2805</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4" t="s">
        <v>1692</v>
      </c>
      <c r="B54" s="80">
        <v>15</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4" t="s">
        <v>1693</v>
      </c>
      <c r="B55" s="80">
        <v>10</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4" t="s">
        <v>1694</v>
      </c>
      <c r="B56" s="80">
        <v>5</v>
      </c>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4"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4" t="s">
        <v>1696</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4"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4"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4"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4"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5" t="s">
        <v>1701</v>
      </c>
      <c r="B63" s="129"/>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1"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1"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1"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1"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1"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6" customWidth="1"/>
    <col min="3" max="3" width="24.5" style="2683" customWidth="1"/>
    <col min="4" max="4" width="2.625" style="2683" customWidth="1"/>
    <col min="5" max="5" width="5.875" style="2683" customWidth="1"/>
    <col min="6" max="6" width="27" style="1706"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7"/>
    <col min="30" max="16384" width="9" style="1821"/>
  </cols>
  <sheetData>
    <row r="1" spans="1:29" s="2630" customFormat="1" ht="18.75" thickBot="1">
      <c r="A1" s="3341" t="s">
        <v>2785</v>
      </c>
      <c r="B1" s="3342"/>
      <c r="C1" s="3342"/>
      <c r="D1" s="3342"/>
      <c r="E1" s="3342"/>
      <c r="F1" s="3342"/>
      <c r="G1" s="3342"/>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2780</v>
      </c>
      <c r="D2" s="2634"/>
      <c r="E2" s="2631"/>
      <c r="F2" s="2635"/>
      <c r="G2" s="2633" t="s">
        <v>2781</v>
      </c>
      <c r="H2" s="887"/>
      <c r="I2" s="887"/>
      <c r="J2" s="887"/>
      <c r="K2" s="887"/>
      <c r="L2" s="887"/>
      <c r="M2" s="887"/>
      <c r="N2" s="887"/>
      <c r="O2" s="887"/>
      <c r="P2" s="887"/>
      <c r="Q2" s="887"/>
      <c r="R2" s="887"/>
    </row>
    <row r="3" spans="1:29" ht="48">
      <c r="A3" s="2614" t="s">
        <v>2782</v>
      </c>
      <c r="B3" s="2636" t="s">
        <v>2751</v>
      </c>
      <c r="C3" s="2637" t="s">
        <v>2783</v>
      </c>
      <c r="D3" s="2638"/>
      <c r="E3" s="2615" t="s">
        <v>2782</v>
      </c>
      <c r="F3" s="2639" t="s">
        <v>2752</v>
      </c>
      <c r="G3" s="2640" t="s">
        <v>2784</v>
      </c>
      <c r="H3" s="887"/>
      <c r="I3" s="887"/>
      <c r="J3" s="887"/>
      <c r="K3" s="887"/>
      <c r="L3" s="887"/>
      <c r="M3" s="887"/>
      <c r="N3" s="887"/>
      <c r="O3" s="887"/>
      <c r="P3" s="887"/>
      <c r="Q3" s="887"/>
      <c r="R3" s="887"/>
    </row>
    <row r="4" spans="1:29" ht="36.75">
      <c r="A4" s="2615"/>
      <c r="B4" s="328" t="s">
        <v>2753</v>
      </c>
      <c r="C4" s="2641" t="s">
        <v>2754</v>
      </c>
      <c r="D4" s="2638"/>
      <c r="E4" s="2642"/>
      <c r="F4" s="1506" t="s">
        <v>2755</v>
      </c>
      <c r="G4" s="2643" t="s">
        <v>2756</v>
      </c>
      <c r="H4" s="887"/>
      <c r="I4" s="887"/>
      <c r="J4" s="887"/>
      <c r="K4" s="887"/>
      <c r="L4" s="887"/>
      <c r="M4" s="887"/>
      <c r="N4" s="887"/>
      <c r="O4" s="887"/>
      <c r="P4" s="887"/>
      <c r="Q4" s="887"/>
      <c r="R4" s="887"/>
    </row>
    <row r="5" spans="1:29" ht="36.75">
      <c r="A5" s="2615"/>
      <c r="B5" s="328" t="s">
        <v>2757</v>
      </c>
      <c r="C5" s="2641" t="s">
        <v>2758</v>
      </c>
      <c r="D5" s="2638"/>
      <c r="E5" s="2642"/>
      <c r="F5" s="328" t="s">
        <v>2759</v>
      </c>
      <c r="G5" s="2643" t="s">
        <v>2760</v>
      </c>
      <c r="H5" s="887"/>
      <c r="I5" s="887"/>
      <c r="J5" s="887"/>
      <c r="K5" s="887"/>
      <c r="L5" s="887"/>
      <c r="M5" s="887"/>
      <c r="N5" s="887"/>
      <c r="O5" s="887"/>
      <c r="P5" s="887"/>
      <c r="Q5" s="887"/>
      <c r="R5" s="887"/>
    </row>
    <row r="6" spans="1:29" ht="36">
      <c r="A6" s="2615"/>
      <c r="B6" s="328" t="s">
        <v>2761</v>
      </c>
      <c r="C6" s="2643" t="s">
        <v>2756</v>
      </c>
      <c r="D6" s="2638"/>
      <c r="E6" s="2642"/>
      <c r="F6" s="328" t="s">
        <v>2762</v>
      </c>
      <c r="G6" s="2643" t="s">
        <v>2763</v>
      </c>
      <c r="H6" s="887"/>
      <c r="I6" s="887"/>
      <c r="J6" s="887"/>
      <c r="K6" s="887"/>
      <c r="L6" s="887"/>
      <c r="M6" s="887"/>
      <c r="N6" s="887"/>
      <c r="O6" s="887"/>
      <c r="P6" s="887"/>
      <c r="Q6" s="887"/>
      <c r="R6" s="887"/>
    </row>
    <row r="7" spans="1:29" ht="24.75" thickBot="1">
      <c r="A7" s="2615"/>
      <c r="B7" s="328" t="s">
        <v>2759</v>
      </c>
      <c r="C7" s="2643" t="s">
        <v>2760</v>
      </c>
      <c r="D7" s="2644"/>
      <c r="E7" s="2645"/>
      <c r="F7" s="2646" t="s">
        <v>2764</v>
      </c>
      <c r="G7" s="2647" t="s">
        <v>2765</v>
      </c>
      <c r="H7" s="887"/>
      <c r="I7" s="887"/>
      <c r="J7" s="887"/>
      <c r="K7" s="887"/>
      <c r="L7" s="887"/>
      <c r="M7" s="887"/>
      <c r="N7" s="887"/>
      <c r="O7" s="887"/>
      <c r="P7" s="887"/>
      <c r="Q7" s="887"/>
      <c r="R7" s="887"/>
    </row>
    <row r="8" spans="1:29">
      <c r="A8" s="2615"/>
      <c r="B8" s="328" t="s">
        <v>2762</v>
      </c>
      <c r="C8" s="2643" t="s">
        <v>2763</v>
      </c>
      <c r="D8" s="2644"/>
      <c r="E8" s="2644"/>
      <c r="F8" s="2648"/>
      <c r="G8" s="2648"/>
      <c r="H8" s="887"/>
      <c r="I8" s="887"/>
      <c r="J8" s="887"/>
      <c r="K8" s="887"/>
      <c r="L8" s="887"/>
      <c r="M8" s="887"/>
      <c r="N8" s="887"/>
      <c r="O8" s="887"/>
      <c r="P8" s="887"/>
      <c r="Q8" s="887"/>
      <c r="R8" s="887"/>
    </row>
    <row r="9" spans="1:29" ht="24">
      <c r="A9" s="2615"/>
      <c r="B9" s="328" t="s">
        <v>2766</v>
      </c>
      <c r="C9" s="2641" t="s">
        <v>2767</v>
      </c>
      <c r="D9" s="2638"/>
      <c r="E9" s="2644"/>
      <c r="F9" s="2648"/>
      <c r="G9" s="2648"/>
      <c r="H9" s="887"/>
      <c r="I9" s="887"/>
      <c r="J9" s="887"/>
      <c r="K9" s="887"/>
      <c r="L9" s="887"/>
      <c r="M9" s="887"/>
      <c r="N9" s="887"/>
      <c r="O9" s="887"/>
      <c r="P9" s="887"/>
      <c r="Q9" s="887"/>
      <c r="R9" s="887"/>
    </row>
    <row r="10" spans="1:29" s="2654" customFormat="1" ht="15" thickBot="1">
      <c r="A10" s="2616"/>
      <c r="B10" s="2649" t="s">
        <v>2768</v>
      </c>
      <c r="C10" s="2650"/>
      <c r="D10" s="2638"/>
      <c r="E10" s="2638"/>
      <c r="F10" s="2648"/>
      <c r="G10" s="2648"/>
      <c r="H10" s="2651"/>
      <c r="I10" s="2652"/>
      <c r="J10" s="2653"/>
      <c r="K10" s="2651"/>
      <c r="L10" s="2652"/>
      <c r="M10" s="2653"/>
      <c r="N10" s="2651"/>
      <c r="O10" s="2652"/>
      <c r="P10" s="2653"/>
      <c r="Q10" s="2651"/>
      <c r="R10" s="2652"/>
      <c r="S10" s="887"/>
      <c r="T10" s="887"/>
      <c r="U10" s="887"/>
      <c r="V10" s="887"/>
      <c r="W10" s="887"/>
      <c r="X10" s="887"/>
      <c r="Y10" s="887"/>
      <c r="Z10" s="887"/>
      <c r="AA10" s="887"/>
      <c r="AB10" s="887"/>
      <c r="AC10" s="887"/>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7"/>
      <c r="T11" s="887"/>
      <c r="U11" s="887"/>
      <c r="V11" s="887"/>
      <c r="W11" s="887"/>
      <c r="X11" s="887"/>
      <c r="Y11" s="887"/>
      <c r="Z11" s="887"/>
      <c r="AA11" s="887"/>
      <c r="AB11" s="887"/>
      <c r="AC11" s="887"/>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2786</v>
      </c>
      <c r="B13" s="2657"/>
      <c r="C13" s="2657"/>
      <c r="D13" s="2655"/>
      <c r="E13" s="2657"/>
      <c r="F13" s="2657"/>
      <c r="G13" s="2657"/>
    </row>
    <row r="14" spans="1:29" ht="15" thickBot="1">
      <c r="A14" s="2667"/>
      <c r="B14" s="2667"/>
      <c r="C14" s="2668" t="s">
        <v>2769</v>
      </c>
      <c r="D14" s="2638"/>
      <c r="E14" s="2669"/>
      <c r="F14" s="2669"/>
      <c r="G14" s="2633" t="s">
        <v>2770</v>
      </c>
    </row>
    <row r="15" spans="1:29" ht="51">
      <c r="A15" s="2617" t="s">
        <v>2771</v>
      </c>
      <c r="B15" s="2670" t="s">
        <v>2751</v>
      </c>
      <c r="C15" s="2671" t="str">
        <f>C3</f>
        <v>估价对象周边居住用地比例、居住小区规模和社区发展完善程度，综合评价居住社区成熟度一般</v>
      </c>
      <c r="D15" s="2638"/>
      <c r="E15" s="2618" t="s">
        <v>2772</v>
      </c>
      <c r="F15" s="2670" t="s">
        <v>2773</v>
      </c>
      <c r="G15" s="2672" t="str">
        <f>G3</f>
        <v>估价对象位于XX开发区，园区建设成熟度XX，产业集聚程度XX</v>
      </c>
    </row>
    <row r="16" spans="1:29" ht="38.25">
      <c r="A16" s="2619"/>
      <c r="B16" s="2673" t="s">
        <v>2753</v>
      </c>
      <c r="C16" s="2674" t="str">
        <f>C4</f>
        <v>估价对象位于XX商圈，周边商业氛围成熟，人流量大，商业繁华度好</v>
      </c>
      <c r="D16" s="2638"/>
      <c r="E16" s="2620"/>
      <c r="F16" s="2675" t="s">
        <v>2755</v>
      </c>
      <c r="G16" s="2676" t="str">
        <f>G4</f>
        <v>估价对象周边道路状况、公共交通通达情况、停车便捷程度，综合评价交通便捷度较好</v>
      </c>
    </row>
    <row r="17" spans="1:18" ht="38.25">
      <c r="A17" s="2619"/>
      <c r="B17" s="2673" t="s">
        <v>2757</v>
      </c>
      <c r="C17" s="2674" t="str">
        <f>C5</f>
        <v>估价对象位于XX商圈，周边办公楼项目较多，入驻率高，办公集聚程度较好</v>
      </c>
      <c r="D17" s="2644"/>
      <c r="E17" s="2620"/>
      <c r="F17" s="2675" t="s">
        <v>2774</v>
      </c>
      <c r="G17" s="2677"/>
    </row>
    <row r="18" spans="1:18" ht="38.25">
      <c r="A18" s="2619"/>
      <c r="B18" s="2675" t="s">
        <v>2761</v>
      </c>
      <c r="C18" s="2676" t="str">
        <f>C6</f>
        <v>估价对象周边道路状况、公共交通通达情况、停车便捷程度，综合评价交通便捷度较好</v>
      </c>
      <c r="D18" s="2644"/>
      <c r="E18" s="2620"/>
      <c r="F18" s="2675" t="s">
        <v>2764</v>
      </c>
      <c r="G18" s="2676" t="str">
        <f>G7</f>
        <v>该园区内是否有污染型企业，绿化情况，卫生条件，整体环境状况判断</v>
      </c>
    </row>
    <row r="19" spans="1:18" ht="25.5">
      <c r="A19" s="2619"/>
      <c r="B19" s="2675" t="s">
        <v>2775</v>
      </c>
      <c r="C19" s="2677"/>
      <c r="D19" s="2638"/>
      <c r="E19" s="2620"/>
      <c r="F19" s="328" t="s">
        <v>2759</v>
      </c>
      <c r="G19" s="2676" t="str">
        <f>G5</f>
        <v>估价对象所在区域公共配套设施齐备情况</v>
      </c>
    </row>
    <row r="20" spans="1:18" ht="25.5">
      <c r="A20" s="2619"/>
      <c r="B20" s="2675" t="s">
        <v>2776</v>
      </c>
      <c r="C20" s="2674" t="str">
        <f>C9</f>
        <v>区域自然环境：；人文环境；综合评价环境状况一般</v>
      </c>
      <c r="D20" s="2644"/>
      <c r="E20" s="2620"/>
      <c r="F20" s="328" t="s">
        <v>2762</v>
      </c>
      <c r="G20" s="2676" t="str">
        <f>G6</f>
        <v>估价对象所在区域基础设施水平</v>
      </c>
    </row>
    <row r="21" spans="1:18" ht="25.5">
      <c r="A21" s="2619"/>
      <c r="B21" s="328" t="s">
        <v>2759</v>
      </c>
      <c r="C21" s="2676" t="str">
        <f>C7</f>
        <v>估价对象所在区域公共配套设施齐备情况</v>
      </c>
      <c r="D21" s="2638"/>
      <c r="E21" s="2620"/>
      <c r="F21" s="2675" t="s">
        <v>2777</v>
      </c>
      <c r="G21" s="2678"/>
    </row>
    <row r="22" spans="1:18" ht="13.5" customHeight="1">
      <c r="A22" s="2619"/>
      <c r="B22" s="328" t="s">
        <v>2762</v>
      </c>
      <c r="C22" s="2676" t="str">
        <f>C8</f>
        <v>估价对象所在区域基础设施水平</v>
      </c>
      <c r="D22" s="2638"/>
      <c r="E22" s="2620"/>
      <c r="F22" s="2675" t="s">
        <v>2768</v>
      </c>
      <c r="G22" s="2677"/>
    </row>
    <row r="23" spans="1:18" s="887" customFormat="1" ht="15" thickBot="1">
      <c r="A23" s="2619"/>
      <c r="B23" s="2675" t="s">
        <v>2777</v>
      </c>
      <c r="C23" s="2678"/>
      <c r="D23" s="1876"/>
      <c r="E23" s="2621"/>
      <c r="F23" s="2679" t="s">
        <v>2778</v>
      </c>
      <c r="G23" s="2680"/>
      <c r="H23" s="2664"/>
      <c r="I23" s="2665"/>
      <c r="J23" s="2664"/>
      <c r="K23" s="2664"/>
      <c r="L23" s="2665"/>
      <c r="M23" s="2664"/>
      <c r="N23" s="2664"/>
      <c r="O23" s="2665"/>
      <c r="P23" s="2664"/>
      <c r="Q23" s="2664"/>
      <c r="R23" s="2666"/>
    </row>
    <row r="24" spans="1:18" s="887" customFormat="1" ht="15" thickBot="1">
      <c r="A24" s="2622"/>
      <c r="B24" s="2679" t="s">
        <v>2779</v>
      </c>
      <c r="C24" s="2681">
        <f>C10</f>
        <v>0</v>
      </c>
      <c r="D24" s="1876"/>
      <c r="E24" s="2612"/>
      <c r="F24" s="2612"/>
      <c r="G24" s="2682"/>
      <c r="H24" s="2664"/>
      <c r="I24" s="2665"/>
      <c r="J24" s="2664"/>
      <c r="K24" s="2664"/>
      <c r="L24" s="2665"/>
      <c r="M24" s="2664"/>
      <c r="N24" s="2664"/>
      <c r="O24" s="2665"/>
      <c r="P24" s="2664"/>
      <c r="Q24" s="2664"/>
      <c r="R24" s="2666"/>
    </row>
    <row r="25" spans="1:18" s="887" customFormat="1">
      <c r="B25" s="2664"/>
      <c r="C25" s="2664"/>
      <c r="D25" s="2664"/>
      <c r="H25" s="2664"/>
      <c r="I25" s="2665"/>
      <c r="J25" s="2664"/>
      <c r="K25" s="2664"/>
      <c r="L25" s="2665"/>
      <c r="M25" s="2664"/>
      <c r="N25" s="2664"/>
      <c r="O25" s="2665"/>
      <c r="P25" s="2664"/>
      <c r="Q25" s="2664"/>
      <c r="R25" s="2666"/>
    </row>
    <row r="26" spans="1:18" s="887" customFormat="1">
      <c r="B26" s="2664"/>
      <c r="C26" s="2664"/>
      <c r="D26" s="2664"/>
      <c r="H26" s="2664"/>
      <c r="I26" s="2665"/>
      <c r="J26" s="2664"/>
      <c r="K26" s="2664"/>
      <c r="L26" s="2665"/>
      <c r="M26" s="2664"/>
      <c r="N26" s="2664"/>
      <c r="O26" s="2665"/>
      <c r="P26" s="2664"/>
      <c r="Q26" s="2664"/>
      <c r="R26" s="2666"/>
    </row>
    <row r="27" spans="1:18" s="887" customFormat="1">
      <c r="B27" s="2664"/>
      <c r="C27" s="2664"/>
      <c r="D27" s="2664"/>
      <c r="H27" s="2664"/>
      <c r="I27" s="2665"/>
      <c r="J27" s="2664"/>
      <c r="K27" s="2664"/>
      <c r="L27" s="2665"/>
      <c r="M27" s="2664"/>
      <c r="N27" s="2664"/>
      <c r="O27" s="2665"/>
      <c r="P27" s="2664"/>
      <c r="Q27" s="2664"/>
      <c r="R27" s="2666"/>
    </row>
    <row r="28" spans="1:18" s="887" customFormat="1">
      <c r="B28" s="2664"/>
      <c r="C28" s="2664"/>
      <c r="D28" s="2664"/>
      <c r="H28" s="2664"/>
      <c r="I28" s="2665"/>
      <c r="J28" s="2664"/>
      <c r="K28" s="2664"/>
      <c r="L28" s="2665"/>
      <c r="M28" s="2664"/>
      <c r="N28" s="2664"/>
      <c r="O28" s="2665"/>
      <c r="P28" s="2664"/>
      <c r="Q28" s="2664"/>
      <c r="R28" s="2666"/>
    </row>
    <row r="29" spans="1:18" s="887" customFormat="1">
      <c r="B29" s="2664"/>
      <c r="C29" s="2664"/>
      <c r="D29" s="2664"/>
      <c r="H29" s="2664"/>
      <c r="I29" s="2665"/>
      <c r="J29" s="2664"/>
      <c r="K29" s="2664"/>
      <c r="L29" s="2665"/>
      <c r="M29" s="2664"/>
      <c r="N29" s="2664"/>
      <c r="O29" s="2665"/>
      <c r="P29" s="2664"/>
      <c r="Q29" s="2664"/>
      <c r="R29" s="2666"/>
    </row>
    <row r="30" spans="1:18" s="887" customFormat="1">
      <c r="B30" s="2664"/>
      <c r="C30" s="2664"/>
      <c r="D30" s="2664"/>
      <c r="H30" s="2664"/>
      <c r="I30" s="2665"/>
      <c r="J30" s="2664"/>
      <c r="K30" s="2664"/>
      <c r="L30" s="2665"/>
      <c r="M30" s="2664"/>
      <c r="N30" s="2664"/>
      <c r="O30" s="2665"/>
      <c r="P30" s="2664"/>
      <c r="Q30" s="2664"/>
      <c r="R30" s="2666"/>
    </row>
    <row r="31" spans="1:18" s="887" customFormat="1">
      <c r="B31" s="2664"/>
      <c r="C31" s="2664"/>
      <c r="D31" s="2664"/>
      <c r="H31" s="2664"/>
      <c r="I31" s="2665"/>
      <c r="J31" s="2664"/>
      <c r="K31" s="2664"/>
      <c r="L31" s="2665"/>
      <c r="M31" s="2664"/>
      <c r="N31" s="2664"/>
      <c r="O31" s="2665"/>
      <c r="P31" s="2664"/>
      <c r="Q31" s="2664"/>
      <c r="R31" s="2666"/>
    </row>
    <row r="32" spans="1:18" s="887" customFormat="1">
      <c r="B32" s="2664"/>
      <c r="C32" s="2664"/>
      <c r="D32" s="2664"/>
      <c r="H32" s="2664"/>
      <c r="I32" s="2665"/>
      <c r="J32" s="2664"/>
      <c r="K32" s="2664"/>
      <c r="L32" s="2665"/>
      <c r="M32" s="2664"/>
      <c r="N32" s="2664"/>
      <c r="O32" s="2665"/>
      <c r="P32" s="2664"/>
      <c r="Q32" s="2664"/>
      <c r="R32" s="2666"/>
    </row>
    <row r="33" spans="2:18" s="887" customFormat="1">
      <c r="B33" s="2664"/>
      <c r="C33" s="2664"/>
      <c r="D33" s="2664"/>
      <c r="H33" s="2664"/>
      <c r="I33" s="2665"/>
      <c r="J33" s="2664"/>
      <c r="K33" s="2664"/>
      <c r="L33" s="2665"/>
      <c r="M33" s="2664"/>
      <c r="N33" s="2664"/>
      <c r="O33" s="2665"/>
      <c r="P33" s="2664"/>
      <c r="Q33" s="2664"/>
      <c r="R33" s="2666"/>
    </row>
    <row r="34" spans="2:18" s="887" customFormat="1">
      <c r="B34" s="2664"/>
      <c r="C34" s="2664"/>
      <c r="D34" s="2664"/>
      <c r="H34" s="2664"/>
      <c r="I34" s="2665"/>
      <c r="J34" s="2664"/>
      <c r="K34" s="2664"/>
      <c r="L34" s="2665"/>
      <c r="M34" s="2664"/>
      <c r="N34" s="2664"/>
      <c r="O34" s="2665"/>
      <c r="P34" s="2664"/>
      <c r="Q34" s="2664"/>
      <c r="R34" s="2666"/>
    </row>
    <row r="35" spans="2:18" s="887" customFormat="1">
      <c r="B35" s="2664"/>
      <c r="C35" s="2664"/>
      <c r="D35" s="2664"/>
      <c r="H35" s="2664"/>
      <c r="I35" s="2665"/>
      <c r="J35" s="2664"/>
      <c r="K35" s="2664"/>
      <c r="L35" s="2665"/>
      <c r="M35" s="2664"/>
      <c r="N35" s="2664"/>
      <c r="O35" s="2665"/>
      <c r="P35" s="2664"/>
      <c r="Q35" s="2664"/>
      <c r="R35" s="2666"/>
    </row>
    <row r="36" spans="2:18" s="887" customFormat="1">
      <c r="B36" s="2664"/>
      <c r="C36" s="2664"/>
      <c r="D36" s="2664"/>
      <c r="H36" s="2664"/>
      <c r="I36" s="2665"/>
      <c r="J36" s="2664"/>
      <c r="K36" s="2664"/>
      <c r="L36" s="2665"/>
      <c r="M36" s="2664"/>
      <c r="N36" s="2664"/>
      <c r="O36" s="2665"/>
      <c r="P36" s="2664"/>
      <c r="Q36" s="2664"/>
      <c r="R36" s="2666"/>
    </row>
    <row r="37" spans="2:18" s="887" customFormat="1">
      <c r="B37" s="2664"/>
      <c r="C37" s="2664"/>
      <c r="D37" s="2664"/>
      <c r="H37" s="2664"/>
      <c r="I37" s="2665"/>
      <c r="J37" s="2664"/>
      <c r="K37" s="2664"/>
      <c r="L37" s="2665"/>
      <c r="M37" s="2664"/>
      <c r="N37" s="2664"/>
      <c r="O37" s="2665"/>
      <c r="P37" s="2664"/>
      <c r="Q37" s="2664"/>
      <c r="R37" s="2666"/>
    </row>
    <row r="38" spans="2:18" s="887" customFormat="1">
      <c r="B38" s="2664"/>
      <c r="C38" s="2664"/>
      <c r="D38" s="2664"/>
      <c r="E38" s="2664"/>
      <c r="F38" s="2664"/>
      <c r="G38" s="2665"/>
      <c r="H38" s="2664"/>
      <c r="I38" s="2665"/>
      <c r="J38" s="2664"/>
      <c r="K38" s="2664"/>
      <c r="L38" s="2665"/>
      <c r="M38" s="2664"/>
      <c r="N38" s="2664"/>
      <c r="O38" s="2665"/>
      <c r="P38" s="2664"/>
      <c r="Q38" s="2664"/>
      <c r="R38" s="2666"/>
    </row>
    <row r="39" spans="2:18" s="887" customFormat="1">
      <c r="B39" s="2664"/>
      <c r="C39" s="2664"/>
      <c r="D39" s="2664"/>
      <c r="E39" s="2664"/>
      <c r="F39" s="2664"/>
      <c r="G39" s="2665"/>
      <c r="H39" s="2664"/>
      <c r="I39" s="2665"/>
      <c r="J39" s="2664"/>
      <c r="K39" s="2664"/>
      <c r="L39" s="2665"/>
      <c r="M39" s="2664"/>
      <c r="N39" s="2664"/>
      <c r="O39" s="2665"/>
      <c r="P39" s="2664"/>
      <c r="Q39" s="2664"/>
      <c r="R39" s="2666"/>
    </row>
    <row r="40" spans="2:18" s="887" customFormat="1">
      <c r="B40" s="2664"/>
      <c r="C40" s="2664"/>
      <c r="D40" s="2664"/>
      <c r="E40" s="2664"/>
      <c r="F40" s="2664"/>
      <c r="G40" s="2665"/>
      <c r="H40" s="2664"/>
      <c r="I40" s="2665"/>
      <c r="J40" s="2664"/>
      <c r="K40" s="2664"/>
      <c r="L40" s="2665"/>
      <c r="M40" s="2664"/>
      <c r="N40" s="2664"/>
      <c r="O40" s="2665"/>
      <c r="P40" s="2664"/>
      <c r="Q40" s="2664"/>
      <c r="R40" s="2666"/>
    </row>
    <row r="41" spans="2:18" s="887" customFormat="1">
      <c r="B41" s="2664"/>
      <c r="C41" s="2664"/>
      <c r="D41" s="2664"/>
      <c r="E41" s="2664"/>
      <c r="F41" s="2664"/>
      <c r="G41" s="2665"/>
      <c r="H41" s="2664"/>
      <c r="I41" s="2665"/>
      <c r="J41" s="2664"/>
      <c r="K41" s="2664"/>
      <c r="L41" s="2665"/>
      <c r="M41" s="2664"/>
      <c r="N41" s="2664"/>
      <c r="O41" s="2665"/>
      <c r="P41" s="2664"/>
      <c r="Q41" s="2664"/>
      <c r="R41" s="2666"/>
    </row>
    <row r="42" spans="2:18" s="887" customFormat="1">
      <c r="B42" s="2664"/>
      <c r="C42" s="2664"/>
      <c r="D42" s="2664"/>
      <c r="E42" s="2664"/>
      <c r="F42" s="2664"/>
      <c r="G42" s="2665"/>
      <c r="H42" s="2664"/>
      <c r="I42" s="2665"/>
      <c r="J42" s="2664"/>
      <c r="K42" s="2664"/>
      <c r="L42" s="2665"/>
      <c r="M42" s="2664"/>
      <c r="N42" s="2664"/>
      <c r="O42" s="2665"/>
      <c r="P42" s="2664"/>
      <c r="Q42" s="2664"/>
      <c r="R42" s="2666"/>
    </row>
    <row r="43" spans="2:18" s="887" customFormat="1">
      <c r="B43" s="2664"/>
      <c r="C43" s="2664"/>
      <c r="D43" s="2664"/>
      <c r="E43" s="2664"/>
      <c r="F43" s="2664"/>
      <c r="G43" s="2665"/>
      <c r="H43" s="2664"/>
      <c r="I43" s="2665"/>
      <c r="J43" s="2664"/>
      <c r="K43" s="2664"/>
      <c r="L43" s="2665"/>
      <c r="M43" s="2664"/>
      <c r="N43" s="2664"/>
      <c r="O43" s="2665"/>
      <c r="P43" s="2664"/>
      <c r="Q43" s="2664"/>
      <c r="R43" s="2666"/>
    </row>
    <row r="44" spans="2:18" s="887" customFormat="1">
      <c r="B44" s="2664"/>
      <c r="C44" s="2664"/>
      <c r="D44" s="2664"/>
      <c r="E44" s="2664"/>
      <c r="F44" s="2664"/>
      <c r="G44" s="2665"/>
      <c r="H44" s="2664"/>
      <c r="I44" s="2665"/>
      <c r="J44" s="2664"/>
      <c r="K44" s="2664"/>
      <c r="L44" s="2665"/>
      <c r="M44" s="2664"/>
      <c r="N44" s="2664"/>
      <c r="O44" s="2665"/>
      <c r="P44" s="2664"/>
      <c r="Q44" s="2664"/>
      <c r="R44" s="2666"/>
    </row>
    <row r="45" spans="2:18" s="887" customFormat="1">
      <c r="B45" s="2664"/>
      <c r="C45" s="2664"/>
      <c r="D45" s="2664"/>
      <c r="E45" s="2664"/>
      <c r="F45" s="2664"/>
      <c r="G45" s="2665"/>
      <c r="H45" s="2664"/>
      <c r="I45" s="2665"/>
      <c r="J45" s="2664"/>
      <c r="K45" s="2664"/>
      <c r="L45" s="2665"/>
      <c r="M45" s="2664"/>
      <c r="N45" s="2664"/>
      <c r="O45" s="2665"/>
      <c r="P45" s="2664"/>
      <c r="Q45" s="2664"/>
      <c r="R45" s="2666"/>
    </row>
    <row r="46" spans="2:18" s="887" customFormat="1">
      <c r="B46" s="2664"/>
      <c r="C46" s="2664"/>
      <c r="D46" s="2664"/>
      <c r="E46" s="2664"/>
      <c r="F46" s="2664"/>
      <c r="G46" s="2665"/>
      <c r="H46" s="2664"/>
      <c r="I46" s="2665"/>
      <c r="J46" s="2664"/>
      <c r="K46" s="2664"/>
      <c r="L46" s="2665"/>
      <c r="M46" s="2664"/>
      <c r="N46" s="2664"/>
      <c r="O46" s="2665"/>
      <c r="P46" s="2664"/>
      <c r="Q46" s="2664"/>
      <c r="R46" s="2666"/>
    </row>
    <row r="47" spans="2:18" s="887" customFormat="1">
      <c r="B47" s="2664"/>
      <c r="C47" s="2664"/>
      <c r="D47" s="2664"/>
      <c r="E47" s="2664"/>
      <c r="F47" s="2664"/>
      <c r="G47" s="2665"/>
      <c r="H47" s="2664"/>
      <c r="I47" s="2665"/>
      <c r="J47" s="2664"/>
      <c r="K47" s="2664"/>
      <c r="L47" s="2665"/>
      <c r="M47" s="2664"/>
      <c r="N47" s="2664"/>
      <c r="O47" s="2665"/>
      <c r="P47" s="2664"/>
      <c r="Q47" s="2664"/>
      <c r="R47" s="2666"/>
    </row>
    <row r="48" spans="2:18" s="887" customFormat="1">
      <c r="B48" s="2664"/>
      <c r="C48" s="2664"/>
      <c r="D48" s="2664"/>
      <c r="E48" s="2664"/>
      <c r="F48" s="2664"/>
      <c r="G48" s="2665"/>
      <c r="H48" s="2664"/>
      <c r="I48" s="2665"/>
      <c r="J48" s="2664"/>
      <c r="K48" s="2664"/>
      <c r="L48" s="2665"/>
      <c r="M48" s="2664"/>
      <c r="N48" s="2664"/>
      <c r="O48" s="2665"/>
      <c r="P48" s="2664"/>
      <c r="Q48" s="2664"/>
      <c r="R48" s="2666"/>
    </row>
    <row r="49" spans="2:18" s="887" customFormat="1">
      <c r="B49" s="2664"/>
      <c r="C49" s="2664"/>
      <c r="D49" s="2664"/>
      <c r="E49" s="2664"/>
      <c r="F49" s="2664"/>
      <c r="G49" s="2665"/>
      <c r="H49" s="2664"/>
      <c r="I49" s="2665"/>
      <c r="J49" s="2664"/>
      <c r="K49" s="2664"/>
      <c r="L49" s="2665"/>
      <c r="M49" s="2664"/>
      <c r="N49" s="2664"/>
      <c r="O49" s="2665"/>
      <c r="P49" s="2664"/>
      <c r="Q49" s="2664"/>
      <c r="R49" s="2666"/>
    </row>
    <row r="50" spans="2:18" s="887" customFormat="1">
      <c r="B50" s="2664"/>
      <c r="C50" s="2664"/>
      <c r="D50" s="2664"/>
      <c r="E50" s="2664"/>
      <c r="F50" s="2664"/>
      <c r="G50" s="2665"/>
      <c r="H50" s="2664"/>
      <c r="I50" s="2665"/>
      <c r="J50" s="2664"/>
      <c r="K50" s="2664"/>
      <c r="L50" s="2665"/>
      <c r="M50" s="2664"/>
      <c r="N50" s="2664"/>
      <c r="O50" s="2665"/>
      <c r="P50" s="2664"/>
      <c r="Q50" s="2664"/>
      <c r="R50" s="2666"/>
    </row>
    <row r="51" spans="2:18" s="887" customFormat="1">
      <c r="B51" s="2664"/>
      <c r="C51" s="2664"/>
      <c r="D51" s="2664"/>
      <c r="E51" s="2664"/>
      <c r="F51" s="2664"/>
      <c r="G51" s="2665"/>
      <c r="H51" s="2664"/>
      <c r="I51" s="2665"/>
      <c r="J51" s="2664"/>
      <c r="K51" s="2664"/>
      <c r="L51" s="2665"/>
      <c r="M51" s="2664"/>
      <c r="N51" s="2664"/>
      <c r="O51" s="2665"/>
      <c r="P51" s="2664"/>
      <c r="Q51" s="2664"/>
      <c r="R51" s="2666"/>
    </row>
    <row r="52" spans="2:18" s="887" customFormat="1">
      <c r="B52" s="2664"/>
      <c r="C52" s="2664"/>
      <c r="D52" s="2664"/>
      <c r="E52" s="2664"/>
      <c r="F52" s="2664"/>
      <c r="G52" s="2665"/>
      <c r="H52" s="2664"/>
      <c r="I52" s="2665"/>
      <c r="J52" s="2664"/>
      <c r="K52" s="2664"/>
      <c r="L52" s="2665"/>
      <c r="M52" s="2664"/>
      <c r="N52" s="2664"/>
      <c r="O52" s="2665"/>
      <c r="P52" s="2664"/>
      <c r="Q52" s="2664"/>
      <c r="R52" s="2666"/>
    </row>
    <row r="53" spans="2:18" s="887" customFormat="1">
      <c r="B53" s="2664"/>
      <c r="C53" s="2664"/>
      <c r="D53" s="2664"/>
      <c r="E53" s="2664"/>
      <c r="F53" s="2664"/>
      <c r="G53" s="2665"/>
      <c r="H53" s="2664"/>
      <c r="I53" s="2665"/>
      <c r="J53" s="2664"/>
      <c r="K53" s="2664"/>
      <c r="L53" s="2665"/>
      <c r="M53" s="2664"/>
      <c r="N53" s="2664"/>
      <c r="O53" s="2665"/>
      <c r="P53" s="2664"/>
      <c r="Q53" s="2664"/>
      <c r="R53" s="2666"/>
    </row>
    <row r="54" spans="2:18" s="887" customFormat="1">
      <c r="B54" s="2664"/>
      <c r="C54" s="2664"/>
      <c r="D54" s="2664"/>
      <c r="E54" s="2664"/>
      <c r="F54" s="2664"/>
      <c r="G54" s="2665"/>
      <c r="H54" s="2664"/>
      <c r="I54" s="2665"/>
      <c r="J54" s="2664"/>
      <c r="K54" s="2664"/>
      <c r="L54" s="2665"/>
      <c r="M54" s="2664"/>
      <c r="N54" s="2664"/>
      <c r="O54" s="2665"/>
      <c r="P54" s="2664"/>
      <c r="Q54" s="2664"/>
      <c r="R54" s="2666"/>
    </row>
    <row r="55" spans="2:18" s="887" customFormat="1">
      <c r="B55" s="2664"/>
      <c r="C55" s="2664"/>
      <c r="D55" s="2664"/>
      <c r="E55" s="2664"/>
      <c r="F55" s="2664"/>
      <c r="G55" s="2665"/>
      <c r="H55" s="2664"/>
      <c r="I55" s="2665"/>
      <c r="J55" s="2664"/>
      <c r="K55" s="2664"/>
      <c r="L55" s="2665"/>
      <c r="M55" s="2664"/>
      <c r="N55" s="2664"/>
      <c r="O55" s="2665"/>
      <c r="P55" s="2664"/>
      <c r="Q55" s="2664"/>
      <c r="R55" s="2666"/>
    </row>
    <row r="56" spans="2:18" s="887" customFormat="1">
      <c r="B56" s="2664"/>
      <c r="C56" s="2664"/>
      <c r="D56" s="2664"/>
      <c r="E56" s="2664"/>
      <c r="F56" s="2664"/>
      <c r="G56" s="2665"/>
      <c r="H56" s="2664"/>
      <c r="I56" s="2665"/>
      <c r="J56" s="2664"/>
      <c r="K56" s="2664"/>
      <c r="L56" s="2665"/>
      <c r="M56" s="2664"/>
      <c r="N56" s="2664"/>
      <c r="O56" s="2665"/>
      <c r="P56" s="2664"/>
      <c r="Q56" s="2664"/>
      <c r="R56" s="2666"/>
    </row>
    <row r="57" spans="2:18" s="887" customFormat="1">
      <c r="B57" s="2664"/>
      <c r="C57" s="2664"/>
      <c r="D57" s="2664"/>
      <c r="E57" s="2664"/>
      <c r="F57" s="2664"/>
      <c r="G57" s="2665"/>
      <c r="H57" s="2664"/>
      <c r="I57" s="2665"/>
      <c r="J57" s="2664"/>
      <c r="K57" s="2664"/>
      <c r="L57" s="2665"/>
      <c r="M57" s="2664"/>
      <c r="N57" s="2664"/>
      <c r="O57" s="2665"/>
      <c r="P57" s="2664"/>
      <c r="Q57" s="2664"/>
      <c r="R57" s="2666"/>
    </row>
    <row r="58" spans="2:18" s="887" customFormat="1">
      <c r="B58" s="2664"/>
      <c r="C58" s="2664"/>
      <c r="D58" s="2664"/>
      <c r="E58" s="2664"/>
      <c r="F58" s="2664"/>
      <c r="G58" s="2665"/>
      <c r="H58" s="2664"/>
      <c r="I58" s="2665"/>
      <c r="J58" s="2664"/>
      <c r="K58" s="2664"/>
      <c r="L58" s="2665"/>
      <c r="M58" s="2664"/>
      <c r="N58" s="2664"/>
      <c r="O58" s="2665"/>
      <c r="P58" s="2664"/>
      <c r="Q58" s="2664"/>
      <c r="R58" s="2666"/>
    </row>
    <row r="59" spans="2:18" s="887" customFormat="1">
      <c r="B59" s="2664"/>
      <c r="C59" s="2664"/>
      <c r="D59" s="2664"/>
      <c r="E59" s="2664"/>
      <c r="F59" s="2664"/>
      <c r="G59" s="2665"/>
      <c r="H59" s="2664"/>
      <c r="I59" s="2665"/>
      <c r="J59" s="2664"/>
      <c r="K59" s="2664"/>
      <c r="L59" s="2665"/>
      <c r="M59" s="2664"/>
      <c r="N59" s="2664"/>
      <c r="O59" s="2665"/>
      <c r="P59" s="2664"/>
      <c r="Q59" s="2664"/>
      <c r="R59" s="2666"/>
    </row>
    <row r="60" spans="2:18" s="887" customFormat="1">
      <c r="B60" s="2664"/>
      <c r="C60" s="2664"/>
      <c r="D60" s="2664"/>
      <c r="E60" s="2664"/>
      <c r="F60" s="2664"/>
      <c r="G60" s="2665"/>
      <c r="H60" s="2664"/>
      <c r="I60" s="2665"/>
      <c r="J60" s="2664"/>
      <c r="K60" s="2664"/>
      <c r="L60" s="2665"/>
      <c r="M60" s="2664"/>
      <c r="N60" s="2664"/>
      <c r="O60" s="2665"/>
      <c r="P60" s="2664"/>
      <c r="Q60" s="2664"/>
      <c r="R60" s="2666"/>
    </row>
    <row r="61" spans="2:18" s="887" customFormat="1">
      <c r="B61" s="2664"/>
      <c r="C61" s="2664"/>
      <c r="D61" s="2664"/>
      <c r="E61" s="2664"/>
      <c r="F61" s="2664"/>
      <c r="G61" s="2665"/>
      <c r="H61" s="2664"/>
      <c r="I61" s="2665"/>
      <c r="J61" s="2664"/>
      <c r="K61" s="2664"/>
      <c r="L61" s="2665"/>
      <c r="M61" s="2664"/>
      <c r="N61" s="2664"/>
      <c r="O61" s="2665"/>
      <c r="P61" s="2664"/>
      <c r="Q61" s="2664"/>
      <c r="R61" s="2666"/>
    </row>
    <row r="62" spans="2:18" s="887" customFormat="1">
      <c r="B62" s="2664"/>
      <c r="C62" s="2664"/>
      <c r="D62" s="2664"/>
      <c r="E62" s="2664"/>
      <c r="F62" s="2664"/>
      <c r="G62" s="2665"/>
      <c r="H62" s="2664"/>
      <c r="I62" s="2665"/>
      <c r="J62" s="2664"/>
      <c r="K62" s="2664"/>
      <c r="L62" s="2665"/>
      <c r="M62" s="2664"/>
      <c r="N62" s="2664"/>
      <c r="O62" s="2665"/>
      <c r="P62" s="2664"/>
      <c r="Q62" s="2664"/>
      <c r="R62" s="2666"/>
    </row>
    <row r="63" spans="2:18" s="887" customFormat="1">
      <c r="B63" s="2664"/>
      <c r="C63" s="2664"/>
      <c r="D63" s="2664"/>
      <c r="E63" s="2664"/>
      <c r="F63" s="2664"/>
      <c r="G63" s="2665"/>
      <c r="H63" s="2664"/>
      <c r="I63" s="2665"/>
      <c r="J63" s="2664"/>
      <c r="K63" s="2664"/>
      <c r="L63" s="2665"/>
      <c r="M63" s="2664"/>
      <c r="N63" s="2664"/>
      <c r="O63" s="2665"/>
      <c r="P63" s="2664"/>
      <c r="Q63" s="2664"/>
      <c r="R63" s="2666"/>
    </row>
    <row r="64" spans="2:18" s="887" customFormat="1">
      <c r="B64" s="2664"/>
      <c r="C64" s="2664"/>
      <c r="D64" s="2664"/>
      <c r="E64" s="2664"/>
      <c r="F64" s="2664"/>
      <c r="G64" s="2665"/>
      <c r="H64" s="2664"/>
      <c r="I64" s="2665"/>
      <c r="J64" s="2664"/>
      <c r="K64" s="2664"/>
      <c r="L64" s="2665"/>
      <c r="M64" s="2664"/>
      <c r="N64" s="2664"/>
      <c r="O64" s="2665"/>
      <c r="P64" s="2664"/>
      <c r="Q64" s="2664"/>
      <c r="R64" s="2666"/>
    </row>
    <row r="65" spans="2:18" s="887" customFormat="1">
      <c r="B65" s="2664"/>
      <c r="C65" s="2664"/>
      <c r="D65" s="2664"/>
      <c r="E65" s="2664"/>
      <c r="F65" s="2664"/>
      <c r="G65" s="2665"/>
      <c r="H65" s="2664"/>
      <c r="I65" s="2665"/>
      <c r="J65" s="2664"/>
      <c r="K65" s="2664"/>
      <c r="L65" s="2665"/>
      <c r="M65" s="2664"/>
      <c r="N65" s="2664"/>
      <c r="O65" s="2665"/>
      <c r="P65" s="2664"/>
      <c r="Q65" s="2664"/>
      <c r="R65" s="2666"/>
    </row>
    <row r="66" spans="2:18" s="887" customFormat="1">
      <c r="B66" s="2664"/>
      <c r="C66" s="2664"/>
      <c r="D66" s="2664"/>
      <c r="E66" s="2664"/>
      <c r="F66" s="2664"/>
      <c r="G66" s="2665"/>
      <c r="H66" s="2664"/>
      <c r="I66" s="2665"/>
      <c r="J66" s="2664"/>
      <c r="K66" s="2664"/>
      <c r="L66" s="2665"/>
      <c r="M66" s="2664"/>
      <c r="N66" s="2664"/>
      <c r="O66" s="2665"/>
      <c r="P66" s="2664"/>
      <c r="Q66" s="2664"/>
      <c r="R66" s="2666"/>
    </row>
    <row r="67" spans="2:18" s="887" customFormat="1">
      <c r="B67" s="2664"/>
      <c r="C67" s="2664"/>
      <c r="D67" s="2664"/>
      <c r="E67" s="2664"/>
      <c r="F67" s="2664"/>
      <c r="G67" s="2665"/>
      <c r="H67" s="2664"/>
      <c r="I67" s="2665"/>
      <c r="J67" s="2664"/>
      <c r="K67" s="2664"/>
      <c r="L67" s="2665"/>
      <c r="M67" s="2664"/>
      <c r="N67" s="2664"/>
      <c r="O67" s="2665"/>
      <c r="P67" s="2664"/>
      <c r="Q67" s="2664"/>
      <c r="R67" s="2666"/>
    </row>
    <row r="68" spans="2:18" s="887" customFormat="1">
      <c r="B68" s="2664"/>
      <c r="C68" s="2664"/>
      <c r="D68" s="2664"/>
      <c r="E68" s="2664"/>
      <c r="F68" s="2664"/>
      <c r="G68" s="2665"/>
      <c r="H68" s="2664"/>
      <c r="I68" s="2665"/>
      <c r="J68" s="2664"/>
      <c r="K68" s="2664"/>
      <c r="L68" s="2665"/>
      <c r="M68" s="2664"/>
      <c r="N68" s="2664"/>
      <c r="O68" s="2665"/>
      <c r="P68" s="2664"/>
      <c r="Q68" s="2664"/>
      <c r="R68" s="2666"/>
    </row>
    <row r="69" spans="2:18" s="887" customFormat="1">
      <c r="B69" s="2664"/>
      <c r="C69" s="2664"/>
      <c r="D69" s="2664"/>
      <c r="E69" s="2664"/>
      <c r="F69" s="2664"/>
      <c r="G69" s="2665"/>
      <c r="H69" s="2664"/>
      <c r="I69" s="2665"/>
      <c r="J69" s="2664"/>
      <c r="K69" s="2664"/>
      <c r="L69" s="2665"/>
      <c r="M69" s="2664"/>
      <c r="N69" s="2664"/>
      <c r="O69" s="2665"/>
      <c r="P69" s="2664"/>
      <c r="Q69" s="2664"/>
      <c r="R69" s="2666"/>
    </row>
    <row r="70" spans="2:18" s="887" customFormat="1">
      <c r="B70" s="2664"/>
      <c r="C70" s="2664"/>
      <c r="D70" s="2664"/>
      <c r="E70" s="2664"/>
      <c r="F70" s="2664"/>
      <c r="G70" s="2665"/>
      <c r="H70" s="2664"/>
      <c r="I70" s="2665"/>
      <c r="J70" s="2664"/>
      <c r="K70" s="2664"/>
      <c r="L70" s="2665"/>
      <c r="M70" s="2664"/>
      <c r="N70" s="2664"/>
      <c r="O70" s="2665"/>
      <c r="P70" s="2664"/>
      <c r="Q70" s="2664"/>
      <c r="R70" s="2666"/>
    </row>
    <row r="71" spans="2:18" s="887" customFormat="1">
      <c r="B71" s="2664"/>
      <c r="C71" s="2664"/>
      <c r="D71" s="2664"/>
      <c r="E71" s="2664"/>
      <c r="F71" s="2664"/>
      <c r="G71" s="2665"/>
      <c r="H71" s="2664"/>
      <c r="I71" s="2665"/>
      <c r="J71" s="2664"/>
      <c r="K71" s="2664"/>
      <c r="L71" s="2665"/>
      <c r="M71" s="2664"/>
      <c r="N71" s="2664"/>
      <c r="O71" s="2665"/>
      <c r="P71" s="2664"/>
      <c r="Q71" s="2664"/>
      <c r="R71" s="2666"/>
    </row>
    <row r="72" spans="2:18" s="887" customFormat="1">
      <c r="B72" s="2664"/>
      <c r="C72" s="2664"/>
      <c r="D72" s="2664"/>
      <c r="E72" s="2664"/>
      <c r="F72" s="2664"/>
      <c r="G72" s="2665"/>
      <c r="H72" s="2664"/>
      <c r="I72" s="2665"/>
      <c r="J72" s="2664"/>
      <c r="K72" s="2664"/>
      <c r="L72" s="2665"/>
      <c r="M72" s="2664"/>
      <c r="N72" s="2664"/>
      <c r="O72" s="2665"/>
      <c r="P72" s="2664"/>
      <c r="Q72" s="2664"/>
      <c r="R72" s="2666"/>
    </row>
    <row r="73" spans="2:18" s="887" customFormat="1">
      <c r="B73" s="2664"/>
      <c r="C73" s="2664"/>
      <c r="D73" s="2664"/>
      <c r="E73" s="2664"/>
      <c r="F73" s="2664"/>
      <c r="G73" s="2665"/>
      <c r="H73" s="2664"/>
      <c r="I73" s="2665"/>
      <c r="J73" s="2664"/>
      <c r="K73" s="2664"/>
      <c r="L73" s="2665"/>
      <c r="M73" s="2664"/>
      <c r="N73" s="2664"/>
      <c r="O73" s="2665"/>
      <c r="P73" s="2664"/>
      <c r="Q73" s="2664"/>
      <c r="R73" s="2666"/>
    </row>
    <row r="74" spans="2:18" s="887" customFormat="1">
      <c r="B74" s="2664"/>
      <c r="C74" s="2664"/>
      <c r="D74" s="2664"/>
      <c r="E74" s="2664"/>
      <c r="F74" s="2664"/>
      <c r="G74" s="2665"/>
      <c r="H74" s="2664"/>
      <c r="I74" s="2665"/>
      <c r="J74" s="2664"/>
      <c r="K74" s="2664"/>
      <c r="L74" s="2665"/>
      <c r="M74" s="2664"/>
      <c r="N74" s="2664"/>
      <c r="O74" s="2665"/>
      <c r="P74" s="2664"/>
      <c r="Q74" s="2664"/>
      <c r="R74" s="2666"/>
    </row>
    <row r="75" spans="2:18" s="887" customFormat="1">
      <c r="B75" s="2664"/>
      <c r="C75" s="2664"/>
      <c r="D75" s="2664"/>
      <c r="E75" s="2664"/>
      <c r="F75" s="2664"/>
      <c r="G75" s="2665"/>
      <c r="H75" s="2664"/>
      <c r="I75" s="2665"/>
      <c r="J75" s="2664"/>
      <c r="K75" s="2664"/>
      <c r="L75" s="2665"/>
      <c r="M75" s="2664"/>
      <c r="N75" s="2664"/>
      <c r="O75" s="2665"/>
      <c r="P75" s="2664"/>
      <c r="Q75" s="2664"/>
      <c r="R75" s="2666"/>
    </row>
    <row r="76" spans="2:18" s="887" customFormat="1">
      <c r="B76" s="2664"/>
      <c r="C76" s="2664"/>
      <c r="D76" s="2664"/>
      <c r="E76" s="2664"/>
      <c r="F76" s="2664"/>
      <c r="G76" s="2665"/>
      <c r="H76" s="2664"/>
      <c r="I76" s="2665"/>
      <c r="J76" s="2664"/>
      <c r="K76" s="2664"/>
      <c r="L76" s="2665"/>
      <c r="M76" s="2664"/>
      <c r="N76" s="2664"/>
      <c r="O76" s="2665"/>
      <c r="P76" s="2664"/>
      <c r="Q76" s="2664"/>
      <c r="R76" s="2666"/>
    </row>
    <row r="77" spans="2:18" s="887" customFormat="1">
      <c r="B77" s="2664"/>
      <c r="C77" s="2664"/>
      <c r="D77" s="2664"/>
      <c r="E77" s="2664"/>
      <c r="F77" s="2664"/>
      <c r="G77" s="2665"/>
      <c r="H77" s="2664"/>
      <c r="I77" s="2665"/>
      <c r="J77" s="2664"/>
      <c r="K77" s="2664"/>
      <c r="L77" s="2665"/>
      <c r="M77" s="2664"/>
      <c r="N77" s="2664"/>
      <c r="O77" s="2665"/>
      <c r="P77" s="2664"/>
      <c r="Q77" s="2664"/>
      <c r="R77" s="2666"/>
    </row>
    <row r="78" spans="2:18" s="887" customFormat="1">
      <c r="B78" s="2664"/>
      <c r="C78" s="2664"/>
      <c r="D78" s="2664"/>
      <c r="E78" s="2664"/>
      <c r="F78" s="2664"/>
      <c r="G78" s="2665"/>
      <c r="H78" s="2664"/>
      <c r="I78" s="2665"/>
      <c r="J78" s="2664"/>
      <c r="K78" s="2664"/>
      <c r="L78" s="2665"/>
      <c r="M78" s="2664"/>
      <c r="N78" s="2664"/>
      <c r="O78" s="2665"/>
      <c r="P78" s="2664"/>
      <c r="Q78" s="2664"/>
      <c r="R78" s="2666"/>
    </row>
    <row r="79" spans="2:18" s="887" customFormat="1">
      <c r="B79" s="2664"/>
      <c r="C79" s="2664"/>
      <c r="D79" s="2664"/>
      <c r="E79" s="2664"/>
      <c r="F79" s="2664"/>
      <c r="G79" s="2665"/>
      <c r="H79" s="2664"/>
      <c r="I79" s="2665"/>
      <c r="J79" s="2664"/>
      <c r="K79" s="2664"/>
      <c r="L79" s="2665"/>
      <c r="M79" s="2664"/>
      <c r="N79" s="2664"/>
      <c r="O79" s="2665"/>
      <c r="P79" s="2664"/>
      <c r="Q79" s="2664"/>
      <c r="R79" s="2666"/>
    </row>
    <row r="80" spans="2:18" s="887" customFormat="1">
      <c r="B80" s="2664"/>
      <c r="C80" s="2664"/>
      <c r="D80" s="2664"/>
      <c r="E80" s="2664"/>
      <c r="F80" s="2664"/>
      <c r="G80" s="2665"/>
      <c r="H80" s="2664"/>
      <c r="I80" s="2665"/>
      <c r="J80" s="2664"/>
      <c r="K80" s="2664"/>
      <c r="L80" s="2665"/>
      <c r="M80" s="2664"/>
      <c r="N80" s="2664"/>
      <c r="O80" s="2665"/>
      <c r="P80" s="2664"/>
      <c r="Q80" s="2664"/>
      <c r="R80" s="2666"/>
    </row>
    <row r="81" spans="2:18" s="887" customFormat="1">
      <c r="B81" s="2664"/>
      <c r="C81" s="2664"/>
      <c r="D81" s="2664"/>
      <c r="E81" s="2664"/>
      <c r="F81" s="2664"/>
      <c r="G81" s="2665"/>
      <c r="H81" s="2664"/>
      <c r="I81" s="2665"/>
      <c r="J81" s="2664"/>
      <c r="K81" s="2664"/>
      <c r="L81" s="2665"/>
      <c r="M81" s="2664"/>
      <c r="N81" s="2664"/>
      <c r="O81" s="2665"/>
      <c r="P81" s="2664"/>
      <c r="Q81" s="2664"/>
      <c r="R81" s="2666"/>
    </row>
    <row r="82" spans="2:18" s="887" customFormat="1">
      <c r="B82" s="2664"/>
      <c r="C82" s="2664"/>
      <c r="D82" s="2664"/>
      <c r="E82" s="2664"/>
      <c r="F82" s="2664"/>
      <c r="G82" s="2665"/>
      <c r="H82" s="2664"/>
      <c r="I82" s="2665"/>
      <c r="J82" s="2664"/>
      <c r="K82" s="2664"/>
      <c r="L82" s="2665"/>
      <c r="M82" s="2664"/>
      <c r="N82" s="2664"/>
      <c r="O82" s="2665"/>
      <c r="P82" s="2664"/>
      <c r="Q82" s="2664"/>
      <c r="R82" s="2666"/>
    </row>
    <row r="83" spans="2:18" s="887" customFormat="1">
      <c r="B83" s="2664"/>
      <c r="C83" s="2664"/>
      <c r="D83" s="2664"/>
      <c r="E83" s="2664"/>
      <c r="F83" s="2664"/>
      <c r="G83" s="2665"/>
      <c r="H83" s="2664"/>
      <c r="I83" s="2665"/>
      <c r="J83" s="2664"/>
      <c r="K83" s="2664"/>
      <c r="L83" s="2665"/>
      <c r="M83" s="2664"/>
      <c r="N83" s="2664"/>
      <c r="O83" s="2665"/>
      <c r="P83" s="2664"/>
      <c r="Q83" s="2664"/>
      <c r="R83" s="2666"/>
    </row>
    <row r="84" spans="2:18" s="887" customFormat="1">
      <c r="B84" s="2664"/>
      <c r="C84" s="2664"/>
      <c r="D84" s="2664"/>
      <c r="E84" s="2664"/>
      <c r="F84" s="2664"/>
      <c r="G84" s="2665"/>
      <c r="H84" s="2664"/>
      <c r="I84" s="2665"/>
      <c r="J84" s="2664"/>
      <c r="K84" s="2664"/>
      <c r="L84" s="2665"/>
      <c r="M84" s="2664"/>
      <c r="N84" s="2664"/>
      <c r="O84" s="2665"/>
      <c r="P84" s="2664"/>
      <c r="Q84" s="2664"/>
      <c r="R84" s="2666"/>
    </row>
    <row r="85" spans="2:18" s="887" customFormat="1">
      <c r="B85" s="2664"/>
      <c r="C85" s="2664"/>
      <c r="D85" s="2664"/>
      <c r="E85" s="2664"/>
      <c r="F85" s="2664"/>
      <c r="G85" s="2665"/>
      <c r="H85" s="2664"/>
      <c r="I85" s="2665"/>
      <c r="J85" s="2664"/>
      <c r="K85" s="2664"/>
      <c r="L85" s="2665"/>
      <c r="M85" s="2664"/>
      <c r="N85" s="2664"/>
      <c r="O85" s="2665"/>
      <c r="P85" s="2664"/>
      <c r="Q85" s="2664"/>
      <c r="R85" s="2666"/>
    </row>
    <row r="86" spans="2:18" s="887" customFormat="1">
      <c r="B86" s="2664"/>
      <c r="C86" s="2664"/>
      <c r="D86" s="2664"/>
      <c r="E86" s="2664"/>
      <c r="F86" s="2664"/>
      <c r="G86" s="2665"/>
      <c r="H86" s="2664"/>
      <c r="I86" s="2665"/>
      <c r="J86" s="2664"/>
      <c r="K86" s="2664"/>
      <c r="L86" s="2665"/>
      <c r="M86" s="2664"/>
      <c r="N86" s="2664"/>
      <c r="O86" s="2665"/>
      <c r="P86" s="2664"/>
      <c r="Q86" s="2664"/>
      <c r="R86" s="2666"/>
    </row>
    <row r="87" spans="2:18" s="887" customFormat="1">
      <c r="B87" s="2664"/>
      <c r="C87" s="2664"/>
      <c r="D87" s="2664"/>
      <c r="E87" s="2664"/>
      <c r="F87" s="2664"/>
      <c r="G87" s="2665"/>
      <c r="H87" s="2664"/>
      <c r="I87" s="2665"/>
      <c r="J87" s="2664"/>
      <c r="K87" s="2664"/>
      <c r="L87" s="2665"/>
      <c r="M87" s="2664"/>
      <c r="N87" s="2664"/>
      <c r="O87" s="2665"/>
      <c r="P87" s="2664"/>
      <c r="Q87" s="2664"/>
      <c r="R87" s="2666"/>
    </row>
    <row r="88" spans="2:18" s="887" customFormat="1">
      <c r="B88" s="2664"/>
      <c r="C88" s="2664"/>
      <c r="D88" s="2664"/>
      <c r="E88" s="2664"/>
      <c r="F88" s="2664"/>
      <c r="G88" s="2665"/>
      <c r="H88" s="2664"/>
      <c r="I88" s="2665"/>
      <c r="J88" s="2664"/>
      <c r="K88" s="2664"/>
      <c r="L88" s="2665"/>
      <c r="M88" s="2664"/>
      <c r="N88" s="2664"/>
      <c r="O88" s="2665"/>
      <c r="P88" s="2664"/>
      <c r="Q88" s="2664"/>
      <c r="R88" s="2666"/>
    </row>
    <row r="89" spans="2:18" s="887" customFormat="1">
      <c r="B89" s="2664"/>
      <c r="C89" s="2664"/>
      <c r="D89" s="2664"/>
      <c r="E89" s="2664"/>
      <c r="F89" s="2664"/>
      <c r="G89" s="2665"/>
      <c r="H89" s="2664"/>
      <c r="I89" s="2665"/>
      <c r="J89" s="2664"/>
      <c r="K89" s="2664"/>
      <c r="L89" s="2665"/>
      <c r="M89" s="2664"/>
      <c r="N89" s="2664"/>
      <c r="O89" s="2665"/>
      <c r="P89" s="2664"/>
      <c r="Q89" s="2664"/>
      <c r="R89" s="2666"/>
    </row>
    <row r="90" spans="2:18" s="887" customFormat="1">
      <c r="B90" s="2664"/>
      <c r="C90" s="2664"/>
      <c r="D90" s="2664"/>
      <c r="E90" s="2664"/>
      <c r="F90" s="2664"/>
      <c r="G90" s="2665"/>
      <c r="H90" s="2664"/>
      <c r="I90" s="2665"/>
      <c r="J90" s="2664"/>
      <c r="K90" s="2664"/>
      <c r="L90" s="2665"/>
      <c r="M90" s="2664"/>
      <c r="N90" s="2664"/>
      <c r="O90" s="2665"/>
      <c r="P90" s="2664"/>
      <c r="Q90" s="2664"/>
      <c r="R90" s="2666"/>
    </row>
    <row r="91" spans="2:18" s="887" customFormat="1">
      <c r="B91" s="2664"/>
      <c r="C91" s="2664"/>
      <c r="D91" s="2664"/>
      <c r="E91" s="2664"/>
      <c r="F91" s="2664"/>
      <c r="G91" s="2665"/>
      <c r="H91" s="2664"/>
      <c r="I91" s="2665"/>
      <c r="J91" s="2664"/>
      <c r="K91" s="2664"/>
      <c r="L91" s="2665"/>
      <c r="M91" s="2664"/>
      <c r="N91" s="2664"/>
      <c r="O91" s="2665"/>
      <c r="P91" s="2664"/>
      <c r="Q91" s="2664"/>
      <c r="R91" s="2666"/>
    </row>
    <row r="92" spans="2:18" s="887" customFormat="1">
      <c r="B92" s="2664"/>
      <c r="C92" s="2664"/>
      <c r="D92" s="2664"/>
      <c r="E92" s="2664"/>
      <c r="F92" s="2664"/>
      <c r="G92" s="2665"/>
      <c r="H92" s="2664"/>
      <c r="I92" s="2665"/>
      <c r="J92" s="2664"/>
      <c r="K92" s="2664"/>
      <c r="L92" s="2665"/>
      <c r="M92" s="2664"/>
      <c r="N92" s="2664"/>
      <c r="O92" s="2665"/>
      <c r="P92" s="2664"/>
      <c r="Q92" s="2664"/>
      <c r="R92" s="2666"/>
    </row>
    <row r="93" spans="2:18" s="887" customFormat="1">
      <c r="B93" s="2664"/>
      <c r="C93" s="2664"/>
      <c r="D93" s="2664"/>
      <c r="E93" s="2664"/>
      <c r="F93" s="2664"/>
      <c r="G93" s="2665"/>
      <c r="H93" s="2664"/>
      <c r="I93" s="2665"/>
      <c r="J93" s="2664"/>
      <c r="K93" s="2664"/>
      <c r="L93" s="2665"/>
      <c r="M93" s="2664"/>
      <c r="N93" s="2664"/>
      <c r="O93" s="2665"/>
      <c r="P93" s="2664"/>
      <c r="Q93" s="2664"/>
      <c r="R93" s="2666"/>
    </row>
    <row r="94" spans="2:18" s="887" customFormat="1">
      <c r="B94" s="2664"/>
      <c r="C94" s="2664"/>
      <c r="D94" s="2664"/>
      <c r="E94" s="2664"/>
      <c r="F94" s="2664"/>
      <c r="G94" s="2665"/>
      <c r="H94" s="2664"/>
      <c r="I94" s="2665"/>
      <c r="J94" s="2664"/>
      <c r="K94" s="2664"/>
      <c r="L94" s="2665"/>
      <c r="M94" s="2664"/>
      <c r="N94" s="2664"/>
      <c r="O94" s="2665"/>
      <c r="P94" s="2664"/>
      <c r="Q94" s="2664"/>
      <c r="R94" s="2666"/>
    </row>
    <row r="95" spans="2:18" s="887" customFormat="1">
      <c r="B95" s="2664"/>
      <c r="C95" s="2664"/>
      <c r="D95" s="2664"/>
      <c r="E95" s="2664"/>
      <c r="F95" s="2664"/>
      <c r="G95" s="2665"/>
      <c r="H95" s="2664"/>
      <c r="I95" s="2665"/>
      <c r="J95" s="2664"/>
      <c r="K95" s="2664"/>
      <c r="L95" s="2665"/>
      <c r="M95" s="2664"/>
      <c r="N95" s="2664"/>
      <c r="O95" s="2665"/>
      <c r="P95" s="2664"/>
      <c r="Q95" s="2664"/>
      <c r="R95" s="2666"/>
    </row>
    <row r="96" spans="2:18" s="887" customFormat="1">
      <c r="B96" s="2664"/>
      <c r="C96" s="2664"/>
      <c r="D96" s="2664"/>
      <c r="E96" s="2664"/>
      <c r="F96" s="2664"/>
      <c r="G96" s="2665"/>
      <c r="H96" s="2664"/>
      <c r="I96" s="2665"/>
      <c r="J96" s="2664"/>
      <c r="K96" s="2664"/>
      <c r="L96" s="2665"/>
      <c r="M96" s="2664"/>
      <c r="N96" s="2664"/>
      <c r="O96" s="2665"/>
      <c r="P96" s="2664"/>
      <c r="Q96" s="2664"/>
      <c r="R96" s="2666"/>
    </row>
    <row r="97" spans="2:18" s="887" customFormat="1">
      <c r="B97" s="2664"/>
      <c r="C97" s="2664"/>
      <c r="D97" s="2664"/>
      <c r="E97" s="2664"/>
      <c r="F97" s="2664"/>
      <c r="G97" s="2665"/>
      <c r="H97" s="2664"/>
      <c r="I97" s="2665"/>
      <c r="J97" s="2664"/>
      <c r="K97" s="2664"/>
      <c r="L97" s="2665"/>
      <c r="M97" s="2664"/>
      <c r="N97" s="2664"/>
      <c r="O97" s="2665"/>
      <c r="P97" s="2664"/>
      <c r="Q97" s="2664"/>
      <c r="R97" s="2666"/>
    </row>
    <row r="98" spans="2:18" s="887" customFormat="1">
      <c r="B98" s="2664"/>
      <c r="C98" s="2664"/>
      <c r="D98" s="2664"/>
      <c r="E98" s="2664"/>
      <c r="F98" s="2664"/>
      <c r="G98" s="2665"/>
      <c r="H98" s="2664"/>
      <c r="I98" s="2665"/>
      <c r="J98" s="2664"/>
      <c r="K98" s="2664"/>
      <c r="L98" s="2665"/>
      <c r="M98" s="2664"/>
      <c r="N98" s="2664"/>
      <c r="O98" s="2665"/>
      <c r="P98" s="2664"/>
      <c r="Q98" s="2664"/>
      <c r="R98" s="2666"/>
    </row>
    <row r="99" spans="2:18" s="887" customFormat="1">
      <c r="B99" s="2664"/>
      <c r="C99" s="2664"/>
      <c r="D99" s="2664"/>
      <c r="E99" s="2664"/>
      <c r="F99" s="2664"/>
      <c r="G99" s="2665"/>
      <c r="H99" s="2664"/>
      <c r="I99" s="2665"/>
      <c r="J99" s="2664"/>
      <c r="K99" s="2664"/>
      <c r="L99" s="2665"/>
      <c r="M99" s="2664"/>
      <c r="N99" s="2664"/>
      <c r="O99" s="2665"/>
      <c r="P99" s="2664"/>
      <c r="Q99" s="2664"/>
      <c r="R99" s="2666"/>
    </row>
    <row r="100" spans="2:18" s="887" customFormat="1">
      <c r="B100" s="2664"/>
      <c r="C100" s="2664"/>
      <c r="D100" s="2664"/>
      <c r="E100" s="2664"/>
      <c r="F100" s="2664"/>
      <c r="G100" s="2665"/>
      <c r="H100" s="2664"/>
      <c r="I100" s="2665"/>
      <c r="J100" s="2664"/>
      <c r="K100" s="2664"/>
      <c r="L100" s="2665"/>
      <c r="M100" s="2664"/>
      <c r="N100" s="2664"/>
      <c r="O100" s="2665"/>
      <c r="P100" s="2664"/>
      <c r="Q100" s="2664"/>
      <c r="R100" s="2666"/>
    </row>
    <row r="101" spans="2:18" s="887" customFormat="1">
      <c r="B101" s="2664"/>
      <c r="C101" s="2664"/>
      <c r="D101" s="2664"/>
      <c r="E101" s="2664"/>
      <c r="F101" s="2664"/>
      <c r="G101" s="2665"/>
      <c r="H101" s="2664"/>
      <c r="I101" s="2665"/>
      <c r="J101" s="2664"/>
      <c r="K101" s="2664"/>
      <c r="L101" s="2665"/>
      <c r="M101" s="2664"/>
      <c r="N101" s="2664"/>
      <c r="O101" s="2665"/>
      <c r="P101" s="2664"/>
      <c r="Q101" s="2664"/>
      <c r="R101" s="2666"/>
    </row>
    <row r="102" spans="2:18" s="887" customFormat="1">
      <c r="B102" s="2664"/>
      <c r="C102" s="2664"/>
      <c r="D102" s="2664"/>
      <c r="E102" s="2664"/>
      <c r="F102" s="2664"/>
      <c r="G102" s="2665"/>
      <c r="H102" s="2664"/>
      <c r="I102" s="2665"/>
      <c r="J102" s="2664"/>
      <c r="K102" s="2664"/>
      <c r="L102" s="2665"/>
      <c r="M102" s="2664"/>
      <c r="N102" s="2664"/>
      <c r="O102" s="2665"/>
      <c r="P102" s="2664"/>
      <c r="Q102" s="2664"/>
      <c r="R102" s="2666"/>
    </row>
    <row r="103" spans="2:18" s="887" customFormat="1">
      <c r="B103" s="2664"/>
      <c r="C103" s="2664"/>
      <c r="D103" s="2664"/>
      <c r="E103" s="2664"/>
      <c r="F103" s="2664"/>
      <c r="G103" s="2665"/>
      <c r="H103" s="2664"/>
      <c r="I103" s="2665"/>
      <c r="J103" s="2664"/>
      <c r="K103" s="2664"/>
      <c r="L103" s="2665"/>
      <c r="M103" s="2664"/>
      <c r="N103" s="2664"/>
      <c r="O103" s="2665"/>
      <c r="P103" s="2664"/>
      <c r="Q103" s="2664"/>
      <c r="R103" s="2666"/>
    </row>
    <row r="104" spans="2:18" s="887" customFormat="1">
      <c r="B104" s="2664"/>
      <c r="C104" s="2664"/>
      <c r="D104" s="2664"/>
      <c r="E104" s="2664"/>
      <c r="F104" s="2664"/>
      <c r="G104" s="2665"/>
      <c r="H104" s="2664"/>
      <c r="I104" s="2665"/>
      <c r="J104" s="2664"/>
      <c r="K104" s="2664"/>
      <c r="L104" s="2665"/>
      <c r="M104" s="2664"/>
      <c r="N104" s="2664"/>
      <c r="O104" s="2665"/>
      <c r="P104" s="2664"/>
      <c r="Q104" s="2664"/>
      <c r="R104" s="2666"/>
    </row>
    <row r="105" spans="2:18" s="887" customFormat="1">
      <c r="B105" s="2664"/>
      <c r="C105" s="2664"/>
      <c r="D105" s="2664"/>
      <c r="E105" s="2664"/>
      <c r="F105" s="2664"/>
      <c r="G105" s="2665"/>
      <c r="H105" s="2664"/>
      <c r="I105" s="2665"/>
      <c r="J105" s="2664"/>
      <c r="K105" s="2664"/>
      <c r="L105" s="2665"/>
      <c r="M105" s="2664"/>
      <c r="N105" s="2664"/>
      <c r="O105" s="2665"/>
      <c r="P105" s="2664"/>
      <c r="Q105" s="2664"/>
      <c r="R105" s="2666"/>
    </row>
    <row r="106" spans="2:18" s="887" customFormat="1">
      <c r="B106" s="2664"/>
      <c r="C106" s="2664"/>
      <c r="D106" s="2664"/>
      <c r="E106" s="2664"/>
      <c r="F106" s="2664"/>
      <c r="G106" s="2665"/>
      <c r="H106" s="2664"/>
      <c r="I106" s="2665"/>
      <c r="J106" s="2664"/>
      <c r="K106" s="2664"/>
      <c r="L106" s="2665"/>
      <c r="M106" s="2664"/>
      <c r="N106" s="2664"/>
      <c r="O106" s="2665"/>
      <c r="P106" s="2664"/>
      <c r="Q106" s="2664"/>
      <c r="R106" s="2666"/>
    </row>
    <row r="107" spans="2:18" s="887" customFormat="1">
      <c r="B107" s="2664"/>
      <c r="C107" s="2664"/>
      <c r="D107" s="2664"/>
      <c r="E107" s="2664"/>
      <c r="F107" s="2664"/>
      <c r="G107" s="2665"/>
      <c r="H107" s="2664"/>
      <c r="I107" s="2665"/>
      <c r="J107" s="2664"/>
      <c r="K107" s="2664"/>
      <c r="L107" s="2665"/>
      <c r="M107" s="2664"/>
      <c r="N107" s="2664"/>
      <c r="O107" s="2665"/>
      <c r="P107" s="2664"/>
      <c r="Q107" s="2664"/>
      <c r="R107" s="2666"/>
    </row>
    <row r="108" spans="2:18" s="887" customFormat="1">
      <c r="B108" s="2664"/>
      <c r="C108" s="2664"/>
      <c r="D108" s="2664"/>
      <c r="E108" s="2664"/>
      <c r="F108" s="2664"/>
      <c r="G108" s="2665"/>
      <c r="H108" s="2664"/>
      <c r="I108" s="2665"/>
      <c r="J108" s="2664"/>
      <c r="K108" s="2664"/>
      <c r="L108" s="2665"/>
      <c r="M108" s="2664"/>
      <c r="N108" s="2664"/>
      <c r="O108" s="2665"/>
      <c r="P108" s="2664"/>
      <c r="Q108" s="2664"/>
      <c r="R108" s="2666"/>
    </row>
    <row r="109" spans="2:18" s="887" customFormat="1">
      <c r="B109" s="2664"/>
      <c r="C109" s="2664"/>
      <c r="D109" s="2664"/>
      <c r="E109" s="2664"/>
      <c r="F109" s="2664"/>
      <c r="G109" s="2665"/>
      <c r="H109" s="2664"/>
      <c r="I109" s="2665"/>
      <c r="J109" s="2664"/>
      <c r="K109" s="2664"/>
      <c r="L109" s="2665"/>
      <c r="M109" s="2664"/>
      <c r="N109" s="2664"/>
      <c r="O109" s="2665"/>
      <c r="P109" s="2664"/>
      <c r="Q109" s="2664"/>
      <c r="R109" s="2666"/>
    </row>
    <row r="110" spans="2:18" s="887" customFormat="1">
      <c r="B110" s="2664"/>
      <c r="C110" s="2664"/>
      <c r="D110" s="2664"/>
      <c r="E110" s="2664"/>
      <c r="F110" s="2664"/>
      <c r="G110" s="2665"/>
      <c r="H110" s="2664"/>
      <c r="I110" s="2665"/>
      <c r="J110" s="2664"/>
      <c r="K110" s="2664"/>
      <c r="L110" s="2665"/>
      <c r="M110" s="2664"/>
      <c r="N110" s="2664"/>
      <c r="O110" s="2665"/>
      <c r="P110" s="2664"/>
      <c r="Q110" s="2664"/>
      <c r="R110" s="2666"/>
    </row>
    <row r="111" spans="2:18" s="887" customFormat="1">
      <c r="B111" s="2664"/>
      <c r="C111" s="2664"/>
      <c r="D111" s="2664"/>
      <c r="E111" s="2664"/>
      <c r="F111" s="2664"/>
      <c r="G111" s="2665"/>
      <c r="H111" s="2664"/>
      <c r="I111" s="2665"/>
      <c r="J111" s="2664"/>
      <c r="K111" s="2664"/>
      <c r="L111" s="2665"/>
      <c r="M111" s="2664"/>
      <c r="N111" s="2664"/>
      <c r="O111" s="2665"/>
      <c r="P111" s="2664"/>
      <c r="Q111" s="2664"/>
      <c r="R111" s="2666"/>
    </row>
    <row r="112" spans="2:18" s="887" customFormat="1">
      <c r="B112" s="2664"/>
      <c r="C112" s="2664"/>
      <c r="D112" s="2664"/>
      <c r="E112" s="2664"/>
      <c r="F112" s="2664"/>
      <c r="G112" s="2665"/>
      <c r="H112" s="2664"/>
      <c r="I112" s="2665"/>
      <c r="J112" s="2664"/>
      <c r="K112" s="2664"/>
      <c r="L112" s="2665"/>
      <c r="M112" s="2664"/>
      <c r="N112" s="2664"/>
      <c r="O112" s="2665"/>
      <c r="P112" s="2664"/>
      <c r="Q112" s="2664"/>
      <c r="R112" s="2666"/>
    </row>
    <row r="113" spans="2:18" s="887" customFormat="1">
      <c r="B113" s="2664"/>
      <c r="C113" s="2664"/>
      <c r="D113" s="2664"/>
      <c r="E113" s="2664"/>
      <c r="F113" s="2664"/>
      <c r="G113" s="2665"/>
      <c r="H113" s="2664"/>
      <c r="I113" s="2665"/>
      <c r="J113" s="2664"/>
      <c r="K113" s="2664"/>
      <c r="L113" s="2665"/>
      <c r="M113" s="2664"/>
      <c r="N113" s="2664"/>
      <c r="O113" s="2665"/>
      <c r="P113" s="2664"/>
      <c r="Q113" s="2664"/>
      <c r="R113" s="2666"/>
    </row>
    <row r="114" spans="2:18" s="887" customFormat="1">
      <c r="B114" s="2664"/>
      <c r="C114" s="2664"/>
      <c r="D114" s="2664"/>
      <c r="E114" s="2664"/>
      <c r="F114" s="2664"/>
      <c r="G114" s="2665"/>
      <c r="H114" s="2664"/>
      <c r="I114" s="2665"/>
      <c r="J114" s="2664"/>
      <c r="K114" s="2664"/>
      <c r="L114" s="2665"/>
      <c r="M114" s="2664"/>
      <c r="N114" s="2664"/>
      <c r="O114" s="2665"/>
      <c r="P114" s="2664"/>
      <c r="Q114" s="2664"/>
      <c r="R114" s="2666"/>
    </row>
    <row r="115" spans="2:18" s="887" customFormat="1">
      <c r="B115" s="2664"/>
      <c r="C115" s="2664"/>
      <c r="D115" s="2664"/>
      <c r="E115" s="2664"/>
      <c r="F115" s="2664"/>
      <c r="G115" s="2665"/>
      <c r="H115" s="2664"/>
      <c r="I115" s="2665"/>
      <c r="J115" s="2664"/>
      <c r="K115" s="2664"/>
      <c r="L115" s="2665"/>
      <c r="M115" s="2664"/>
      <c r="N115" s="2664"/>
      <c r="O115" s="2665"/>
      <c r="P115" s="2664"/>
      <c r="Q115" s="2664"/>
      <c r="R115" s="2666"/>
    </row>
    <row r="116" spans="2:18" s="887" customFormat="1">
      <c r="B116" s="2664"/>
      <c r="C116" s="2664"/>
      <c r="D116" s="2664"/>
      <c r="E116" s="2664"/>
      <c r="F116" s="2664"/>
      <c r="G116" s="2665"/>
      <c r="H116" s="2664"/>
      <c r="I116" s="2665"/>
      <c r="J116" s="2664"/>
      <c r="K116" s="2664"/>
      <c r="L116" s="2665"/>
      <c r="M116" s="2664"/>
      <c r="N116" s="2664"/>
      <c r="O116" s="2665"/>
      <c r="P116" s="2664"/>
      <c r="Q116" s="2664"/>
      <c r="R116" s="2666"/>
    </row>
    <row r="117" spans="2:18" s="887" customFormat="1">
      <c r="B117" s="2664"/>
      <c r="C117" s="2664"/>
      <c r="D117" s="2664"/>
      <c r="E117" s="2664"/>
      <c r="F117" s="2664"/>
      <c r="G117" s="2665"/>
      <c r="H117" s="2664"/>
      <c r="I117" s="2665"/>
      <c r="J117" s="2664"/>
      <c r="K117" s="2664"/>
      <c r="L117" s="2665"/>
      <c r="M117" s="2664"/>
      <c r="N117" s="2664"/>
      <c r="O117" s="2665"/>
      <c r="P117" s="2664"/>
      <c r="Q117" s="2664"/>
      <c r="R117" s="2666"/>
    </row>
    <row r="118" spans="2:18" s="887" customFormat="1">
      <c r="B118" s="2664"/>
      <c r="C118" s="2664"/>
      <c r="D118" s="2664"/>
      <c r="E118" s="2664"/>
      <c r="F118" s="2664"/>
      <c r="G118" s="2665"/>
      <c r="H118" s="2664"/>
      <c r="I118" s="2665"/>
      <c r="J118" s="2664"/>
      <c r="K118" s="2664"/>
      <c r="L118" s="2665"/>
      <c r="M118" s="2664"/>
      <c r="N118" s="2664"/>
      <c r="O118" s="2665"/>
      <c r="P118" s="2664"/>
      <c r="Q118" s="2664"/>
      <c r="R118" s="2666"/>
    </row>
    <row r="119" spans="2:18" s="887" customFormat="1">
      <c r="B119" s="2664"/>
      <c r="C119" s="2664"/>
      <c r="D119" s="2664"/>
      <c r="E119" s="2664"/>
      <c r="F119" s="2664"/>
      <c r="G119" s="2665"/>
      <c r="H119" s="2664"/>
      <c r="I119" s="2665"/>
      <c r="J119" s="2664"/>
      <c r="K119" s="2664"/>
      <c r="L119" s="2665"/>
      <c r="M119" s="2664"/>
      <c r="N119" s="2664"/>
      <c r="O119" s="2665"/>
      <c r="P119" s="2664"/>
      <c r="Q119" s="2664"/>
      <c r="R119" s="2666"/>
    </row>
    <row r="120" spans="2:18" s="887" customFormat="1">
      <c r="B120" s="2664"/>
      <c r="C120" s="2664"/>
      <c r="D120" s="2664"/>
      <c r="E120" s="2664"/>
      <c r="F120" s="2664"/>
      <c r="G120" s="2665"/>
      <c r="H120" s="2664"/>
      <c r="I120" s="2665"/>
      <c r="J120" s="2664"/>
      <c r="K120" s="2664"/>
      <c r="L120" s="2665"/>
      <c r="M120" s="2664"/>
      <c r="N120" s="2664"/>
      <c r="O120" s="2665"/>
      <c r="P120" s="2664"/>
      <c r="Q120" s="2664"/>
      <c r="R120" s="2666"/>
    </row>
    <row r="121" spans="2:18" s="887" customFormat="1">
      <c r="B121" s="2664"/>
      <c r="C121" s="2664"/>
      <c r="D121" s="2664"/>
      <c r="E121" s="2664"/>
      <c r="F121" s="2664"/>
      <c r="G121" s="2665"/>
      <c r="H121" s="2664"/>
      <c r="I121" s="2665"/>
      <c r="J121" s="2664"/>
      <c r="K121" s="2664"/>
      <c r="L121" s="2665"/>
      <c r="M121" s="2664"/>
      <c r="N121" s="2664"/>
      <c r="O121" s="2665"/>
      <c r="P121" s="2664"/>
      <c r="Q121" s="2664"/>
      <c r="R121" s="2666"/>
    </row>
    <row r="122" spans="2:18" s="887" customFormat="1">
      <c r="B122" s="2664"/>
      <c r="C122" s="2664"/>
      <c r="D122" s="2664"/>
      <c r="E122" s="2664"/>
      <c r="F122" s="2664"/>
      <c r="G122" s="2665"/>
      <c r="H122" s="2664"/>
      <c r="I122" s="2665"/>
      <c r="J122" s="2664"/>
      <c r="K122" s="2664"/>
      <c r="L122" s="2665"/>
      <c r="M122" s="2664"/>
      <c r="N122" s="2664"/>
      <c r="O122" s="2665"/>
      <c r="P122" s="2664"/>
      <c r="Q122" s="2664"/>
      <c r="R122" s="2666"/>
    </row>
    <row r="123" spans="2:18" s="887" customFormat="1">
      <c r="B123" s="2664"/>
      <c r="C123" s="2664"/>
      <c r="D123" s="2664"/>
      <c r="E123" s="2664"/>
      <c r="F123" s="2664"/>
      <c r="G123" s="2665"/>
      <c r="H123" s="2664"/>
      <c r="I123" s="2665"/>
      <c r="J123" s="2664"/>
      <c r="K123" s="2664"/>
      <c r="L123" s="2665"/>
      <c r="M123" s="2664"/>
      <c r="N123" s="2664"/>
      <c r="O123" s="2665"/>
      <c r="P123" s="2664"/>
      <c r="Q123" s="2664"/>
      <c r="R123" s="2666"/>
    </row>
    <row r="124" spans="2:18" s="887" customFormat="1">
      <c r="B124" s="2664"/>
      <c r="C124" s="2664"/>
      <c r="D124" s="2664"/>
      <c r="E124" s="2664"/>
      <c r="F124" s="2664"/>
      <c r="G124" s="2665"/>
      <c r="H124" s="2664"/>
      <c r="I124" s="2665"/>
      <c r="J124" s="2664"/>
      <c r="K124" s="2664"/>
      <c r="L124" s="2665"/>
      <c r="M124" s="2664"/>
      <c r="N124" s="2664"/>
      <c r="O124" s="2665"/>
      <c r="P124" s="2664"/>
      <c r="Q124" s="2664"/>
      <c r="R124" s="2666"/>
    </row>
    <row r="125" spans="2:18" s="887" customFormat="1">
      <c r="B125" s="2664"/>
      <c r="C125" s="2664"/>
      <c r="D125" s="2664"/>
      <c r="E125" s="2664"/>
      <c r="F125" s="2664"/>
      <c r="G125" s="2665"/>
      <c r="H125" s="2664"/>
      <c r="I125" s="2665"/>
      <c r="J125" s="2664"/>
      <c r="K125" s="2664"/>
      <c r="L125" s="2665"/>
      <c r="M125" s="2664"/>
      <c r="N125" s="2664"/>
      <c r="O125" s="2665"/>
      <c r="P125" s="2664"/>
      <c r="Q125" s="2664"/>
      <c r="R125" s="2666"/>
    </row>
    <row r="126" spans="2:18" s="887" customFormat="1">
      <c r="B126" s="2664"/>
      <c r="C126" s="2664"/>
      <c r="D126" s="2664"/>
      <c r="E126" s="2664"/>
      <c r="F126" s="2664"/>
      <c r="G126" s="2665"/>
      <c r="H126" s="2664"/>
      <c r="I126" s="2665"/>
      <c r="J126" s="2664"/>
      <c r="K126" s="2664"/>
      <c r="L126" s="2665"/>
      <c r="M126" s="2664"/>
      <c r="N126" s="2664"/>
      <c r="O126" s="2665"/>
      <c r="P126" s="2664"/>
      <c r="Q126" s="2664"/>
      <c r="R126" s="2666"/>
    </row>
    <row r="127" spans="2:18" s="887" customFormat="1">
      <c r="B127" s="2664"/>
      <c r="C127" s="2664"/>
      <c r="D127" s="2664"/>
      <c r="E127" s="2664"/>
      <c r="F127" s="2664"/>
      <c r="G127" s="2665"/>
      <c r="H127" s="2664"/>
      <c r="I127" s="2665"/>
      <c r="J127" s="2664"/>
      <c r="K127" s="2664"/>
      <c r="L127" s="2665"/>
      <c r="M127" s="2664"/>
      <c r="N127" s="2664"/>
      <c r="O127" s="2665"/>
      <c r="P127" s="2664"/>
      <c r="Q127" s="2664"/>
      <c r="R127" s="2666"/>
    </row>
    <row r="128" spans="2:18" s="887" customFormat="1">
      <c r="B128" s="2664"/>
      <c r="C128" s="2664"/>
      <c r="D128" s="2664"/>
      <c r="E128" s="2664"/>
      <c r="F128" s="2664"/>
      <c r="G128" s="2665"/>
      <c r="H128" s="2664"/>
      <c r="I128" s="2665"/>
      <c r="J128" s="2664"/>
      <c r="K128" s="2664"/>
      <c r="L128" s="2665"/>
      <c r="M128" s="2664"/>
      <c r="N128" s="2664"/>
      <c r="O128" s="2665"/>
      <c r="P128" s="2664"/>
      <c r="Q128" s="2664"/>
      <c r="R128" s="2666"/>
    </row>
    <row r="129" spans="2:18" s="887" customFormat="1">
      <c r="B129" s="2664"/>
      <c r="C129" s="2664"/>
      <c r="D129" s="2664"/>
      <c r="E129" s="2664"/>
      <c r="F129" s="2664"/>
      <c r="G129" s="2665"/>
      <c r="H129" s="2664"/>
      <c r="I129" s="2665"/>
      <c r="J129" s="2664"/>
      <c r="K129" s="2664"/>
      <c r="L129" s="2665"/>
      <c r="M129" s="2664"/>
      <c r="N129" s="2664"/>
      <c r="O129" s="2665"/>
      <c r="P129" s="2664"/>
      <c r="Q129" s="2664"/>
      <c r="R129" s="2666"/>
    </row>
    <row r="130" spans="2:18" s="887" customFormat="1">
      <c r="B130" s="2664"/>
      <c r="C130" s="2664"/>
      <c r="D130" s="2664"/>
      <c r="E130" s="2664"/>
      <c r="F130" s="2664"/>
      <c r="G130" s="2665"/>
      <c r="H130" s="2664"/>
      <c r="I130" s="2665"/>
      <c r="J130" s="2664"/>
      <c r="K130" s="2664"/>
      <c r="L130" s="2665"/>
      <c r="M130" s="2664"/>
      <c r="N130" s="2664"/>
      <c r="O130" s="2665"/>
      <c r="P130" s="2664"/>
      <c r="Q130" s="2664"/>
      <c r="R130" s="2666"/>
    </row>
    <row r="131" spans="2:18" s="887" customFormat="1">
      <c r="B131" s="2664"/>
      <c r="C131" s="2664"/>
      <c r="D131" s="2664"/>
      <c r="E131" s="2664"/>
      <c r="F131" s="2664"/>
      <c r="G131" s="2665"/>
      <c r="H131" s="2664"/>
      <c r="I131" s="2665"/>
      <c r="J131" s="2664"/>
      <c r="K131" s="2664"/>
      <c r="L131" s="2665"/>
      <c r="M131" s="2664"/>
      <c r="N131" s="2664"/>
      <c r="O131" s="2665"/>
      <c r="P131" s="2664"/>
      <c r="Q131" s="2664"/>
      <c r="R131" s="2666"/>
    </row>
    <row r="132" spans="2:18" s="887" customFormat="1">
      <c r="B132" s="2664"/>
      <c r="C132" s="2664"/>
      <c r="D132" s="2664"/>
      <c r="E132" s="2664"/>
      <c r="F132" s="2664"/>
      <c r="G132" s="2665"/>
      <c r="H132" s="2664"/>
      <c r="I132" s="2665"/>
      <c r="J132" s="2664"/>
      <c r="K132" s="2664"/>
      <c r="L132" s="2665"/>
      <c r="M132" s="2664"/>
      <c r="N132" s="2664"/>
      <c r="O132" s="2665"/>
      <c r="P132" s="2664"/>
      <c r="Q132" s="2664"/>
      <c r="R132" s="2666"/>
    </row>
    <row r="133" spans="2:18" s="887" customFormat="1">
      <c r="B133" s="2664"/>
      <c r="C133" s="2664"/>
      <c r="D133" s="2664"/>
      <c r="E133" s="2664"/>
      <c r="F133" s="2664"/>
      <c r="G133" s="2665"/>
      <c r="H133" s="2664"/>
      <c r="I133" s="2665"/>
      <c r="J133" s="2664"/>
      <c r="K133" s="2664"/>
      <c r="L133" s="2665"/>
      <c r="M133" s="2664"/>
      <c r="N133" s="2664"/>
      <c r="O133" s="2665"/>
      <c r="P133" s="2664"/>
      <c r="Q133" s="2664"/>
      <c r="R133" s="2666"/>
    </row>
    <row r="134" spans="2:18" s="887" customFormat="1">
      <c r="B134" s="2664"/>
      <c r="C134" s="2664"/>
      <c r="D134" s="2664"/>
      <c r="E134" s="2664"/>
      <c r="F134" s="2664"/>
      <c r="G134" s="2665"/>
      <c r="H134" s="2664"/>
      <c r="I134" s="2665"/>
      <c r="J134" s="2664"/>
      <c r="K134" s="2664"/>
      <c r="L134" s="2665"/>
      <c r="M134" s="2664"/>
      <c r="N134" s="2664"/>
      <c r="O134" s="2665"/>
      <c r="P134" s="2664"/>
      <c r="Q134" s="2664"/>
      <c r="R134" s="2666"/>
    </row>
    <row r="135" spans="2:18" s="887" customFormat="1">
      <c r="B135" s="2664"/>
      <c r="C135" s="2664"/>
      <c r="D135" s="2664"/>
      <c r="E135" s="2664"/>
      <c r="F135" s="2664"/>
      <c r="G135" s="2665"/>
      <c r="H135" s="2664"/>
      <c r="I135" s="2665"/>
      <c r="J135" s="2664"/>
      <c r="K135" s="2664"/>
      <c r="L135" s="2665"/>
      <c r="M135" s="2664"/>
      <c r="N135" s="2664"/>
      <c r="O135" s="2665"/>
      <c r="P135" s="2664"/>
      <c r="Q135" s="2664"/>
      <c r="R135" s="2666"/>
    </row>
    <row r="136" spans="2:18" s="887" customFormat="1">
      <c r="B136" s="2664"/>
      <c r="C136" s="2664"/>
      <c r="D136" s="2664"/>
      <c r="E136" s="2664"/>
      <c r="F136" s="2664"/>
      <c r="G136" s="2665"/>
      <c r="H136" s="2664"/>
      <c r="I136" s="2665"/>
      <c r="J136" s="2664"/>
      <c r="K136" s="2664"/>
      <c r="L136" s="2665"/>
      <c r="M136" s="2664"/>
      <c r="N136" s="2664"/>
      <c r="O136" s="2665"/>
      <c r="P136" s="2664"/>
      <c r="Q136" s="2664"/>
      <c r="R136" s="2666"/>
    </row>
    <row r="137" spans="2:18" s="887" customFormat="1">
      <c r="B137" s="2664"/>
      <c r="C137" s="2664"/>
      <c r="D137" s="2664"/>
      <c r="E137" s="2664"/>
      <c r="F137" s="2664"/>
      <c r="G137" s="2665"/>
      <c r="H137" s="2664"/>
      <c r="I137" s="2665"/>
      <c r="J137" s="2664"/>
      <c r="K137" s="2664"/>
      <c r="L137" s="2665"/>
      <c r="M137" s="2664"/>
      <c r="N137" s="2664"/>
      <c r="O137" s="2665"/>
      <c r="P137" s="2664"/>
      <c r="Q137" s="2664"/>
      <c r="R137" s="2666"/>
    </row>
    <row r="138" spans="2:18" s="887" customFormat="1">
      <c r="B138" s="2664"/>
      <c r="C138" s="2664"/>
      <c r="D138" s="2664"/>
      <c r="E138" s="2664"/>
      <c r="F138" s="2664"/>
      <c r="G138" s="2665"/>
      <c r="H138" s="2664"/>
      <c r="I138" s="2665"/>
      <c r="J138" s="2664"/>
      <c r="K138" s="2664"/>
      <c r="L138" s="2665"/>
      <c r="M138" s="2664"/>
      <c r="N138" s="2664"/>
      <c r="O138" s="2665"/>
      <c r="P138" s="2664"/>
      <c r="Q138" s="2664"/>
      <c r="R138" s="2666"/>
    </row>
    <row r="139" spans="2:18" s="887" customFormat="1">
      <c r="B139" s="2664"/>
      <c r="C139" s="2664"/>
      <c r="D139" s="2664"/>
      <c r="E139" s="2664"/>
      <c r="F139" s="2664"/>
      <c r="G139" s="2665"/>
      <c r="H139" s="2664"/>
      <c r="I139" s="2665"/>
      <c r="J139" s="2664"/>
      <c r="K139" s="2664"/>
      <c r="L139" s="2665"/>
      <c r="M139" s="2664"/>
      <c r="N139" s="2664"/>
      <c r="O139" s="2665"/>
      <c r="P139" s="2664"/>
      <c r="Q139" s="2664"/>
      <c r="R139" s="2666"/>
    </row>
    <row r="140" spans="2:18" s="887" customFormat="1">
      <c r="B140" s="2664"/>
      <c r="C140" s="2664"/>
      <c r="D140" s="2664"/>
      <c r="E140" s="2664"/>
      <c r="F140" s="2664"/>
      <c r="G140" s="2665"/>
      <c r="H140" s="2664"/>
      <c r="I140" s="2665"/>
      <c r="J140" s="2664"/>
      <c r="K140" s="2664"/>
      <c r="L140" s="2665"/>
      <c r="M140" s="2664"/>
      <c r="N140" s="2664"/>
      <c r="O140" s="2665"/>
      <c r="P140" s="2664"/>
      <c r="Q140" s="2664"/>
      <c r="R140" s="2666"/>
    </row>
    <row r="141" spans="2:18" s="887" customFormat="1">
      <c r="B141" s="2664"/>
      <c r="C141" s="2664"/>
      <c r="D141" s="2664"/>
      <c r="E141" s="2664"/>
      <c r="F141" s="2664"/>
      <c r="G141" s="2665"/>
      <c r="H141" s="2664"/>
      <c r="I141" s="2665"/>
      <c r="J141" s="2664"/>
      <c r="K141" s="2664"/>
      <c r="L141" s="2665"/>
      <c r="M141" s="2664"/>
      <c r="N141" s="2664"/>
      <c r="O141" s="2665"/>
      <c r="P141" s="2664"/>
      <c r="Q141" s="2664"/>
      <c r="R141" s="2666"/>
    </row>
    <row r="142" spans="2:18" s="887" customFormat="1">
      <c r="B142" s="2664"/>
      <c r="C142" s="2664"/>
      <c r="D142" s="2664"/>
      <c r="E142" s="2664"/>
      <c r="F142" s="2664"/>
      <c r="G142" s="2665"/>
      <c r="H142" s="2664"/>
      <c r="I142" s="2665"/>
      <c r="J142" s="2664"/>
      <c r="K142" s="2664"/>
      <c r="L142" s="2665"/>
      <c r="M142" s="2664"/>
      <c r="N142" s="2664"/>
      <c r="O142" s="2665"/>
      <c r="P142" s="2664"/>
      <c r="Q142" s="2664"/>
      <c r="R142" s="2666"/>
    </row>
    <row r="143" spans="2:18" s="887" customFormat="1">
      <c r="B143" s="2664"/>
      <c r="C143" s="2664"/>
      <c r="D143" s="2664"/>
      <c r="E143" s="2664"/>
      <c r="F143" s="2664"/>
      <c r="G143" s="2665"/>
      <c r="H143" s="2664"/>
      <c r="I143" s="2665"/>
      <c r="J143" s="2664"/>
      <c r="K143" s="2664"/>
      <c r="L143" s="2665"/>
      <c r="M143" s="2664"/>
      <c r="N143" s="2664"/>
      <c r="O143" s="2665"/>
      <c r="P143" s="2664"/>
      <c r="Q143" s="2664"/>
      <c r="R143" s="2666"/>
    </row>
    <row r="144" spans="2:18" s="887" customFormat="1">
      <c r="B144" s="2664"/>
      <c r="C144" s="2664"/>
      <c r="D144" s="2664"/>
      <c r="E144" s="2664"/>
      <c r="F144" s="2664"/>
      <c r="G144" s="2665"/>
      <c r="H144" s="2664"/>
      <c r="I144" s="2665"/>
      <c r="J144" s="2664"/>
      <c r="K144" s="2664"/>
      <c r="L144" s="2665"/>
      <c r="M144" s="2664"/>
      <c r="N144" s="2664"/>
      <c r="O144" s="2665"/>
      <c r="P144" s="2664"/>
      <c r="Q144" s="2664"/>
      <c r="R144" s="2666"/>
    </row>
    <row r="145" spans="2:18" s="887" customFormat="1">
      <c r="B145" s="2664"/>
      <c r="C145" s="2664"/>
      <c r="D145" s="2664"/>
      <c r="E145" s="2664"/>
      <c r="F145" s="2664"/>
      <c r="G145" s="2665"/>
      <c r="H145" s="2664"/>
      <c r="I145" s="2665"/>
      <c r="J145" s="2664"/>
      <c r="K145" s="2664"/>
      <c r="L145" s="2665"/>
      <c r="M145" s="2664"/>
      <c r="N145" s="2664"/>
      <c r="O145" s="2665"/>
      <c r="P145" s="2664"/>
      <c r="Q145" s="2664"/>
      <c r="R145" s="2666"/>
    </row>
    <row r="146" spans="2:18" s="887" customFormat="1">
      <c r="B146" s="2664"/>
      <c r="C146" s="2664"/>
      <c r="D146" s="2664"/>
      <c r="E146" s="2664"/>
      <c r="F146" s="2664"/>
      <c r="G146" s="2665"/>
      <c r="H146" s="2664"/>
      <c r="I146" s="2665"/>
      <c r="J146" s="2664"/>
      <c r="K146" s="2664"/>
      <c r="L146" s="2665"/>
      <c r="M146" s="2664"/>
      <c r="N146" s="2664"/>
      <c r="O146" s="2665"/>
      <c r="P146" s="2664"/>
      <c r="Q146" s="2664"/>
      <c r="R146" s="2666"/>
    </row>
    <row r="147" spans="2:18" s="887" customFormat="1">
      <c r="B147" s="2664"/>
      <c r="C147" s="2664"/>
      <c r="D147" s="2664"/>
      <c r="E147" s="2664"/>
      <c r="F147" s="2664"/>
      <c r="G147" s="2665"/>
      <c r="H147" s="2664"/>
      <c r="I147" s="2665"/>
      <c r="J147" s="2664"/>
      <c r="K147" s="2664"/>
      <c r="L147" s="2665"/>
      <c r="M147" s="2664"/>
      <c r="N147" s="2664"/>
      <c r="O147" s="2665"/>
      <c r="P147" s="2664"/>
      <c r="Q147" s="2664"/>
      <c r="R147" s="2666"/>
    </row>
    <row r="148" spans="2:18" s="887" customFormat="1">
      <c r="B148" s="2664"/>
      <c r="C148" s="2664"/>
      <c r="D148" s="2664"/>
      <c r="E148" s="2664"/>
      <c r="F148" s="2664"/>
      <c r="G148" s="2665"/>
      <c r="H148" s="2664"/>
      <c r="I148" s="2665"/>
      <c r="J148" s="2664"/>
      <c r="K148" s="2664"/>
      <c r="L148" s="2665"/>
      <c r="M148" s="2664"/>
      <c r="N148" s="2664"/>
      <c r="O148" s="2665"/>
      <c r="P148" s="2664"/>
      <c r="Q148" s="2664"/>
      <c r="R148" s="2666"/>
    </row>
    <row r="149" spans="2:18" s="887" customFormat="1">
      <c r="B149" s="2664"/>
      <c r="C149" s="2664"/>
      <c r="D149" s="2664"/>
      <c r="E149" s="2664"/>
      <c r="F149" s="2664"/>
      <c r="G149" s="2665"/>
      <c r="H149" s="2664"/>
      <c r="I149" s="2665"/>
      <c r="J149" s="2664"/>
      <c r="K149" s="2664"/>
      <c r="L149" s="2665"/>
      <c r="M149" s="2664"/>
      <c r="N149" s="2664"/>
      <c r="O149" s="2665"/>
      <c r="P149" s="2664"/>
      <c r="Q149" s="2664"/>
      <c r="R149" s="2666"/>
    </row>
    <row r="150" spans="2:18" s="887" customFormat="1">
      <c r="B150" s="2664"/>
      <c r="C150" s="2664"/>
      <c r="D150" s="2664"/>
      <c r="E150" s="2664"/>
      <c r="F150" s="2664"/>
      <c r="G150" s="2665"/>
      <c r="H150" s="2664"/>
      <c r="I150" s="2665"/>
      <c r="J150" s="2664"/>
      <c r="K150" s="2664"/>
      <c r="L150" s="2665"/>
      <c r="M150" s="2664"/>
      <c r="N150" s="2664"/>
      <c r="O150" s="2665"/>
      <c r="P150" s="2664"/>
      <c r="Q150" s="2664"/>
      <c r="R150" s="2666"/>
    </row>
    <row r="151" spans="2:18" s="887" customFormat="1">
      <c r="B151" s="2664"/>
      <c r="C151" s="2664"/>
      <c r="D151" s="2664"/>
      <c r="E151" s="2664"/>
      <c r="F151" s="2664"/>
      <c r="G151" s="2665"/>
      <c r="H151" s="2664"/>
      <c r="I151" s="2665"/>
      <c r="J151" s="2664"/>
      <c r="K151" s="2664"/>
      <c r="L151" s="2665"/>
      <c r="M151" s="2664"/>
      <c r="N151" s="2664"/>
      <c r="O151" s="2665"/>
      <c r="P151" s="2664"/>
      <c r="Q151" s="2664"/>
      <c r="R151" s="2666"/>
    </row>
    <row r="152" spans="2:18" s="887" customFormat="1">
      <c r="B152" s="2664"/>
      <c r="C152" s="2664"/>
      <c r="D152" s="2664"/>
      <c r="E152" s="2664"/>
      <c r="F152" s="2664"/>
      <c r="G152" s="2665"/>
      <c r="H152" s="2664"/>
      <c r="I152" s="2665"/>
      <c r="J152" s="2664"/>
      <c r="K152" s="2664"/>
      <c r="L152" s="2665"/>
      <c r="M152" s="2664"/>
      <c r="N152" s="2664"/>
      <c r="O152" s="2665"/>
      <c r="P152" s="2664"/>
      <c r="Q152" s="2664"/>
      <c r="R152" s="2666"/>
    </row>
    <row r="153" spans="2:18" s="887" customFormat="1">
      <c r="B153" s="2664"/>
      <c r="C153" s="2664"/>
      <c r="D153" s="2664"/>
      <c r="E153" s="2664"/>
      <c r="F153" s="2664"/>
      <c r="G153" s="2665"/>
      <c r="H153" s="2664"/>
      <c r="I153" s="2665"/>
      <c r="J153" s="2664"/>
      <c r="K153" s="2664"/>
      <c r="L153" s="2665"/>
      <c r="M153" s="2664"/>
      <c r="N153" s="2664"/>
      <c r="O153" s="2665"/>
      <c r="P153" s="2664"/>
      <c r="Q153" s="2664"/>
      <c r="R153" s="2666"/>
    </row>
    <row r="154" spans="2:18" s="887" customFormat="1">
      <c r="B154" s="2664"/>
      <c r="C154" s="2664"/>
      <c r="D154" s="2664"/>
      <c r="E154" s="2664"/>
      <c r="F154" s="2664"/>
      <c r="G154" s="2665"/>
      <c r="H154" s="2664"/>
      <c r="I154" s="2665"/>
      <c r="J154" s="2664"/>
      <c r="K154" s="2664"/>
      <c r="L154" s="2665"/>
      <c r="M154" s="2664"/>
      <c r="N154" s="2664"/>
      <c r="O154" s="2665"/>
      <c r="P154" s="2664"/>
      <c r="Q154" s="2664"/>
      <c r="R154" s="2666"/>
    </row>
    <row r="155" spans="2:18" s="887" customFormat="1">
      <c r="B155" s="2664"/>
      <c r="C155" s="2664"/>
      <c r="D155" s="2664"/>
      <c r="E155" s="2664"/>
      <c r="F155" s="2664"/>
      <c r="G155" s="2665"/>
      <c r="H155" s="2664"/>
      <c r="I155" s="2665"/>
      <c r="J155" s="2664"/>
      <c r="K155" s="2664"/>
      <c r="L155" s="2665"/>
      <c r="M155" s="2664"/>
      <c r="N155" s="2664"/>
      <c r="O155" s="2665"/>
      <c r="P155" s="2664"/>
      <c r="Q155" s="2664"/>
      <c r="R155" s="2666"/>
    </row>
    <row r="156" spans="2:18" s="887" customFormat="1">
      <c r="B156" s="2664"/>
      <c r="C156" s="2664"/>
      <c r="D156" s="2664"/>
      <c r="E156" s="2664"/>
      <c r="F156" s="2664"/>
      <c r="G156" s="2665"/>
      <c r="H156" s="2664"/>
      <c r="I156" s="2665"/>
      <c r="J156" s="2664"/>
      <c r="K156" s="2664"/>
      <c r="L156" s="2665"/>
      <c r="M156" s="2664"/>
      <c r="N156" s="2664"/>
      <c r="O156" s="2665"/>
      <c r="P156" s="2664"/>
      <c r="Q156" s="2664"/>
      <c r="R156" s="2666"/>
    </row>
    <row r="157" spans="2:18" s="887" customFormat="1">
      <c r="B157" s="2664"/>
      <c r="C157" s="2664"/>
      <c r="D157" s="2664"/>
      <c r="E157" s="2664"/>
      <c r="F157" s="2664"/>
      <c r="G157" s="2665"/>
      <c r="H157" s="2664"/>
      <c r="I157" s="2665"/>
      <c r="J157" s="2664"/>
      <c r="K157" s="2664"/>
      <c r="L157" s="2665"/>
      <c r="M157" s="2664"/>
      <c r="N157" s="2664"/>
      <c r="O157" s="2665"/>
      <c r="P157" s="2664"/>
      <c r="Q157" s="2664"/>
      <c r="R157" s="2666"/>
    </row>
    <row r="158" spans="2:18" s="887" customFormat="1">
      <c r="B158" s="2664"/>
      <c r="C158" s="2664"/>
      <c r="D158" s="2664"/>
      <c r="E158" s="2664"/>
      <c r="F158" s="2664"/>
      <c r="G158" s="2665"/>
      <c r="H158" s="2664"/>
      <c r="I158" s="2665"/>
      <c r="J158" s="2664"/>
      <c r="K158" s="2664"/>
      <c r="L158" s="2665"/>
      <c r="M158" s="2664"/>
      <c r="N158" s="2664"/>
      <c r="O158" s="2665"/>
      <c r="P158" s="2664"/>
      <c r="Q158" s="2664"/>
      <c r="R158" s="2666"/>
    </row>
    <row r="159" spans="2:18" s="887" customFormat="1">
      <c r="B159" s="2664"/>
      <c r="C159" s="2664"/>
      <c r="D159" s="2664"/>
      <c r="E159" s="2664"/>
      <c r="F159" s="2664"/>
      <c r="G159" s="2665"/>
      <c r="H159" s="2664"/>
      <c r="I159" s="2665"/>
      <c r="J159" s="2664"/>
      <c r="K159" s="2664"/>
      <c r="L159" s="2665"/>
      <c r="M159" s="2664"/>
      <c r="N159" s="2664"/>
      <c r="O159" s="2665"/>
      <c r="P159" s="2664"/>
      <c r="Q159" s="2664"/>
      <c r="R159" s="2666"/>
    </row>
    <row r="160" spans="2:18" s="887" customFormat="1">
      <c r="B160" s="2664"/>
      <c r="C160" s="2664"/>
      <c r="D160" s="2664"/>
      <c r="E160" s="2664"/>
      <c r="F160" s="2664"/>
      <c r="G160" s="2665"/>
      <c r="H160" s="2664"/>
      <c r="I160" s="2665"/>
      <c r="J160" s="2664"/>
      <c r="K160" s="2664"/>
      <c r="L160" s="2665"/>
      <c r="M160" s="2664"/>
      <c r="N160" s="2664"/>
      <c r="O160" s="2665"/>
      <c r="P160" s="2664"/>
      <c r="Q160" s="2664"/>
      <c r="R160" s="2666"/>
    </row>
    <row r="161" spans="2:18" s="887" customFormat="1">
      <c r="B161" s="2664"/>
      <c r="C161" s="2664"/>
      <c r="D161" s="2664"/>
      <c r="E161" s="2664"/>
      <c r="F161" s="2664"/>
      <c r="G161" s="2665"/>
      <c r="H161" s="2664"/>
      <c r="I161" s="2665"/>
      <c r="J161" s="2664"/>
      <c r="K161" s="2664"/>
      <c r="L161" s="2665"/>
      <c r="M161" s="2664"/>
      <c r="N161" s="2664"/>
      <c r="O161" s="2665"/>
      <c r="P161" s="2664"/>
      <c r="Q161" s="2664"/>
      <c r="R161" s="2666"/>
    </row>
    <row r="162" spans="2:18" s="887" customFormat="1">
      <c r="B162" s="2664"/>
      <c r="C162" s="2664"/>
      <c r="D162" s="2664"/>
      <c r="E162" s="2664"/>
      <c r="F162" s="2664"/>
      <c r="G162" s="2665"/>
      <c r="H162" s="2664"/>
      <c r="I162" s="2665"/>
      <c r="J162" s="2664"/>
      <c r="K162" s="2664"/>
      <c r="L162" s="2665"/>
      <c r="M162" s="2664"/>
      <c r="N162" s="2664"/>
      <c r="O162" s="2665"/>
      <c r="P162" s="2664"/>
      <c r="Q162" s="2664"/>
      <c r="R162" s="2666"/>
    </row>
    <row r="163" spans="2:18" s="887" customFormat="1">
      <c r="B163" s="2664"/>
      <c r="C163" s="2664"/>
      <c r="D163" s="2664"/>
      <c r="E163" s="2664"/>
      <c r="F163" s="2664"/>
      <c r="G163" s="2665"/>
      <c r="H163" s="2664"/>
      <c r="I163" s="2665"/>
      <c r="J163" s="2664"/>
      <c r="K163" s="2664"/>
      <c r="L163" s="2665"/>
      <c r="M163" s="2664"/>
      <c r="N163" s="2664"/>
      <c r="O163" s="2665"/>
      <c r="P163" s="2664"/>
      <c r="Q163" s="2664"/>
      <c r="R163" s="2666"/>
    </row>
    <row r="164" spans="2:18" s="887" customFormat="1">
      <c r="B164" s="2664"/>
      <c r="C164" s="2664"/>
      <c r="D164" s="2664"/>
      <c r="E164" s="2664"/>
      <c r="F164" s="2664"/>
      <c r="G164" s="2665"/>
      <c r="H164" s="2664"/>
      <c r="I164" s="2665"/>
      <c r="J164" s="2664"/>
      <c r="K164" s="2664"/>
      <c r="L164" s="2665"/>
      <c r="M164" s="2664"/>
      <c r="N164" s="2664"/>
      <c r="O164" s="2665"/>
      <c r="P164" s="2664"/>
      <c r="Q164" s="2664"/>
      <c r="R164" s="2666"/>
    </row>
    <row r="165" spans="2:18" s="887" customFormat="1">
      <c r="B165" s="2664"/>
      <c r="C165" s="2664"/>
      <c r="D165" s="2664"/>
      <c r="E165" s="2664"/>
      <c r="F165" s="2664"/>
      <c r="G165" s="2665"/>
      <c r="H165" s="2664"/>
      <c r="I165" s="2665"/>
      <c r="J165" s="2664"/>
      <c r="K165" s="2664"/>
      <c r="L165" s="2665"/>
      <c r="M165" s="2664"/>
      <c r="N165" s="2664"/>
      <c r="O165" s="2665"/>
      <c r="P165" s="2664"/>
      <c r="Q165" s="2664"/>
      <c r="R165" s="2666"/>
    </row>
    <row r="166" spans="2:18" s="887" customFormat="1">
      <c r="B166" s="2664"/>
      <c r="C166" s="2664"/>
      <c r="D166" s="2664"/>
      <c r="E166" s="2664"/>
      <c r="F166" s="2664"/>
      <c r="G166" s="2665"/>
      <c r="H166" s="2664"/>
      <c r="I166" s="2665"/>
      <c r="J166" s="2664"/>
      <c r="K166" s="2664"/>
      <c r="L166" s="2665"/>
      <c r="M166" s="2664"/>
      <c r="N166" s="2664"/>
      <c r="O166" s="2665"/>
      <c r="P166" s="2664"/>
      <c r="Q166" s="2664"/>
      <c r="R166" s="2666"/>
    </row>
    <row r="167" spans="2:18" s="887" customFormat="1">
      <c r="B167" s="2664"/>
      <c r="C167" s="2664"/>
      <c r="D167" s="2664"/>
      <c r="E167" s="2664"/>
      <c r="F167" s="2664"/>
      <c r="G167" s="2665"/>
      <c r="H167" s="2664"/>
      <c r="I167" s="2665"/>
      <c r="J167" s="2664"/>
      <c r="K167" s="2664"/>
      <c r="L167" s="2665"/>
      <c r="M167" s="2664"/>
      <c r="N167" s="2664"/>
      <c r="O167" s="2665"/>
      <c r="P167" s="2664"/>
      <c r="Q167" s="2664"/>
      <c r="R167" s="2666"/>
    </row>
    <row r="168" spans="2:18" s="887" customFormat="1">
      <c r="B168" s="2664"/>
      <c r="C168" s="2664"/>
      <c r="D168" s="2664"/>
      <c r="E168" s="2664"/>
      <c r="F168" s="2664"/>
      <c r="G168" s="2665"/>
      <c r="H168" s="2664"/>
      <c r="I168" s="2665"/>
      <c r="J168" s="2664"/>
      <c r="K168" s="2664"/>
      <c r="L168" s="2665"/>
      <c r="M168" s="2664"/>
      <c r="N168" s="2664"/>
      <c r="O168" s="2665"/>
      <c r="P168" s="2664"/>
      <c r="Q168" s="2664"/>
      <c r="R168" s="2666"/>
    </row>
    <row r="169" spans="2:18" s="887" customFormat="1">
      <c r="B169" s="2664"/>
      <c r="C169" s="2664"/>
      <c r="D169" s="2664"/>
      <c r="E169" s="2664"/>
      <c r="F169" s="2664"/>
      <c r="G169" s="2665"/>
      <c r="H169" s="2664"/>
      <c r="I169" s="2665"/>
      <c r="J169" s="2664"/>
      <c r="K169" s="2664"/>
      <c r="L169" s="2665"/>
      <c r="M169" s="2664"/>
      <c r="N169" s="2664"/>
      <c r="O169" s="2665"/>
      <c r="P169" s="2664"/>
      <c r="Q169" s="2664"/>
      <c r="R169" s="2666"/>
    </row>
    <row r="170" spans="2:18" s="887" customFormat="1">
      <c r="B170" s="2664"/>
      <c r="C170" s="2664"/>
      <c r="D170" s="2664"/>
      <c r="E170" s="2664"/>
      <c r="F170" s="2664"/>
      <c r="G170" s="2665"/>
      <c r="H170" s="2664"/>
      <c r="I170" s="2665"/>
      <c r="J170" s="2664"/>
      <c r="K170" s="2664"/>
      <c r="L170" s="2665"/>
      <c r="M170" s="2664"/>
      <c r="N170" s="2664"/>
      <c r="O170" s="2665"/>
      <c r="P170" s="2664"/>
      <c r="Q170" s="2664"/>
      <c r="R170" s="2666"/>
    </row>
    <row r="171" spans="2:18" s="887" customFormat="1">
      <c r="B171" s="2664"/>
      <c r="C171" s="2664"/>
      <c r="D171" s="2664"/>
      <c r="E171" s="2664"/>
      <c r="F171" s="2664"/>
      <c r="G171" s="2665"/>
      <c r="H171" s="2664"/>
      <c r="I171" s="2665"/>
      <c r="J171" s="2664"/>
      <c r="K171" s="2664"/>
      <c r="L171" s="2665"/>
      <c r="M171" s="2664"/>
      <c r="N171" s="2664"/>
      <c r="O171" s="2665"/>
      <c r="P171" s="2664"/>
      <c r="Q171" s="2664"/>
      <c r="R171" s="2666"/>
    </row>
    <row r="172" spans="2:18" s="887" customFormat="1">
      <c r="B172" s="2664"/>
      <c r="C172" s="2664"/>
      <c r="D172" s="2664"/>
      <c r="E172" s="2664"/>
      <c r="F172" s="2664"/>
      <c r="G172" s="2665"/>
      <c r="H172" s="2664"/>
      <c r="I172" s="2665"/>
      <c r="J172" s="2664"/>
      <c r="K172" s="2664"/>
      <c r="L172" s="2665"/>
      <c r="M172" s="2664"/>
      <c r="N172" s="2664"/>
      <c r="O172" s="2665"/>
      <c r="P172" s="2664"/>
      <c r="Q172" s="2664"/>
      <c r="R172" s="2666"/>
    </row>
    <row r="173" spans="2:18" s="887" customFormat="1">
      <c r="B173" s="2664"/>
      <c r="C173" s="2664"/>
      <c r="D173" s="2664"/>
      <c r="E173" s="2664"/>
      <c r="F173" s="2664"/>
      <c r="G173" s="2665"/>
      <c r="H173" s="2664"/>
      <c r="I173" s="2665"/>
      <c r="J173" s="2664"/>
      <c r="K173" s="2664"/>
      <c r="L173" s="2665"/>
      <c r="M173" s="2664"/>
      <c r="N173" s="2664"/>
      <c r="O173" s="2665"/>
      <c r="P173" s="2664"/>
      <c r="Q173" s="2664"/>
      <c r="R173" s="2666"/>
    </row>
    <row r="174" spans="2:18" s="887" customFormat="1">
      <c r="B174" s="2664"/>
      <c r="C174" s="2664"/>
      <c r="D174" s="2664"/>
      <c r="E174" s="2664"/>
      <c r="F174" s="2664"/>
      <c r="G174" s="2665"/>
      <c r="H174" s="2664"/>
      <c r="I174" s="2665"/>
      <c r="J174" s="2664"/>
      <c r="K174" s="2664"/>
      <c r="L174" s="2665"/>
      <c r="M174" s="2664"/>
      <c r="N174" s="2664"/>
      <c r="O174" s="2665"/>
      <c r="P174" s="2664"/>
      <c r="Q174" s="2664"/>
      <c r="R174" s="2666"/>
    </row>
    <row r="175" spans="2:18" s="887" customFormat="1">
      <c r="B175" s="2664"/>
      <c r="C175" s="2664"/>
      <c r="D175" s="2664"/>
      <c r="E175" s="2664"/>
      <c r="F175" s="2664"/>
      <c r="G175" s="2665"/>
      <c r="H175" s="2664"/>
      <c r="I175" s="2665"/>
      <c r="J175" s="2664"/>
      <c r="K175" s="2664"/>
      <c r="L175" s="2665"/>
      <c r="M175" s="2664"/>
      <c r="N175" s="2664"/>
      <c r="O175" s="2665"/>
      <c r="P175" s="2664"/>
      <c r="Q175" s="2664"/>
      <c r="R175" s="2666"/>
    </row>
    <row r="176" spans="2:18" s="887" customFormat="1">
      <c r="B176" s="2664"/>
      <c r="C176" s="2664"/>
      <c r="D176" s="2664"/>
      <c r="E176" s="2664"/>
      <c r="F176" s="2664"/>
      <c r="G176" s="2665"/>
      <c r="H176" s="2664"/>
      <c r="I176" s="2665"/>
      <c r="J176" s="2664"/>
      <c r="K176" s="2664"/>
      <c r="L176" s="2665"/>
      <c r="M176" s="2664"/>
      <c r="N176" s="2664"/>
      <c r="O176" s="2665"/>
      <c r="P176" s="2664"/>
      <c r="Q176" s="2664"/>
      <c r="R176" s="2666"/>
    </row>
    <row r="177" spans="1:18" s="887" customFormat="1">
      <c r="B177" s="2664"/>
      <c r="C177" s="2664"/>
      <c r="D177" s="2664"/>
      <c r="E177" s="2664"/>
      <c r="F177" s="2664"/>
      <c r="G177" s="2665"/>
      <c r="H177" s="2664"/>
      <c r="I177" s="2665"/>
      <c r="J177" s="2664"/>
      <c r="K177" s="2664"/>
      <c r="L177" s="2665"/>
      <c r="M177" s="2664"/>
      <c r="N177" s="2664"/>
      <c r="O177" s="2665"/>
      <c r="P177" s="2664"/>
      <c r="Q177" s="2664"/>
      <c r="R177" s="2666"/>
    </row>
    <row r="178" spans="1:18" s="887" customFormat="1">
      <c r="B178" s="2664"/>
      <c r="C178" s="2664"/>
      <c r="D178" s="2664"/>
      <c r="E178" s="2664"/>
      <c r="F178" s="2664"/>
      <c r="G178" s="2665"/>
      <c r="H178" s="2664"/>
      <c r="I178" s="2665"/>
      <c r="J178" s="2664"/>
      <c r="K178" s="2664"/>
      <c r="L178" s="2665"/>
      <c r="M178" s="2664"/>
      <c r="N178" s="2664"/>
      <c r="O178" s="2665"/>
      <c r="P178" s="2664"/>
      <c r="Q178" s="2664"/>
      <c r="R178" s="2666"/>
    </row>
    <row r="179" spans="1:18" s="887" customFormat="1">
      <c r="B179" s="2664"/>
      <c r="C179" s="2664"/>
      <c r="D179" s="2664"/>
      <c r="E179" s="2664"/>
      <c r="F179" s="2664"/>
      <c r="G179" s="2665"/>
      <c r="H179" s="2664"/>
      <c r="I179" s="2665"/>
      <c r="J179" s="2664"/>
      <c r="K179" s="2664"/>
      <c r="L179" s="2665"/>
      <c r="M179" s="2664"/>
      <c r="N179" s="2664"/>
      <c r="O179" s="2665"/>
      <c r="P179" s="2664"/>
      <c r="Q179" s="2664"/>
      <c r="R179" s="2666"/>
    </row>
    <row r="180" spans="1:18" s="887" customFormat="1">
      <c r="B180" s="2664"/>
      <c r="C180" s="2664"/>
      <c r="D180" s="2664"/>
      <c r="E180" s="2664"/>
      <c r="F180" s="2664"/>
      <c r="G180" s="2665"/>
      <c r="H180" s="2664"/>
      <c r="I180" s="2665"/>
      <c r="J180" s="2664"/>
      <c r="K180" s="2664"/>
      <c r="L180" s="2665"/>
      <c r="M180" s="2664"/>
      <c r="N180" s="2664"/>
      <c r="O180" s="2665"/>
      <c r="P180" s="2664"/>
      <c r="Q180" s="2664"/>
      <c r="R180" s="2666"/>
    </row>
    <row r="181" spans="1:18" s="887" customFormat="1">
      <c r="B181" s="2664"/>
      <c r="C181" s="2664"/>
      <c r="D181" s="2664"/>
      <c r="E181" s="2664"/>
      <c r="F181" s="2664"/>
      <c r="G181" s="2665"/>
      <c r="H181" s="2664"/>
      <c r="I181" s="2665"/>
      <c r="J181" s="2664"/>
      <c r="K181" s="2664"/>
      <c r="L181" s="2665"/>
      <c r="M181" s="2664"/>
      <c r="N181" s="2664"/>
      <c r="O181" s="2665"/>
      <c r="P181" s="2664"/>
      <c r="Q181" s="2664"/>
      <c r="R181" s="2666"/>
    </row>
    <row r="182" spans="1:18" s="887" customFormat="1">
      <c r="B182" s="2664"/>
      <c r="C182" s="2664"/>
      <c r="D182" s="2664"/>
      <c r="E182" s="2664"/>
      <c r="F182" s="2664"/>
      <c r="G182" s="2665"/>
      <c r="H182" s="2664"/>
      <c r="I182" s="2665"/>
      <c r="J182" s="2664"/>
      <c r="K182" s="2664"/>
      <c r="L182" s="2665"/>
      <c r="M182" s="2664"/>
      <c r="N182" s="2664"/>
      <c r="O182" s="2665"/>
      <c r="P182" s="2664"/>
      <c r="Q182" s="2664"/>
      <c r="R182" s="2666"/>
    </row>
    <row r="183" spans="1:18" s="887" customFormat="1">
      <c r="B183" s="2664"/>
      <c r="C183" s="2664"/>
      <c r="D183" s="2664"/>
      <c r="E183" s="2664"/>
      <c r="F183" s="2664"/>
      <c r="G183" s="2665"/>
      <c r="H183" s="2664"/>
      <c r="I183" s="2665"/>
      <c r="J183" s="2664"/>
      <c r="K183" s="2664"/>
      <c r="L183" s="2665"/>
      <c r="M183" s="2664"/>
      <c r="N183" s="2664"/>
      <c r="O183" s="2665"/>
      <c r="P183" s="2664"/>
      <c r="Q183" s="2664"/>
      <c r="R183" s="2666"/>
    </row>
    <row r="184" spans="1:18" s="887" customFormat="1">
      <c r="B184" s="2664"/>
      <c r="C184" s="2664"/>
      <c r="D184" s="2664"/>
      <c r="E184" s="2664"/>
      <c r="F184" s="2664"/>
      <c r="G184" s="2665"/>
      <c r="H184" s="2664"/>
      <c r="I184" s="2665"/>
      <c r="J184" s="2664"/>
      <c r="K184" s="2664"/>
      <c r="L184" s="2665"/>
      <c r="M184" s="2664"/>
      <c r="N184" s="2664"/>
      <c r="O184" s="2665"/>
      <c r="P184" s="2664"/>
      <c r="Q184" s="2664"/>
      <c r="R184" s="2666"/>
    </row>
    <row r="185" spans="1:18" s="887"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7"/>
      <c r="B186" s="2664"/>
      <c r="C186" s="2664"/>
      <c r="E186" s="2664"/>
      <c r="F186" s="2664"/>
      <c r="G186" s="2665"/>
    </row>
    <row r="187" spans="1:18">
      <c r="A187" s="887"/>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13867.57</v>
      </c>
      <c r="C1" s="2862"/>
      <c r="D1" s="2862"/>
      <c r="E1" s="2862"/>
      <c r="F1" s="2862"/>
      <c r="G1" s="2863"/>
      <c r="H1" s="2864"/>
      <c r="I1" s="2864"/>
      <c r="J1" s="2864"/>
      <c r="K1" s="2864"/>
    </row>
    <row r="2" spans="1:11" ht="16.5">
      <c r="A2" s="2685" t="s">
        <v>1078</v>
      </c>
      <c r="B2" s="2685">
        <f>SUM(C14:C23)</f>
        <v>17188</v>
      </c>
      <c r="C2" s="2862"/>
      <c r="D2" s="2862"/>
      <c r="E2" s="2862"/>
      <c r="F2" s="2862"/>
      <c r="G2" s="2863"/>
      <c r="H2" s="2864"/>
      <c r="I2" s="2864"/>
      <c r="J2" s="2864"/>
      <c r="K2" s="2864"/>
    </row>
    <row r="3" spans="1:11" ht="16.5">
      <c r="A3" s="2685" t="s">
        <v>1087</v>
      </c>
      <c r="B3" s="2687">
        <f>项目基本情况!D3</f>
        <v>44781</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7482</v>
      </c>
      <c r="C5" s="2685">
        <f ca="1">ROUND(B5*10000/$B$1,0)</f>
        <v>5395</v>
      </c>
      <c r="D5" s="2685">
        <f ca="1">ROUND(B5*10000/$B$2,0)</f>
        <v>4353</v>
      </c>
      <c r="E5" s="2862"/>
      <c r="F5" s="2863"/>
      <c r="G5" s="2863"/>
      <c r="H5" s="2864"/>
      <c r="I5" s="2864"/>
      <c r="J5" s="2864"/>
      <c r="K5" s="2864"/>
    </row>
    <row r="6" spans="1:11" ht="16.5">
      <c r="A6" s="2685" t="s">
        <v>1081</v>
      </c>
      <c r="B6" s="2685">
        <f ca="1">SUM(G14:G23)</f>
        <v>7482</v>
      </c>
      <c r="C6" s="2685">
        <f ca="1">ROUND(B6*10000/$B$1,0)</f>
        <v>5395</v>
      </c>
      <c r="D6" s="2685">
        <f ca="1">ROUND(B6*10000/$B$2,0)</f>
        <v>4353</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13867.57</v>
      </c>
      <c r="C14" s="2691">
        <f>结果表!C118</f>
        <v>17188</v>
      </c>
      <c r="D14" s="2691">
        <f ca="1">结果表!H118</f>
        <v>7482</v>
      </c>
      <c r="E14" s="2691">
        <f ca="1">ROUND(D14*10000/B14,0)</f>
        <v>5395</v>
      </c>
      <c r="F14" s="2691">
        <f ca="1">ROUND(D14*10000/C14,0)</f>
        <v>4353</v>
      </c>
      <c r="G14" s="2691">
        <f ca="1">结果表!D122</f>
        <v>7482</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0"/>
      <c r="H15" s="1450"/>
      <c r="I15" s="2692"/>
      <c r="J15" s="2863"/>
      <c r="K15" s="2864"/>
    </row>
    <row r="16" spans="1:11" ht="16.5">
      <c r="A16" s="2690" t="s">
        <v>1073</v>
      </c>
      <c r="B16" s="2692"/>
      <c r="C16" s="2692"/>
      <c r="D16" s="2692"/>
      <c r="E16" s="2691" t="e">
        <f t="shared" si="0"/>
        <v>#DIV/0!</v>
      </c>
      <c r="F16" s="2691" t="e">
        <f t="shared" si="1"/>
        <v>#DIV/0!</v>
      </c>
      <c r="G16" s="1450"/>
      <c r="H16" s="1450"/>
      <c r="I16" s="2692"/>
      <c r="J16" s="2864"/>
      <c r="K16" s="2864"/>
    </row>
    <row r="17" spans="1:11" ht="16.5">
      <c r="A17" s="2690" t="s">
        <v>1072</v>
      </c>
      <c r="B17" s="2692"/>
      <c r="C17" s="2692"/>
      <c r="D17" s="2692"/>
      <c r="E17" s="2691" t="e">
        <f t="shared" si="0"/>
        <v>#DIV/0!</v>
      </c>
      <c r="F17" s="2691" t="e">
        <f t="shared" si="1"/>
        <v>#DIV/0!</v>
      </c>
      <c r="G17" s="1450"/>
      <c r="H17" s="1450"/>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J118" sqref="J118"/>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377" t="str">
        <f>项目基本情况!S2</f>
        <v>房地产</v>
      </c>
      <c r="B2" s="3378"/>
      <c r="C2" s="3378"/>
      <c r="D2" s="3378"/>
      <c r="E2" s="3378"/>
      <c r="F2" s="3378"/>
      <c r="G2" s="3378"/>
      <c r="H2" s="3378"/>
      <c r="I2" s="3379"/>
    </row>
    <row r="3" spans="1:12" ht="12.75">
      <c r="A3" s="3381" t="s">
        <v>1709</v>
      </c>
      <c r="B3" s="3382"/>
      <c r="C3" s="3382"/>
      <c r="D3" s="3382"/>
      <c r="E3" s="3382"/>
      <c r="F3" s="3382"/>
      <c r="G3" s="3382"/>
      <c r="H3" s="3382"/>
      <c r="I3" s="3382"/>
    </row>
    <row r="4" spans="1:12" ht="14.25">
      <c r="A4" s="1889" t="s">
        <v>1710</v>
      </c>
      <c r="B4" s="1890" t="s">
        <v>1711</v>
      </c>
      <c r="C4" s="1891" t="s">
        <v>3549</v>
      </c>
      <c r="D4" s="1891" t="s">
        <v>3522</v>
      </c>
      <c r="E4" s="3383" t="s">
        <v>1712</v>
      </c>
      <c r="F4" s="3384"/>
      <c r="G4" s="3384"/>
      <c r="H4" s="3384"/>
      <c r="I4" s="338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344">
        <v>25</v>
      </c>
      <c r="C5" s="3360">
        <v>17</v>
      </c>
      <c r="D5" s="3380">
        <v>23</v>
      </c>
      <c r="E5" s="135" t="s">
        <v>1714</v>
      </c>
      <c r="F5" s="1892"/>
      <c r="G5" s="1892"/>
      <c r="H5" s="1892"/>
      <c r="I5" s="1506"/>
    </row>
    <row r="6" spans="1:12" ht="12.75">
      <c r="A6" s="3357"/>
      <c r="B6" s="3344"/>
      <c r="C6" s="3361"/>
      <c r="D6" s="3380"/>
      <c r="E6" s="135" t="s">
        <v>1715</v>
      </c>
      <c r="F6" s="1892"/>
      <c r="G6" s="1892"/>
      <c r="H6" s="1892"/>
      <c r="I6" s="1506"/>
    </row>
    <row r="7" spans="1:12" ht="12.75">
      <c r="A7" s="3357"/>
      <c r="B7" s="3344"/>
      <c r="C7" s="3362"/>
      <c r="D7" s="3380"/>
      <c r="E7" s="135" t="s">
        <v>1716</v>
      </c>
      <c r="F7" s="1892"/>
      <c r="G7" s="1892"/>
      <c r="H7" s="1892"/>
      <c r="I7" s="1506"/>
    </row>
    <row r="8" spans="1:12" ht="12.75">
      <c r="A8" s="3357" t="s">
        <v>1717</v>
      </c>
      <c r="B8" s="3344">
        <v>15</v>
      </c>
      <c r="C8" s="3360">
        <v>9</v>
      </c>
      <c r="D8" s="3380">
        <v>14</v>
      </c>
      <c r="E8" s="135" t="s">
        <v>1718</v>
      </c>
      <c r="F8" s="1892"/>
      <c r="G8" s="1892"/>
      <c r="H8" s="1892"/>
      <c r="I8" s="1506"/>
    </row>
    <row r="9" spans="1:12" ht="12.75">
      <c r="A9" s="3357"/>
      <c r="B9" s="3344"/>
      <c r="C9" s="3362"/>
      <c r="D9" s="3380"/>
      <c r="E9" s="135" t="s">
        <v>1719</v>
      </c>
      <c r="F9" s="1892"/>
      <c r="G9" s="1892"/>
      <c r="H9" s="1892"/>
      <c r="I9" s="1506"/>
    </row>
    <row r="10" spans="1:12" ht="12.75">
      <c r="A10" s="3357" t="s">
        <v>1720</v>
      </c>
      <c r="B10" s="3344">
        <v>15</v>
      </c>
      <c r="C10" s="3360">
        <v>9</v>
      </c>
      <c r="D10" s="3380">
        <v>14</v>
      </c>
      <c r="E10" s="135" t="s">
        <v>1721</v>
      </c>
      <c r="F10" s="1892"/>
      <c r="G10" s="1892"/>
      <c r="H10" s="1892"/>
      <c r="I10" s="1506"/>
    </row>
    <row r="11" spans="1:12" ht="12.75">
      <c r="A11" s="3357"/>
      <c r="B11" s="3344"/>
      <c r="C11" s="3362"/>
      <c r="D11" s="3380"/>
      <c r="E11" s="135" t="s">
        <v>1722</v>
      </c>
      <c r="F11" s="1892"/>
      <c r="G11" s="1892"/>
      <c r="H11" s="1892"/>
      <c r="I11" s="1506"/>
    </row>
    <row r="12" spans="1:12" ht="12.75">
      <c r="A12" s="3357" t="s">
        <v>1723</v>
      </c>
      <c r="B12" s="3344">
        <v>15</v>
      </c>
      <c r="C12" s="3360">
        <v>9</v>
      </c>
      <c r="D12" s="3380">
        <v>14</v>
      </c>
      <c r="E12" s="135" t="s">
        <v>1724</v>
      </c>
      <c r="F12" s="1892"/>
      <c r="G12" s="1892"/>
      <c r="H12" s="1892"/>
      <c r="I12" s="1506"/>
    </row>
    <row r="13" spans="1:12" ht="12.75">
      <c r="A13" s="3357"/>
      <c r="B13" s="3344"/>
      <c r="C13" s="3362"/>
      <c r="D13" s="3380"/>
      <c r="E13" s="135" t="s">
        <v>1725</v>
      </c>
      <c r="F13" s="1892"/>
      <c r="G13" s="1892"/>
      <c r="H13" s="1892"/>
      <c r="I13" s="1506"/>
    </row>
    <row r="14" spans="1:12" ht="12.75">
      <c r="A14" s="3357" t="s">
        <v>1726</v>
      </c>
      <c r="B14" s="3344">
        <v>30</v>
      </c>
      <c r="C14" s="3360">
        <v>19</v>
      </c>
      <c r="D14" s="3380">
        <v>28</v>
      </c>
      <c r="E14" s="135" t="s">
        <v>1727</v>
      </c>
      <c r="F14" s="1892"/>
      <c r="G14" s="1892"/>
      <c r="H14" s="1892"/>
      <c r="I14" s="1506"/>
    </row>
    <row r="15" spans="1:12" ht="12.75">
      <c r="A15" s="3357"/>
      <c r="B15" s="3344"/>
      <c r="C15" s="3361"/>
      <c r="D15" s="3380"/>
      <c r="E15" s="135" t="s">
        <v>1728</v>
      </c>
      <c r="F15" s="1892"/>
      <c r="G15" s="1892"/>
      <c r="H15" s="1892"/>
      <c r="I15" s="1506"/>
    </row>
    <row r="16" spans="1:12" ht="12.75">
      <c r="A16" s="3357"/>
      <c r="B16" s="3344"/>
      <c r="C16" s="3362"/>
      <c r="D16" s="3380"/>
      <c r="E16" s="135" t="s">
        <v>1729</v>
      </c>
      <c r="F16" s="1892"/>
      <c r="G16" s="1892"/>
      <c r="H16" s="1892"/>
      <c r="I16" s="1506"/>
    </row>
    <row r="17" spans="1:36" ht="15">
      <c r="A17" s="1893" t="s">
        <v>1730</v>
      </c>
      <c r="B17" s="60"/>
      <c r="C17" s="136">
        <f>SUM(C5:C16)</f>
        <v>63</v>
      </c>
      <c r="D17" s="136">
        <f>SUM(D5:D16)</f>
        <v>93</v>
      </c>
      <c r="E17" s="133"/>
      <c r="F17" s="133"/>
      <c r="G17" s="133"/>
      <c r="H17" s="133"/>
      <c r="I17" s="133"/>
      <c r="K17" s="307"/>
      <c r="L17" s="307" t="s">
        <v>1731</v>
      </c>
      <c r="M17" s="307" t="s">
        <v>1732</v>
      </c>
    </row>
    <row r="18" spans="1:36" ht="31.9" customHeight="1" thickBot="1">
      <c r="A18" s="1894" t="s">
        <v>1733</v>
      </c>
      <c r="B18" s="1895"/>
      <c r="C18" s="137">
        <f>ROUND(C17/SUM(C17:D17),2)</f>
        <v>0.4</v>
      </c>
      <c r="D18" s="137">
        <f>1-C18</f>
        <v>0.6</v>
      </c>
      <c r="E18" s="3367" t="s">
        <v>2630</v>
      </c>
      <c r="F18" s="3368"/>
      <c r="G18" s="3368"/>
      <c r="H18" s="3368"/>
      <c r="I18" s="3368"/>
      <c r="K18" s="307" t="s">
        <v>1734</v>
      </c>
      <c r="L18" s="307">
        <f>IF(C1="",'数据-汇总表'!E3,SUMIF(项目类型,C1,'数据-汇总表'!E17:E26)+SUMIF(项目类型,C1,'数据-汇总表'!I17:I26))</f>
        <v>13867.57</v>
      </c>
      <c r="M18" s="307">
        <f>IF(C1="",'数据-汇总表'!E3,SUMIF(项目类型,C1,'数据-汇总表'!E17:E26))</f>
        <v>13867.57</v>
      </c>
    </row>
    <row r="19" spans="1:36" ht="15">
      <c r="A19" s="1896" t="s">
        <v>1735</v>
      </c>
      <c r="B19" s="1897" t="s">
        <v>1736</v>
      </c>
      <c r="C19" s="138">
        <f ca="1">SUMIF(INDIRECT("'"&amp;C4&amp;"'"&amp;"!A:A"),结果表!B19,INDIRECT("'"&amp;C4&amp;"'"&amp;"!B:B"))</f>
        <v>5635</v>
      </c>
      <c r="D19" s="139">
        <f ca="1">SUMIF(INDIRECT("'"&amp;D4&amp;"'"&amp;"!A:A"),结果表!B19,INDIRECT("'"&amp;D4&amp;"'"&amp;"!B:B"))</f>
        <v>8714</v>
      </c>
      <c r="E19" s="1896" t="s">
        <v>1737</v>
      </c>
      <c r="F19" s="1897" t="s">
        <v>1736</v>
      </c>
      <c r="G19" s="140">
        <f ca="1">ROUND(C19*$C$18+D19*$D$18,0)</f>
        <v>7482</v>
      </c>
      <c r="H19" s="1898" t="s">
        <v>1738</v>
      </c>
      <c r="I19" s="133"/>
      <c r="K19" s="307" t="s">
        <v>1739</v>
      </c>
      <c r="L19" s="307">
        <f>IF(C1="",'数据-汇总表'!D3,SUMIF(项目类型,C1,'数据-汇总表'!D17:D26)+SUMIF(项目类型,C1,'数据-汇总表'!H17:H27))</f>
        <v>17188</v>
      </c>
      <c r="M19" s="307">
        <f>IF(C1="",'数据-汇总表'!D3,SUMIF(项目类型,C1,'数据-汇总表'!D17:D26))</f>
        <v>17188</v>
      </c>
    </row>
    <row r="20" spans="1:36" ht="15">
      <c r="A20" s="1899"/>
      <c r="B20" s="1137" t="s">
        <v>1740</v>
      </c>
      <c r="C20" s="141">
        <f ca="1">SUMIF(INDIRECT("'"&amp;C4&amp;"'"&amp;"!A:A"),结果表!B20,INDIRECT("'"&amp;C4&amp;"'"&amp;"!B:B"))</f>
        <v>4063</v>
      </c>
      <c r="D20" s="142">
        <f ca="1">SUMIF(INDIRECT("'"&amp;D4&amp;"'"&amp;"!A:A"),结果表!B20,INDIRECT("'"&amp;D4&amp;"'"&amp;"!B:B"))</f>
        <v>6284</v>
      </c>
      <c r="E20" s="1899"/>
      <c r="F20" s="1137" t="s">
        <v>1740</v>
      </c>
      <c r="G20" s="143">
        <f ca="1">ROUND(C20*$C$18+D20*$D$18,0)</f>
        <v>5396</v>
      </c>
      <c r="H20" s="897" t="s">
        <v>1741</v>
      </c>
      <c r="I20" s="133"/>
    </row>
    <row r="21" spans="1:36" ht="15" customHeight="1" thickBot="1">
      <c r="A21" s="917"/>
      <c r="B21" s="1900" t="s">
        <v>1742</v>
      </c>
      <c r="C21" s="727">
        <f ca="1">ROUND(C19*10000/L19,0)</f>
        <v>3278</v>
      </c>
      <c r="D21" s="728">
        <f ca="1">ROUND(D19*10000/L19,0)</f>
        <v>5070</v>
      </c>
      <c r="E21" s="917"/>
      <c r="F21" s="1900" t="s">
        <v>1742</v>
      </c>
      <c r="G21" s="144">
        <f ca="1">ROUND(G19*10000/L19,0)</f>
        <v>4353</v>
      </c>
      <c r="H21" s="1901" t="s">
        <v>1741</v>
      </c>
      <c r="I21" s="133"/>
    </row>
    <row r="22" spans="1:36" ht="15" thickBot="1">
      <c r="A22" s="1823" t="s">
        <v>1743</v>
      </c>
      <c r="B22" s="1902"/>
      <c r="C22" s="1903"/>
      <c r="D22" s="729">
        <f ca="1">IF(C19&lt;D19,D19/C19-1,C19/D19-1)</f>
        <v>0.54640638864241353</v>
      </c>
      <c r="E22" s="133"/>
      <c r="F22" s="133"/>
      <c r="G22" s="133"/>
      <c r="H22" s="133"/>
      <c r="I22" s="133"/>
    </row>
    <row r="23" spans="1:36" ht="13.5" thickBot="1">
      <c r="A23" s="1882"/>
      <c r="B23" s="1882"/>
      <c r="C23" s="1882"/>
      <c r="D23" s="1882"/>
      <c r="E23" s="133"/>
      <c r="F23" s="133"/>
      <c r="G23" s="133"/>
      <c r="H23" s="133"/>
      <c r="I23" s="133"/>
    </row>
    <row r="24" spans="1:36" ht="14.25">
      <c r="A24" s="3351" t="s">
        <v>1744</v>
      </c>
      <c r="B24" s="1897" t="s">
        <v>1736</v>
      </c>
      <c r="C24" s="140">
        <f>IF(B30=0,0,D30)</f>
        <v>0</v>
      </c>
      <c r="D24" s="1904"/>
      <c r="E24" s="133"/>
      <c r="F24" s="133"/>
      <c r="G24" s="133"/>
      <c r="H24" s="133"/>
      <c r="I24" s="133"/>
    </row>
    <row r="25" spans="1:36" ht="14.25">
      <c r="A25" s="3352"/>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9" t="s">
        <v>2631</v>
      </c>
      <c r="F30" s="133"/>
      <c r="G30" s="133"/>
      <c r="H30" s="133"/>
      <c r="I30" s="133"/>
    </row>
    <row r="31" spans="1:36" s="2475" customFormat="1" ht="26.45" customHeight="1" thickTop="1" thickBot="1">
      <c r="A31" s="2470"/>
      <c r="B31" s="2471"/>
      <c r="C31" s="2471"/>
      <c r="D31" s="2471"/>
      <c r="E31" s="2471"/>
      <c r="F31" s="2471"/>
      <c r="G31" s="2471"/>
      <c r="H31" s="2471"/>
      <c r="I31" s="2472" t="s">
        <v>2632</v>
      </c>
      <c r="J31" s="2865"/>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8" t="s">
        <v>1750</v>
      </c>
      <c r="B32" s="1909"/>
      <c r="C32" s="148">
        <f ca="1">IF(D32="总价",G19-C24,G20-C25)</f>
        <v>7482</v>
      </c>
      <c r="D32" s="1910" t="s">
        <v>3550</v>
      </c>
      <c r="E32" s="133"/>
      <c r="F32" s="133"/>
      <c r="G32" s="133"/>
      <c r="H32" s="133"/>
      <c r="I32" s="133"/>
    </row>
    <row r="33" spans="1:15" ht="15">
      <c r="A33" s="874" t="s">
        <v>1751</v>
      </c>
      <c r="B33" s="1911"/>
      <c r="C33" s="1912" t="s">
        <v>3551</v>
      </c>
      <c r="D33" s="1913" t="s">
        <v>3549</v>
      </c>
      <c r="E33" s="1914" t="s">
        <v>1752</v>
      </c>
      <c r="F33" s="1915" t="str">
        <f>IF(D32="楼面单价","取值（单价）","取值（总价）")</f>
        <v>取值（总价）</v>
      </c>
      <c r="G33" s="133"/>
      <c r="H33" s="133"/>
      <c r="I33" s="133"/>
    </row>
    <row r="34" spans="1:15" ht="15">
      <c r="A34" s="1916"/>
      <c r="B34" s="1917" t="s">
        <v>1753</v>
      </c>
      <c r="C34" s="152">
        <f ca="1">IF(C33="自定义",F34,C32-C35)</f>
        <v>2896</v>
      </c>
      <c r="D34" s="950">
        <f ca="1">IF(C33="自定义",ROUND(C34/C32,3),IF(C33="收益比率",SUMIF(INDIRECT("'"&amp;D33&amp;"'"&amp;"!b:b"),"土地收益比率",INDIRECT("'"&amp;D33&amp;"'"&amp;"!c:c")),SUMIF(INDIRECT("'"&amp;D33&amp;"'"&amp;"!b:b"),"土地成本比率",INDIRECT("'"&amp;D33&amp;"'"&amp;"!c:c"))))</f>
        <v>0.38700000000000001</v>
      </c>
      <c r="E34" s="1918" t="s">
        <v>1754</v>
      </c>
      <c r="F34" s="1449"/>
      <c r="G34" s="133"/>
      <c r="H34" s="133"/>
      <c r="I34" s="133"/>
    </row>
    <row r="35" spans="1:15" ht="15.75" thickBot="1">
      <c r="A35" s="1919"/>
      <c r="B35" s="1920" t="s">
        <v>1755</v>
      </c>
      <c r="C35" s="1284">
        <f ca="1">IF(C33="自定义",F35,ROUND(C32*D35,0))</f>
        <v>4586</v>
      </c>
      <c r="D35" s="1285">
        <f ca="1">IF(C33="自定义",ROUND(C35/C32,3),IF(C33="收益比率",SUMIF(INDIRECT("'"&amp;D33&amp;"'"&amp;"!b:b"),"建筑物收益比率",INDIRECT("'"&amp;D33&amp;"'"&amp;"!c:c")),SUMIF(INDIRECT("'"&amp;D33&amp;"'"&amp;"!b:b"),"建筑物成本比率",INDIRECT("'"&amp;D33&amp;"'"&amp;"!c:c"))))</f>
        <v>0.61299999999999999</v>
      </c>
      <c r="E35" s="1921" t="s">
        <v>1756</v>
      </c>
      <c r="F35" s="158"/>
      <c r="G35" s="133"/>
      <c r="H35" s="133"/>
      <c r="I35" s="133"/>
    </row>
    <row r="36" spans="1:15" ht="15.75" thickBot="1">
      <c r="A36" s="3371" t="s">
        <v>1757</v>
      </c>
      <c r="B36" s="1922" t="s">
        <v>1758</v>
      </c>
      <c r="C36" s="149"/>
      <c r="D36" s="1923"/>
      <c r="E36" s="1924"/>
      <c r="F36" s="1925"/>
      <c r="G36" s="133"/>
      <c r="H36" s="133"/>
      <c r="I36" s="133"/>
    </row>
    <row r="37" spans="1:15" ht="15.75" thickBot="1">
      <c r="A37" s="3372"/>
      <c r="B37" s="1809" t="s">
        <v>1759</v>
      </c>
      <c r="C37" s="151"/>
      <c r="D37" s="1253"/>
      <c r="E37" s="1253"/>
      <c r="F37" s="1925"/>
      <c r="G37" s="133"/>
      <c r="H37" s="133"/>
      <c r="I37" s="133"/>
    </row>
    <row r="38" spans="1:15" ht="15.75" thickBot="1">
      <c r="A38" s="3373"/>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48" t="s">
        <v>1771</v>
      </c>
      <c r="B45" s="3349"/>
      <c r="C45" s="3350"/>
      <c r="D45" s="159">
        <f ca="1">ROUND(H101*F45,0)</f>
        <v>7482</v>
      </c>
      <c r="E45" s="160" t="s">
        <v>1772</v>
      </c>
      <c r="F45" s="161">
        <v>1</v>
      </c>
      <c r="G45" s="162" t="s">
        <v>1773</v>
      </c>
      <c r="H45" s="133"/>
      <c r="I45" s="133"/>
      <c r="J45" s="3429" t="s">
        <v>1774</v>
      </c>
      <c r="K45" s="3429"/>
      <c r="L45" s="3429"/>
      <c r="M45" s="3429"/>
      <c r="N45" s="3429"/>
      <c r="O45" s="3429"/>
    </row>
    <row r="46" spans="1:15" ht="14.25" customHeight="1">
      <c r="A46" s="3345" t="s">
        <v>1775</v>
      </c>
      <c r="B46" s="3346"/>
      <c r="C46" s="3346"/>
      <c r="D46" s="3346"/>
      <c r="E46" s="3346"/>
      <c r="F46" s="3346"/>
      <c r="G46" s="3347"/>
      <c r="H46" s="1941"/>
      <c r="I46" s="163"/>
      <c r="J46" s="2696">
        <v>1</v>
      </c>
      <c r="K46" s="3410" t="s">
        <v>1776</v>
      </c>
      <c r="L46" s="3410"/>
      <c r="M46" s="3430"/>
      <c r="N46" s="3430"/>
      <c r="O46" s="3430"/>
    </row>
    <row r="47" spans="1:15" ht="12" customHeight="1">
      <c r="A47" s="164" t="s">
        <v>1777</v>
      </c>
      <c r="B47" s="165"/>
      <c r="C47" s="166"/>
      <c r="D47" s="1199" t="s">
        <v>1778</v>
      </c>
      <c r="E47" s="307" t="s">
        <v>1779</v>
      </c>
      <c r="F47" s="167" t="s">
        <v>1780</v>
      </c>
      <c r="G47" s="2719" t="s">
        <v>1781</v>
      </c>
      <c r="H47" s="2720"/>
      <c r="I47" s="163"/>
      <c r="J47" s="2696">
        <v>2</v>
      </c>
      <c r="K47" s="3410" t="s">
        <v>1782</v>
      </c>
      <c r="L47" s="3410"/>
      <c r="M47" s="3431">
        <f>'数据-取费表'!B2</f>
        <v>44781</v>
      </c>
      <c r="N47" s="3431"/>
      <c r="O47" s="3431"/>
    </row>
    <row r="48" spans="1:15" ht="25.5">
      <c r="A48" s="3376" t="s">
        <v>1783</v>
      </c>
      <c r="B48" s="3359"/>
      <c r="C48" s="3359"/>
      <c r="D48" s="2495" t="b">
        <f>IF(H48="情况1",0,IF(H48="情况2",D52,IF(H48="情况3",D53,IF(H48="情况4",D54))))</f>
        <v>0</v>
      </c>
      <c r="E48" s="2505" t="str">
        <f>IF(H48="情况4","(销售额-原购置价)×税（费）率","销售额×税（费）率")</f>
        <v>销售额×税（费）率</v>
      </c>
      <c r="F48" s="2721">
        <f>IF(H48="情况1","免征",'数据-取费表'!B41)</f>
        <v>5.6000000000000001E-2</v>
      </c>
      <c r="G48" s="2722" t="s">
        <v>1784</v>
      </c>
      <c r="H48" s="2723"/>
      <c r="I48" s="1941"/>
      <c r="J48" s="2696">
        <v>3</v>
      </c>
      <c r="K48" s="3410" t="s">
        <v>1785</v>
      </c>
      <c r="L48" s="3410"/>
      <c r="M48" s="3432">
        <f ca="1">H101</f>
        <v>7482</v>
      </c>
      <c r="N48" s="3432"/>
      <c r="O48" s="3432"/>
    </row>
    <row r="49" spans="1:35" ht="25.5" customHeight="1">
      <c r="A49" s="2504" t="s">
        <v>1786</v>
      </c>
      <c r="B49" s="3343" t="s">
        <v>1787</v>
      </c>
      <c r="C49" s="3343"/>
      <c r="D49" s="1724">
        <v>0</v>
      </c>
      <c r="E49" s="329" t="s">
        <v>1788</v>
      </c>
      <c r="F49" s="2597" t="s">
        <v>34</v>
      </c>
      <c r="G49" s="3416"/>
      <c r="H49" s="2476" t="s">
        <v>2633</v>
      </c>
      <c r="I49" s="2477"/>
      <c r="J49" s="2696">
        <v>4</v>
      </c>
      <c r="K49" s="3410" t="str">
        <f>IF(项目基本情况!E8="房地产抵押价值","房地产抵押价值","抵押担保权已注销时的房地产抵押价值")</f>
        <v>抵押担保权已注销时的房地产抵押价值</v>
      </c>
      <c r="L49" s="3410"/>
      <c r="M49" s="3432" t="str">
        <f>IF(项目基本情况!E8="房地产抵押价值",H107,H109)</f>
        <v>——</v>
      </c>
      <c r="N49" s="3432"/>
      <c r="O49" s="3432"/>
    </row>
    <row r="50" spans="1:35" ht="25.5" customHeight="1">
      <c r="A50" s="2724"/>
      <c r="B50" s="3343" t="s">
        <v>1789</v>
      </c>
      <c r="C50" s="3343"/>
      <c r="D50" s="2725"/>
      <c r="E50" s="337"/>
      <c r="F50" s="2597"/>
      <c r="G50" s="3417"/>
      <c r="H50" s="2478" t="s">
        <v>2634</v>
      </c>
      <c r="I50" s="2477"/>
      <c r="J50" s="3429" t="s">
        <v>1790</v>
      </c>
      <c r="K50" s="3429"/>
      <c r="L50" s="3429"/>
      <c r="M50" s="3429"/>
      <c r="N50" s="3429"/>
      <c r="O50" s="3429"/>
    </row>
    <row r="51" spans="1:35" ht="20.45" customHeight="1">
      <c r="A51" s="2726"/>
      <c r="B51" s="3343" t="s">
        <v>1791</v>
      </c>
      <c r="C51" s="3343"/>
      <c r="D51" s="1199"/>
      <c r="E51" s="332"/>
      <c r="F51" s="2597"/>
      <c r="G51" s="3418"/>
      <c r="H51" s="2478" t="s">
        <v>2635</v>
      </c>
      <c r="I51" s="2477"/>
      <c r="J51" s="2697" t="s">
        <v>1792</v>
      </c>
      <c r="K51" s="3410" t="s">
        <v>1793</v>
      </c>
      <c r="L51" s="3410"/>
      <c r="M51" s="2697" t="s">
        <v>1794</v>
      </c>
      <c r="N51" s="2697" t="s">
        <v>1795</v>
      </c>
      <c r="O51" s="2697" t="s">
        <v>1796</v>
      </c>
    </row>
    <row r="52" spans="1:35" ht="24" customHeight="1">
      <c r="A52" s="2506" t="s">
        <v>1797</v>
      </c>
      <c r="B52" s="3343" t="s">
        <v>1798</v>
      </c>
      <c r="C52" s="3343"/>
      <c r="D52" s="1199">
        <f ca="1">ROUND(D45*'数据-取费表'!B41/(1+'数据-取费表'!C42),0)</f>
        <v>399</v>
      </c>
      <c r="E52" s="2505" t="s">
        <v>1799</v>
      </c>
      <c r="F52" s="2727">
        <f>'数据-取费表'!B41</f>
        <v>5.6000000000000001E-2</v>
      </c>
      <c r="G52" s="2728"/>
      <c r="H52" s="2717"/>
      <c r="I52" s="1942"/>
      <c r="J52" s="2696">
        <v>1</v>
      </c>
      <c r="K52" s="3411" t="s">
        <v>1800</v>
      </c>
      <c r="L52" s="3411"/>
      <c r="M52" s="2698" t="b">
        <f>D48</f>
        <v>0</v>
      </c>
      <c r="N52" s="2696" t="str">
        <f>E48</f>
        <v>销售额×税（费）率</v>
      </c>
      <c r="O52" s="2699">
        <f>F48</f>
        <v>5.6000000000000001E-2</v>
      </c>
    </row>
    <row r="53" spans="1:35" ht="12" customHeight="1">
      <c r="A53" s="2506" t="s">
        <v>1801</v>
      </c>
      <c r="B53" s="3369" t="s">
        <v>2790</v>
      </c>
      <c r="C53" s="3370"/>
      <c r="D53" s="1199">
        <f ca="1">ROUND(D45*'数据-取费表'!B41/(1+'数据-取费表'!C42),0)</f>
        <v>399</v>
      </c>
      <c r="E53" s="2505" t="s">
        <v>1799</v>
      </c>
      <c r="F53" s="2727">
        <f>'数据-取费表'!B41</f>
        <v>5.6000000000000001E-2</v>
      </c>
      <c r="G53" s="2728"/>
      <c r="H53" s="2717"/>
      <c r="I53" s="1942"/>
      <c r="J53" s="2696">
        <v>2</v>
      </c>
      <c r="K53" s="3411" t="s">
        <v>1802</v>
      </c>
      <c r="L53" s="3411"/>
      <c r="M53" s="2698">
        <f t="shared" ref="M53:O54" ca="1" si="0">D55</f>
        <v>4</v>
      </c>
      <c r="N53" s="2696" t="str">
        <f t="shared" si="0"/>
        <v>销售额×税（费）率</v>
      </c>
      <c r="O53" s="2699" t="str">
        <f t="shared" si="0"/>
        <v>免征</v>
      </c>
    </row>
    <row r="54" spans="1:35" ht="12" customHeight="1">
      <c r="A54" s="2506" t="s">
        <v>1803</v>
      </c>
      <c r="B54" s="3369" t="s">
        <v>2791</v>
      </c>
      <c r="C54" s="3370"/>
      <c r="D54" s="1199">
        <f ca="1">C68</f>
        <v>399</v>
      </c>
      <c r="E54" s="332" t="s">
        <v>1804</v>
      </c>
      <c r="F54" s="2727">
        <f>'数据-取费表'!B41</f>
        <v>5.6000000000000001E-2</v>
      </c>
      <c r="G54" s="2728"/>
      <c r="H54" s="2729"/>
      <c r="I54" s="1942"/>
      <c r="J54" s="2696">
        <v>3</v>
      </c>
      <c r="K54" s="3411" t="s">
        <v>1805</v>
      </c>
      <c r="L54" s="3411"/>
      <c r="M54" s="2698">
        <f t="shared" ca="1" si="0"/>
        <v>4235</v>
      </c>
      <c r="N54" s="2696" t="str">
        <f t="shared" si="0"/>
        <v>增值额×税（费）率</v>
      </c>
      <c r="O54" s="2700" t="str">
        <f t="shared" si="0"/>
        <v>免征</v>
      </c>
    </row>
    <row r="55" spans="1:35" ht="24" customHeight="1">
      <c r="A55" s="3358" t="s">
        <v>1806</v>
      </c>
      <c r="B55" s="3359"/>
      <c r="C55" s="3359"/>
      <c r="D55" s="2495">
        <f ca="1">IF(H55="个人住宅",0,ROUND(D45*I55,0))</f>
        <v>4</v>
      </c>
      <c r="E55" s="2505" t="s">
        <v>1807</v>
      </c>
      <c r="F55" s="2727" t="str">
        <f>IF(H55="正常",I55,"免征")</f>
        <v>免征</v>
      </c>
      <c r="G55" s="2728"/>
      <c r="H55" s="2723"/>
      <c r="I55" s="169">
        <f>'数据-取费表'!B49</f>
        <v>5.0000000000000001E-4</v>
      </c>
      <c r="J55" s="2696">
        <f>IF(H59="非个人房产","",4)</f>
        <v>4</v>
      </c>
      <c r="K55" s="3411" t="str">
        <f>IF(H59="非个人房产","——","个人所得税")</f>
        <v>个人所得税</v>
      </c>
      <c r="L55" s="3411"/>
      <c r="M55" s="2701">
        <f ca="1">D59</f>
        <v>71</v>
      </c>
      <c r="N55" s="2176" t="str">
        <f>E59</f>
        <v>差额计税</v>
      </c>
      <c r="O55" s="2702">
        <f>F59</f>
        <v>0.01</v>
      </c>
    </row>
    <row r="56" spans="1:35" ht="24.75">
      <c r="A56" s="3358" t="s">
        <v>1808</v>
      </c>
      <c r="B56" s="3359"/>
      <c r="C56" s="3359"/>
      <c r="D56" s="2495">
        <f ca="1">IF(H56="个人住宅",D57,D58)</f>
        <v>4235</v>
      </c>
      <c r="E56" s="2505" t="s">
        <v>1809</v>
      </c>
      <c r="F56" s="2727" t="str">
        <f>IF(H56="正常",F58,"免征")</f>
        <v>免征</v>
      </c>
      <c r="G56" s="2730" t="s">
        <v>1810</v>
      </c>
      <c r="H56" s="2731"/>
      <c r="I56" s="1943"/>
      <c r="J56" s="2696" t="str">
        <f>IF(项目基本情况!K6="上海银行",IF(J55="",4,J55+1),"")</f>
        <v/>
      </c>
      <c r="K56" s="3434" t="str">
        <f>IF(项目基本情况!K6="上海银行","其他处置费用","")</f>
        <v/>
      </c>
      <c r="L56" s="3435"/>
      <c r="M56" s="2698" t="str">
        <f>IF(项目基本情况!K6="上海银行",M69,"")</f>
        <v/>
      </c>
      <c r="N56" s="3434" t="str">
        <f>IF(项目基本情况!K6="上海银行","包含处置中涉及的律师、诉讼、拍卖、评估等费用","")</f>
        <v/>
      </c>
      <c r="O56" s="3437"/>
    </row>
    <row r="57" spans="1:35" ht="12.75">
      <c r="A57" s="2506" t="s">
        <v>1786</v>
      </c>
      <c r="B57" s="3369" t="s">
        <v>1811</v>
      </c>
      <c r="C57" s="3370"/>
      <c r="D57" s="1724">
        <v>0</v>
      </c>
      <c r="E57" s="329" t="s">
        <v>1788</v>
      </c>
      <c r="F57" s="307"/>
      <c r="G57" s="2728"/>
      <c r="H57" s="2732"/>
      <c r="I57" s="1943"/>
      <c r="J57" s="3411">
        <f>IF(AND(J55="",J56=""),4,IF(项目基本情况!K6="上海银行",结果表!J56+1,结果表!J55+1))</f>
        <v>5</v>
      </c>
      <c r="K57" s="3411" t="s">
        <v>1812</v>
      </c>
      <c r="L57" s="2703" t="s">
        <v>1813</v>
      </c>
      <c r="M57" s="2704"/>
      <c r="N57" s="2705">
        <f ca="1">SUMIF(M52:M56,"&lt;9e307")</f>
        <v>4310</v>
      </c>
      <c r="O57" s="2706"/>
      <c r="P57" s="2866" t="e">
        <f ca="1">N57/M49</f>
        <v>#VALUE!</v>
      </c>
    </row>
    <row r="58" spans="1:35" ht="24.75">
      <c r="A58" s="2506" t="s">
        <v>1797</v>
      </c>
      <c r="B58" s="3369" t="s">
        <v>1814</v>
      </c>
      <c r="C58" s="3343"/>
      <c r="D58" s="2495">
        <f ca="1">IF(H58="转让取得",C81,C97)</f>
        <v>4235</v>
      </c>
      <c r="E58" s="2505" t="s">
        <v>1809</v>
      </c>
      <c r="F58" s="307" t="s">
        <v>34</v>
      </c>
      <c r="G58" s="2728"/>
      <c r="H58" s="2731"/>
      <c r="I58" s="1943"/>
      <c r="J58" s="3411"/>
      <c r="K58" s="3411"/>
      <c r="L58" s="2703" t="s">
        <v>1815</v>
      </c>
      <c r="M58" s="2707"/>
      <c r="N58" s="2708" t="str">
        <f ca="1">NUMBERSTRING(INT(N57*10000),2)&amp;"元整"</f>
        <v>肆仟叁佰壹拾万元整</v>
      </c>
      <c r="O58" s="2709"/>
    </row>
    <row r="59" spans="1:35" ht="24.75" thickBot="1">
      <c r="A59" s="3414" t="s">
        <v>1816</v>
      </c>
      <c r="B59" s="3415"/>
      <c r="C59" s="3415"/>
      <c r="D59" s="2733">
        <f ca="1">IF(H59="非个人房产","——",IF(H59="个人住宅（满五唯一有凭证）",0,IF(H59="个人其他（无凭证）",ROUND(D45*F59,0),ROUND(C67*F59,0))))</f>
        <v>71</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0"/>
      <c r="I59" s="2479" t="s">
        <v>2636</v>
      </c>
      <c r="J59" s="3412">
        <f>J57+1</f>
        <v>6</v>
      </c>
      <c r="K59" s="3411" t="s">
        <v>1817</v>
      </c>
      <c r="L59" s="2696" t="s">
        <v>1813</v>
      </c>
      <c r="M59" s="2710"/>
      <c r="N59" s="2711" t="e">
        <f ca="1">M49-N57</f>
        <v>#VALUE!</v>
      </c>
      <c r="O59" s="2712"/>
    </row>
    <row r="60" spans="1:35" ht="12" customHeight="1">
      <c r="A60" s="1944"/>
      <c r="B60" s="1882"/>
      <c r="C60" s="1882"/>
      <c r="D60" s="1882"/>
      <c r="E60" s="1712"/>
      <c r="F60" s="1943"/>
      <c r="G60" s="1943"/>
      <c r="H60" s="1945"/>
      <c r="I60" s="133"/>
      <c r="J60" s="3413"/>
      <c r="K60" s="3411"/>
      <c r="L60" s="2703" t="s">
        <v>1815</v>
      </c>
      <c r="M60" s="2707"/>
      <c r="N60" s="2708" t="e">
        <f ca="1">NUMBERSTRING(INT(N59*10000),2)&amp;"元整"</f>
        <v>#VALUE!</v>
      </c>
      <c r="O60" s="2709"/>
    </row>
    <row r="61" spans="1:35" ht="13.5" thickBot="1">
      <c r="A61" s="3356" t="s">
        <v>1818</v>
      </c>
      <c r="B61" s="3356"/>
      <c r="C61" s="3356"/>
      <c r="D61" s="3356"/>
      <c r="E61" s="3356"/>
      <c r="F61" s="1943"/>
      <c r="G61" s="1943"/>
      <c r="H61" s="1945"/>
      <c r="I61" s="133"/>
      <c r="J61" s="2696">
        <f>J59+1</f>
        <v>7</v>
      </c>
      <c r="K61" s="3411" t="s">
        <v>1819</v>
      </c>
      <c r="L61" s="3411"/>
      <c r="M61" s="2713"/>
      <c r="N61" s="2714" t="e">
        <f ca="1">ROUND(N59*10000/'数据-汇总表'!E3,0)</f>
        <v>#VALUE!</v>
      </c>
      <c r="O61" s="2715"/>
    </row>
    <row r="62" spans="1:35" ht="12.75">
      <c r="A62" s="3374" t="s">
        <v>1820</v>
      </c>
      <c r="B62" s="3375"/>
      <c r="C62" s="2157"/>
      <c r="D62" s="2157" t="s">
        <v>1821</v>
      </c>
      <c r="E62" s="170" t="s">
        <v>1822</v>
      </c>
      <c r="F62" s="1943"/>
      <c r="G62" s="1943"/>
      <c r="H62" s="1945"/>
      <c r="I62" s="133"/>
    </row>
    <row r="63" spans="1:35" ht="12.75">
      <c r="A63" s="177" t="s">
        <v>594</v>
      </c>
      <c r="B63" s="171" t="s">
        <v>1823</v>
      </c>
      <c r="C63" s="2737">
        <f ca="1">ROUND((C64+C65)/(1+'数据-取费表'!C42),0)</f>
        <v>7126</v>
      </c>
      <c r="D63" s="171"/>
      <c r="E63" s="172"/>
      <c r="F63" s="1943"/>
      <c r="G63" s="1943"/>
      <c r="H63" s="1945"/>
      <c r="I63" s="133"/>
      <c r="J63" s="3436" t="s">
        <v>1824</v>
      </c>
      <c r="K63" s="1451" t="s">
        <v>1825</v>
      </c>
      <c r="L63" s="1451" t="e">
        <f>IF(M49&gt;10000,M49*0.5%,IF(AND(M49&gt;1000,M49&lt;=10000),M49*1%,IF(AND(M49&gt;100,M49&lt;=1000),M49*3%,IF(AND(M49&gt;10,M49&lt;=100),M49*5%,M49*8%))))</f>
        <v>#VALUE!</v>
      </c>
      <c r="M63" s="307" t="e">
        <f>ROUND(L63,1)</f>
        <v>#VALUE!</v>
      </c>
      <c r="N63" s="2716"/>
      <c r="Z63" s="1887"/>
      <c r="AI63" s="1888"/>
    </row>
    <row r="64" spans="1:35" ht="14.25" customHeight="1">
      <c r="A64" s="173" t="s">
        <v>589</v>
      </c>
      <c r="B64" s="174" t="s">
        <v>1826</v>
      </c>
      <c r="C64" s="2738">
        <f ca="1">D45</f>
        <v>7482</v>
      </c>
      <c r="D64" s="174" t="s">
        <v>32</v>
      </c>
      <c r="E64" s="176"/>
      <c r="F64" s="1943"/>
      <c r="G64" s="1943"/>
      <c r="H64" s="1945"/>
      <c r="I64" s="133"/>
      <c r="J64" s="3436"/>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7" t="s">
        <v>1828</v>
      </c>
      <c r="Z64" s="1887"/>
      <c r="AI64" s="1888"/>
    </row>
    <row r="65" spans="1:35" ht="14.25" customHeight="1">
      <c r="A65" s="173" t="s">
        <v>590</v>
      </c>
      <c r="B65" s="174" t="s">
        <v>1829</v>
      </c>
      <c r="C65" s="2739"/>
      <c r="D65" s="174"/>
      <c r="E65" s="176"/>
      <c r="F65" s="1943"/>
      <c r="G65" s="1943"/>
      <c r="H65" s="1945"/>
      <c r="I65" s="133"/>
      <c r="J65" s="3436"/>
      <c r="K65" s="1451" t="s">
        <v>1830</v>
      </c>
      <c r="L65" s="1451" t="e">
        <f>IF(M49&gt;1000,M49*0.1%,IF(AND(M49&gt;500,M49&lt;=1000),M49*0.5%,IF(AND(M49&gt;50,M49&lt;=500),M49*1%,IF(AND(M49&gt;1,M49&lt;=50),M49*1.5%))))</f>
        <v>#VALUE!</v>
      </c>
      <c r="M65" s="307" t="e">
        <f t="shared" si="1"/>
        <v>#VALUE!</v>
      </c>
      <c r="N65" s="2717" t="s">
        <v>1828</v>
      </c>
      <c r="Z65" s="1887"/>
      <c r="AI65" s="1888"/>
    </row>
    <row r="66" spans="1:35" ht="14.25" customHeight="1">
      <c r="A66" s="177" t="s">
        <v>591</v>
      </c>
      <c r="B66" s="178" t="s">
        <v>1831</v>
      </c>
      <c r="C66" s="2740"/>
      <c r="D66" s="178" t="s">
        <v>32</v>
      </c>
      <c r="E66" s="1458" t="s">
        <v>1096</v>
      </c>
      <c r="F66" s="1943"/>
      <c r="G66" s="1943"/>
      <c r="H66" s="1945"/>
      <c r="I66" s="133"/>
      <c r="J66" s="3436"/>
      <c r="K66" s="1451" t="s">
        <v>1832</v>
      </c>
      <c r="L66" s="1451" t="e">
        <f>M49*0.5%</f>
        <v>#VALUE!</v>
      </c>
      <c r="M66" s="307" t="e">
        <f>IF(L66&gt;0.5,0.5,ROUND(L66,0))</f>
        <v>#VALUE!</v>
      </c>
      <c r="N66" s="2717" t="s">
        <v>1833</v>
      </c>
      <c r="Z66" s="1887"/>
      <c r="AI66" s="1888"/>
    </row>
    <row r="67" spans="1:35" ht="14.25" customHeight="1">
      <c r="A67" s="177" t="s">
        <v>592</v>
      </c>
      <c r="B67" s="178" t="s">
        <v>1834</v>
      </c>
      <c r="C67" s="2741">
        <f ca="1">C63-C66</f>
        <v>7126</v>
      </c>
      <c r="D67" s="174" t="s">
        <v>32</v>
      </c>
      <c r="E67" s="176"/>
      <c r="F67" s="1943"/>
      <c r="G67" s="1943"/>
      <c r="H67" s="1945"/>
      <c r="I67" s="133"/>
      <c r="J67" s="3436"/>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6"/>
      <c r="Z67" s="1887"/>
      <c r="AI67" s="1888"/>
    </row>
    <row r="68" spans="1:35" ht="14.25" customHeight="1" thickBot="1">
      <c r="A68" s="180" t="s">
        <v>593</v>
      </c>
      <c r="B68" s="181" t="s">
        <v>1836</v>
      </c>
      <c r="C68" s="2742">
        <f ca="1">IF(C67&lt;=0,0,ROUND(C67*D68,0))</f>
        <v>399</v>
      </c>
      <c r="D68" s="2743">
        <f>'数据-取费表'!B41</f>
        <v>5.6000000000000001E-2</v>
      </c>
      <c r="E68" s="183"/>
      <c r="F68" s="1943"/>
      <c r="G68" s="1943"/>
      <c r="H68" s="1945"/>
      <c r="I68" s="133"/>
      <c r="J68" s="3436"/>
      <c r="K68" s="1451" t="s">
        <v>1837</v>
      </c>
      <c r="L68" s="1451" t="e">
        <f>IF(M49&gt;10000,M49*0.5%,IF(AND(M49&gt;5000,M49&lt;=10000),M49*1%,IF(AND(M49&gt;1000,M49&lt;=5000),M49*2%,IF(AND(M49&gt;200,M49&lt;=1000),M49*3%,M49*5%))))</f>
        <v>#VALUE!</v>
      </c>
      <c r="M68" s="307" t="e">
        <f>ROUND(L68,1)</f>
        <v>#VALUE!</v>
      </c>
      <c r="N68" s="2716"/>
      <c r="Z68" s="1887"/>
      <c r="AI68" s="1888"/>
    </row>
    <row r="69" spans="1:35" s="1907" customFormat="1" ht="16.5" customHeight="1">
      <c r="A69" s="1946"/>
      <c r="B69" s="1947"/>
      <c r="C69" s="1948"/>
      <c r="D69" s="1949"/>
      <c r="E69" s="1950"/>
      <c r="F69" s="1712"/>
      <c r="G69" s="1712"/>
      <c r="H69" s="1711"/>
      <c r="I69" s="1882"/>
      <c r="J69" s="3436"/>
      <c r="K69" s="1451" t="s">
        <v>1838</v>
      </c>
      <c r="L69" s="1451"/>
      <c r="M69" s="307" t="e">
        <f>ROUND(SUM(M63:M68),0)</f>
        <v>#VALUE!</v>
      </c>
      <c r="N69" s="2718"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95" t="s">
        <v>1839</v>
      </c>
      <c r="B70" s="3396"/>
      <c r="C70" s="3396"/>
      <c r="D70" s="3396"/>
      <c r="E70" s="3396"/>
      <c r="F70" s="3396"/>
      <c r="G70" s="3396"/>
      <c r="H70" s="3396"/>
      <c r="I70" s="1951"/>
      <c r="J70" s="2867"/>
      <c r="K70" s="2867"/>
      <c r="L70" s="2867"/>
      <c r="M70" s="2867"/>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74" t="s">
        <v>1820</v>
      </c>
      <c r="B71" s="3375"/>
      <c r="C71" s="2157"/>
      <c r="D71" s="2157" t="s">
        <v>1821</v>
      </c>
      <c r="E71" s="184" t="s">
        <v>1822</v>
      </c>
      <c r="F71" s="185"/>
      <c r="G71" s="185"/>
      <c r="H71" s="186"/>
      <c r="I71" s="1955"/>
      <c r="J71" s="2867"/>
      <c r="K71" s="2867"/>
      <c r="L71" s="2867"/>
      <c r="M71" s="2867"/>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1">
        <f ca="1">ROUND(D45/(1+'数据-取费表'!C42),0)</f>
        <v>7126</v>
      </c>
      <c r="D72" s="174" t="s">
        <v>32</v>
      </c>
      <c r="E72" s="2502"/>
      <c r="F72" s="2501"/>
      <c r="G72" s="2501"/>
      <c r="H72" s="187"/>
      <c r="I72" s="1955"/>
      <c r="J72" s="2867"/>
      <c r="K72" s="2867"/>
      <c r="L72" s="2867"/>
      <c r="M72" s="2867"/>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1">
        <f ca="1">C74+C78</f>
        <v>43</v>
      </c>
      <c r="D73" s="174" t="s">
        <v>32</v>
      </c>
      <c r="E73" s="2502"/>
      <c r="F73" s="2501"/>
      <c r="G73" s="2501"/>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2"/>
      <c r="F74" s="2501"/>
      <c r="G74" s="2501"/>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4"/>
      <c r="D75" s="174" t="s">
        <v>32</v>
      </c>
      <c r="E75" s="189" t="s">
        <v>1844</v>
      </c>
      <c r="F75" s="2745"/>
      <c r="G75" s="189" t="s">
        <v>1845</v>
      </c>
      <c r="H75" s="2746"/>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7">
        <v>0.05</v>
      </c>
      <c r="E76" s="3369" t="s">
        <v>1847</v>
      </c>
      <c r="F76" s="3343"/>
      <c r="G76" s="3343"/>
      <c r="H76" s="33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8">
        <f>'数据-取费表'!B48+'数据-取费表'!B49</f>
        <v>3.0499999999999999E-2</v>
      </c>
      <c r="E77" s="2495" t="s">
        <v>1849</v>
      </c>
      <c r="F77" s="191"/>
      <c r="G77" s="1957"/>
      <c r="H77" s="2503"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9">
        <f ca="1">ROUND(D45*D78/(1+'数据-取费表'!C42),0)</f>
        <v>43</v>
      </c>
      <c r="D78" s="2750">
        <f>'数据-取费表'!B43</f>
        <v>6.000000000000001E-3</v>
      </c>
      <c r="E78" s="3353" t="s">
        <v>1851</v>
      </c>
      <c r="F78" s="3354"/>
      <c r="G78" s="3354"/>
      <c r="H78" s="3363"/>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1">
        <f ca="1">C72-C73</f>
        <v>7083</v>
      </c>
      <c r="D79" s="174" t="s">
        <v>32</v>
      </c>
      <c r="E79" s="2502"/>
      <c r="F79" s="2501"/>
      <c r="G79" s="2501"/>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1">
        <f ca="1">IF(C79&lt;=0,0,C79/C73)</f>
        <v>164.72093023255815</v>
      </c>
      <c r="D80" s="174" t="s">
        <v>32</v>
      </c>
      <c r="E80" s="2495" t="str">
        <f ca="1">IF(C80&gt;=200%,"增值额超过扣除项目金额200%",IF(C80&gt;=100%,"增值额超过扣除项目金额100%，未超过200%",IF(C80&gt;=50%,"增值额超过扣除项目金额50%，未超过100%",IF(C80&lt;50%,"增值额未超过扣除项目金额50%"))))</f>
        <v>增值额超过扣除项目金额200%</v>
      </c>
      <c r="F80" s="2501"/>
      <c r="G80" s="2501"/>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2">
        <f ca="1">ROUND(IF(C79&lt;=0,0,IF(C80&gt;=200%,C79*60%-C73*35%,IF(C80&gt;=100%,C79*50%-C73*15%,IF(C80&gt;=50%,C79*40%-C73*5%,IF(C80&lt;50%,C79*30%,0))))),0)</f>
        <v>4235</v>
      </c>
      <c r="D81" s="275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5" t="s">
        <v>1855</v>
      </c>
      <c r="B83" s="3396"/>
      <c r="C83" s="3396"/>
      <c r="D83" s="3396"/>
      <c r="E83" s="3396"/>
      <c r="F83" s="3396"/>
      <c r="G83" s="3396"/>
      <c r="H83" s="33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74" t="s">
        <v>1820</v>
      </c>
      <c r="B84" s="3375"/>
      <c r="C84" s="2157"/>
      <c r="D84" s="2157"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1">
        <f ca="1">ROUND(D45/(1+'数据-取费表'!C42),0)</f>
        <v>7126</v>
      </c>
      <c r="D85" s="174" t="s">
        <v>32</v>
      </c>
      <c r="E85" s="2502"/>
      <c r="F85" s="2501"/>
      <c r="G85" s="2501"/>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1">
        <f ca="1">IF(H88="仅含出让金",C87+C90+C91+C92+C93+C94,C87+C91+C92+C93+C94)</f>
        <v>43</v>
      </c>
      <c r="D86" s="2754"/>
      <c r="E86" s="2502"/>
      <c r="F86" s="2501"/>
      <c r="G86" s="2501"/>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9">
        <f>C88+C89</f>
        <v>0</v>
      </c>
      <c r="D87" s="2750"/>
      <c r="E87" s="2497"/>
      <c r="F87" s="2498"/>
      <c r="G87" s="2498"/>
      <c r="H87" s="2499"/>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5"/>
      <c r="D88" s="2750"/>
      <c r="E88" s="198" t="s">
        <v>1858</v>
      </c>
      <c r="F88" s="2498"/>
      <c r="G88" s="199" t="s">
        <v>1859</v>
      </c>
      <c r="H88" s="1959"/>
      <c r="I88" s="1956"/>
      <c r="J88" s="2694" t="s">
        <v>2787</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9">
        <f>ROUND(C88*D89,0)</f>
        <v>0</v>
      </c>
      <c r="D89" s="2750">
        <f>'数据-取费表'!B48+'数据-取费表'!B49</f>
        <v>3.0499999999999999E-2</v>
      </c>
      <c r="E89" s="198" t="s">
        <v>1860</v>
      </c>
      <c r="F89" s="2498"/>
      <c r="G89" s="2498"/>
      <c r="H89" s="2499"/>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5"/>
      <c r="D90" s="2750"/>
      <c r="E90" s="198" t="str">
        <f>IF(H88="-","土地取得成本中已包含该笔费用"," ")</f>
        <v xml:space="preserve"> </v>
      </c>
      <c r="F90" s="2498"/>
      <c r="G90" s="3438" t="s">
        <v>2628</v>
      </c>
      <c r="H90" s="3439"/>
      <c r="I90" s="1956"/>
      <c r="J90" s="2694" t="s">
        <v>2788</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9">
        <f>IF(H91="——",成本法!C33,I91)</f>
        <v>0</v>
      </c>
      <c r="D91" s="2750"/>
      <c r="E91" s="3353" t="s">
        <v>1864</v>
      </c>
      <c r="F91" s="3354"/>
      <c r="G91" s="3354"/>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9">
        <f>ROUND((C87+C90+C91)*D92,0)</f>
        <v>0</v>
      </c>
      <c r="D92" s="2756"/>
      <c r="E92" s="3353" t="s">
        <v>1867</v>
      </c>
      <c r="F92" s="3354"/>
      <c r="G92" s="3354"/>
      <c r="H92" s="3363"/>
      <c r="I92" s="1956"/>
      <c r="J92" s="2695" t="s">
        <v>2789</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9">
        <f ca="1">ROUND(D45*D93/(1+'数据-取费表'!C42),0)</f>
        <v>43</v>
      </c>
      <c r="D93" s="2750">
        <f>'数据-取费表'!B43</f>
        <v>6.000000000000001E-3</v>
      </c>
      <c r="E93" s="3353" t="s">
        <v>1851</v>
      </c>
      <c r="F93" s="3354"/>
      <c r="G93" s="3354"/>
      <c r="H93" s="3363"/>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5">
        <f>ROUND((C87+C90+C91)*D94,0)</f>
        <v>0</v>
      </c>
      <c r="D94" s="2750">
        <v>0.2</v>
      </c>
      <c r="E94" s="3364" t="s">
        <v>1871</v>
      </c>
      <c r="F94" s="3365"/>
      <c r="G94" s="3365"/>
      <c r="H94" s="3366"/>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1">
        <f ca="1">ROUND(C85-C86,0)</f>
        <v>7083</v>
      </c>
      <c r="D95" s="174" t="s">
        <v>32</v>
      </c>
      <c r="E95" s="2502"/>
      <c r="F95" s="2501"/>
      <c r="G95" s="2501"/>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1">
        <f ca="1">IF(C95&lt;=0,0,C95/C86)</f>
        <v>164.72093023255815</v>
      </c>
      <c r="D96" s="174"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2">
        <f ca="1">ROUND(IF(C95&lt;=0,0,IF(C96&gt;=200%,C95*60%-C86*35%,IF(C96&gt;=100%,C95*50%-C86*15%,IF(C96&gt;=50%,C95*40%-C86*5%,IF(C96&lt;50%,C95*30%,0))))),0)</f>
        <v>4235</v>
      </c>
      <c r="D97" s="275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37" t="s">
        <v>1873</v>
      </c>
      <c r="B100" s="3338"/>
      <c r="C100" s="3338"/>
      <c r="D100" s="3355"/>
      <c r="E100" s="3338" t="s">
        <v>1874</v>
      </c>
      <c r="F100" s="3338"/>
      <c r="G100" s="3338"/>
      <c r="H100" s="3355"/>
      <c r="I100" s="133"/>
    </row>
    <row r="101" spans="1:35" ht="18.75" customHeight="1">
      <c r="A101" s="3419" t="s">
        <v>1875</v>
      </c>
      <c r="B101" s="3420"/>
      <c r="C101" s="2758" t="str">
        <f>C4</f>
        <v>成本法</v>
      </c>
      <c r="D101" s="2759" t="str">
        <f>D4</f>
        <v>收益法</v>
      </c>
      <c r="E101" s="3433" t="s">
        <v>1876</v>
      </c>
      <c r="F101" s="3387"/>
      <c r="G101" s="1962" t="s">
        <v>1877</v>
      </c>
      <c r="H101" s="2768">
        <f ca="1">H118</f>
        <v>7482</v>
      </c>
      <c r="I101" s="133"/>
    </row>
    <row r="102" spans="1:35" ht="18.75" customHeight="1">
      <c r="A102" s="3389" t="s">
        <v>1878</v>
      </c>
      <c r="B102" s="2757" t="s">
        <v>1877</v>
      </c>
      <c r="C102" s="2758">
        <f ca="1">C19</f>
        <v>5635</v>
      </c>
      <c r="D102" s="2759">
        <f ca="1">D19</f>
        <v>8714</v>
      </c>
      <c r="E102" s="3433"/>
      <c r="F102" s="3387"/>
      <c r="G102" s="1962" t="s">
        <v>1879</v>
      </c>
      <c r="H102" s="2728">
        <f ca="1">I118</f>
        <v>5395</v>
      </c>
      <c r="I102" s="133"/>
    </row>
    <row r="103" spans="1:35" ht="42.75" customHeight="1">
      <c r="A103" s="3389"/>
      <c r="B103" s="2757" t="s">
        <v>1879</v>
      </c>
      <c r="C103" s="2760">
        <f ca="1">C20</f>
        <v>4063</v>
      </c>
      <c r="D103" s="2761">
        <f ca="1">D20</f>
        <v>6284</v>
      </c>
      <c r="E103" s="3427" t="s">
        <v>1880</v>
      </c>
      <c r="F103" s="3428"/>
      <c r="G103" s="1963" t="s">
        <v>1881</v>
      </c>
      <c r="H103" s="2768">
        <f>IF(D36="正常操作",H104+H105+H106,H105+H106)</f>
        <v>0</v>
      </c>
      <c r="I103" s="133"/>
    </row>
    <row r="104" spans="1:35" ht="18.75" customHeight="1">
      <c r="A104" s="3389" t="s">
        <v>1882</v>
      </c>
      <c r="B104" s="2762" t="s">
        <v>1877</v>
      </c>
      <c r="C104" s="2763">
        <f ca="1">H118</f>
        <v>7482</v>
      </c>
      <c r="D104" s="2764"/>
      <c r="E104" s="1809" t="s">
        <v>1883</v>
      </c>
      <c r="F104" s="1800"/>
      <c r="G104" s="1963" t="s">
        <v>1881</v>
      </c>
      <c r="H104" s="2769">
        <f>IF(D36="同一抵押权人同一抵押物续贷",C36&amp;"（续贷，未扣减，详见特别提示）",C36)</f>
        <v>0</v>
      </c>
      <c r="I104" s="133"/>
    </row>
    <row r="105" spans="1:35" ht="18.75" customHeight="1" thickBot="1">
      <c r="A105" s="3390"/>
      <c r="B105" s="2765" t="s">
        <v>1879</v>
      </c>
      <c r="C105" s="2766">
        <f ca="1">I118</f>
        <v>5395</v>
      </c>
      <c r="D105" s="2767"/>
      <c r="E105" s="1809" t="s">
        <v>1884</v>
      </c>
      <c r="F105" s="1800"/>
      <c r="G105" s="1963" t="s">
        <v>1881</v>
      </c>
      <c r="H105" s="2770">
        <f>C37</f>
        <v>0</v>
      </c>
      <c r="I105" s="133"/>
    </row>
    <row r="106" spans="1:35" ht="18.75" customHeight="1">
      <c r="A106" s="1882" t="s">
        <v>1885</v>
      </c>
      <c r="B106" s="1882"/>
      <c r="C106" s="1882"/>
      <c r="D106" s="1882"/>
      <c r="E106" s="1964" t="s">
        <v>1886</v>
      </c>
      <c r="F106" s="1800"/>
      <c r="G106" s="1963" t="s">
        <v>1881</v>
      </c>
      <c r="H106" s="2770">
        <f>C38</f>
        <v>0</v>
      </c>
      <c r="I106" s="133"/>
    </row>
    <row r="107" spans="1:35" ht="18.75" customHeight="1">
      <c r="A107" s="133"/>
      <c r="B107" s="133"/>
      <c r="C107" s="133"/>
      <c r="D107" s="133"/>
      <c r="E107" s="3386" t="str">
        <f>IF(项目基本情况!E8="已注销","——","3.房地产抵押价值")</f>
        <v>3.房地产抵押价值</v>
      </c>
      <c r="F107" s="3387"/>
      <c r="G107" s="1962" t="s">
        <v>1877</v>
      </c>
      <c r="H107" s="2768">
        <f ca="1">IF(E107="——","——",H101-H103)</f>
        <v>7482</v>
      </c>
      <c r="I107" s="133"/>
    </row>
    <row r="108" spans="1:35" ht="18.75" customHeight="1">
      <c r="A108" s="133"/>
      <c r="B108" s="133"/>
      <c r="C108" s="133"/>
      <c r="D108" s="133"/>
      <c r="E108" s="3386"/>
      <c r="F108" s="3387"/>
      <c r="G108" s="1962" t="s">
        <v>1879</v>
      </c>
      <c r="H108" s="2728">
        <f ca="1">ROUND(H107*10000/'数据-汇总表'!E3,0)</f>
        <v>5395</v>
      </c>
      <c r="I108" s="133"/>
    </row>
    <row r="109" spans="1:35" ht="18.75" customHeight="1">
      <c r="A109" s="133"/>
      <c r="B109" s="133"/>
      <c r="C109" s="133"/>
      <c r="D109" s="133"/>
      <c r="E109" s="3386" t="str">
        <f>IF(项目基本情况!E8="已注销及未注销","4.抵押担保权已注销时的房地产抵押价值",IF(项目基本情况!E8="已注销","3.抵押担保权已注销时的房地产抵押价值","——"))</f>
        <v>——</v>
      </c>
      <c r="F109" s="3387"/>
      <c r="G109" s="1962" t="s">
        <v>1877</v>
      </c>
      <c r="H109" s="2771" t="str">
        <f>IF(E109="——","——",H101-H105-H106)</f>
        <v>——</v>
      </c>
      <c r="I109" s="133"/>
    </row>
    <row r="110" spans="1:35" ht="18.75" customHeight="1">
      <c r="A110" s="133"/>
      <c r="B110" s="133"/>
      <c r="C110" s="133"/>
      <c r="D110" s="133"/>
      <c r="E110" s="3386"/>
      <c r="F110" s="3387"/>
      <c r="G110" s="1962" t="s">
        <v>1879</v>
      </c>
      <c r="H110" s="2728" t="str">
        <f>IF(H109="——","——",ROUND(H109*10000/'数据-汇总表'!E3,0))</f>
        <v>——</v>
      </c>
      <c r="I110" s="133"/>
    </row>
    <row r="111" spans="1:35" ht="18.75" customHeight="1">
      <c r="A111" s="133"/>
      <c r="B111" s="133"/>
      <c r="C111" s="133"/>
      <c r="D111" s="133"/>
      <c r="E111" s="3421" t="str">
        <f>IF(项目基本情况!E9="抵押净值",IF(OR(项目基本情况!E8="已注销",项目基本情况!E8="房地产抵押价值"),"4.抵押净值","5.抵押净值"),"——")</f>
        <v>——</v>
      </c>
      <c r="F111" s="3388"/>
      <c r="G111" s="1962" t="s">
        <v>1877</v>
      </c>
      <c r="H111" s="2768" t="str">
        <f>IF(E111="——","——",N59)</f>
        <v>——</v>
      </c>
      <c r="I111" s="133"/>
    </row>
    <row r="112" spans="1:35" ht="18.75" customHeight="1" thickBot="1">
      <c r="A112" s="133"/>
      <c r="B112" s="133"/>
      <c r="C112" s="133"/>
      <c r="D112" s="133"/>
      <c r="E112" s="3422"/>
      <c r="F112" s="3423"/>
      <c r="G112" s="1965" t="s">
        <v>1879</v>
      </c>
      <c r="H112" s="2772" t="str">
        <f>IF(E111="——","——",N61)</f>
        <v>——</v>
      </c>
      <c r="I112" s="133"/>
    </row>
    <row r="113" spans="1:27" ht="18.75" customHeight="1">
      <c r="A113" s="133"/>
      <c r="B113" s="133"/>
      <c r="C113" s="133"/>
      <c r="D113" s="133"/>
      <c r="E113" s="3391" t="s">
        <v>1885</v>
      </c>
      <c r="F113" s="3391"/>
      <c r="G113" s="3391"/>
      <c r="H113" s="3391"/>
      <c r="I113" s="133"/>
    </row>
    <row r="114" spans="1:27" ht="3.75" customHeight="1">
      <c r="A114" s="1882"/>
      <c r="B114" s="1882"/>
      <c r="C114" s="1882"/>
      <c r="D114" s="1882"/>
      <c r="E114" s="1944"/>
      <c r="F114" s="1944"/>
      <c r="G114" s="1944"/>
      <c r="H114" s="1944"/>
      <c r="I114" s="1882"/>
    </row>
    <row r="115" spans="1:27" ht="18.75" customHeight="1">
      <c r="A115" s="3404" t="s">
        <v>1887</v>
      </c>
      <c r="B115" s="3405"/>
      <c r="C115" s="3405"/>
      <c r="D115" s="3405"/>
      <c r="E115" s="3405"/>
      <c r="F115" s="3405"/>
      <c r="G115" s="3405"/>
      <c r="H115" s="3405"/>
      <c r="I115" s="3406"/>
    </row>
    <row r="116" spans="1:27" ht="27" customHeight="1">
      <c r="A116" s="3357" t="s">
        <v>1888</v>
      </c>
      <c r="B116" s="3392" t="s">
        <v>1889</v>
      </c>
      <c r="C116" s="3392" t="s">
        <v>1890</v>
      </c>
      <c r="D116" s="3408" t="s">
        <v>1891</v>
      </c>
      <c r="E116" s="3409"/>
      <c r="F116" s="3400" t="s">
        <v>1892</v>
      </c>
      <c r="G116" s="3400"/>
      <c r="H116" s="3357" t="s">
        <v>1893</v>
      </c>
      <c r="I116" s="3357"/>
    </row>
    <row r="117" spans="1:27" ht="18.75" customHeight="1">
      <c r="A117" s="3357"/>
      <c r="B117" s="3393"/>
      <c r="C117" s="3393"/>
      <c r="D117" s="2500" t="s">
        <v>1894</v>
      </c>
      <c r="E117" s="2500" t="s">
        <v>1895</v>
      </c>
      <c r="F117" s="2500" t="s">
        <v>1894</v>
      </c>
      <c r="G117" s="2500" t="s">
        <v>1896</v>
      </c>
      <c r="H117" s="2500" t="s">
        <v>1894</v>
      </c>
      <c r="I117" s="2500" t="s">
        <v>1896</v>
      </c>
    </row>
    <row r="118" spans="1:27" ht="24.75" customHeight="1">
      <c r="A118" s="2773" t="str">
        <f>项目基本情况!S2</f>
        <v>房地产</v>
      </c>
      <c r="B118" s="2500">
        <f>M18</f>
        <v>13867.57</v>
      </c>
      <c r="C118" s="2500">
        <f>M19</f>
        <v>17188</v>
      </c>
      <c r="D118" s="2500">
        <f ca="1">ROUND(IF(D32="总价",C34,E118*B118/10000),0)</f>
        <v>2896</v>
      </c>
      <c r="E118" s="2500">
        <f ca="1">ROUND(IF(C33="自定义",IF(D32="楼面单价",C34,D118*10000/B118),I118-G118),0)</f>
        <v>2088</v>
      </c>
      <c r="F118" s="2500">
        <f ca="1">ROUND(IF(D32="总价",C35,G118*B118/10000),0)</f>
        <v>4586</v>
      </c>
      <c r="G118" s="2500">
        <f ca="1">ROUND(IF(D32="楼面单价",C35,F118*10000/B118),0)</f>
        <v>3307</v>
      </c>
      <c r="H118" s="2500">
        <f ca="1">ROUND(IF(D32="总价",C32,I118*B118/10000),0)</f>
        <v>7482</v>
      </c>
      <c r="I118" s="2500">
        <f ca="1">ROUND(IF(D32="楼面单价",C32,H118*10000/B118),0)</f>
        <v>5395</v>
      </c>
      <c r="J118" s="733">
        <f ca="1">D118/C118</f>
        <v>0.16848964393763091</v>
      </c>
    </row>
    <row r="119" spans="1:27" ht="18.75" customHeight="1">
      <c r="A119" s="3357" t="s">
        <v>1897</v>
      </c>
      <c r="B119" s="3357"/>
      <c r="C119" s="3357"/>
      <c r="D119" s="3397" t="str">
        <f ca="1">NUMBERSTRING(INT(D118*10000),2)&amp;"元整"</f>
        <v>贰仟捌佰玖拾陆万元整</v>
      </c>
      <c r="E119" s="3399"/>
      <c r="F119" s="3397" t="str">
        <f ca="1">NUMBERSTRING(INT(F118*10000),2)&amp;"元整"</f>
        <v>肆仟伍佰捌拾陆万元整</v>
      </c>
      <c r="G119" s="3399"/>
      <c r="H119" s="3397" t="str">
        <f ca="1">NUMBERSTRING(INT(H118*10000),2)&amp;"元整"</f>
        <v>柒仟肆佰捌拾贰万元整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1" t="s">
        <v>1897</v>
      </c>
      <c r="B121" s="3402"/>
      <c r="C121" s="3403"/>
      <c r="D121" s="3397" t="str">
        <f>IF(D120=0,"零元整",NUMBERSTRING(INT(D120*10000),2)&amp;"元整")</f>
        <v>零元整</v>
      </c>
      <c r="E121" s="3398"/>
      <c r="F121" s="3398"/>
      <c r="G121" s="3398"/>
      <c r="H121" s="3398"/>
      <c r="I121" s="3399"/>
      <c r="AA121" s="733"/>
    </row>
    <row r="122" spans="1:27" ht="18.75" customHeight="1">
      <c r="A122" s="3388" t="str">
        <f>IF(项目基本情况!B9="房地产市场价值","",MID(E107,3,LEN(E107)-2))</f>
        <v>房地产抵押价值</v>
      </c>
      <c r="B122" s="3388"/>
      <c r="C122" s="3388"/>
      <c r="D122" s="3424">
        <f ca="1">H107</f>
        <v>7482</v>
      </c>
      <c r="E122" s="3425"/>
      <c r="F122" s="3425"/>
      <c r="G122" s="3425"/>
      <c r="H122" s="3425"/>
      <c r="I122" s="3426"/>
      <c r="AA122" s="733"/>
    </row>
    <row r="123" spans="1:27" ht="18.75" customHeight="1">
      <c r="A123" s="3357" t="s">
        <v>1897</v>
      </c>
      <c r="B123" s="3357"/>
      <c r="C123" s="3357"/>
      <c r="D123" s="3397" t="str">
        <f ca="1">NUMBERSTRING(INT(D122*10000),2)&amp;"元整"</f>
        <v>柒仟肆佰捌拾贰万元整</v>
      </c>
      <c r="E123" s="3398"/>
      <c r="F123" s="3398"/>
      <c r="G123" s="3398"/>
      <c r="H123" s="3398"/>
      <c r="I123" s="3399"/>
      <c r="AA123" s="733"/>
    </row>
    <row r="124" spans="1:27" ht="18.75" customHeight="1">
      <c r="A124" s="3388" t="str">
        <f>IF(项目基本情况!B9="房地产市场价值","",MID(E109,3,LEN(E109)-2))</f>
        <v/>
      </c>
      <c r="B124" s="3388"/>
      <c r="C124" s="3388"/>
      <c r="D124" s="3424" t="str">
        <f>H109</f>
        <v>——</v>
      </c>
      <c r="E124" s="3425"/>
      <c r="F124" s="3425"/>
      <c r="G124" s="3425"/>
      <c r="H124" s="3425"/>
      <c r="I124" s="3426"/>
      <c r="AA124" s="733"/>
    </row>
    <row r="125" spans="1:27" ht="18.75" customHeight="1">
      <c r="A125" s="3357" t="s">
        <v>1897</v>
      </c>
      <c r="B125" s="3357"/>
      <c r="C125" s="3357"/>
      <c r="D125" s="3397" t="e">
        <f>NUMBERSTRING(INT(D124*10000),2)&amp;"元整"</f>
        <v>#VALUE!</v>
      </c>
      <c r="E125" s="3398"/>
      <c r="F125" s="3398"/>
      <c r="G125" s="3398"/>
      <c r="H125" s="3398"/>
      <c r="I125" s="3399"/>
      <c r="AA125" s="733"/>
    </row>
    <row r="126" spans="1:27" ht="18.75" customHeight="1">
      <c r="A126" s="3388" t="str">
        <f>IF(项目基本情况!B9="房地产市场价值","",MID(E111,3,LEN(E111)-2))</f>
        <v/>
      </c>
      <c r="B126" s="3388"/>
      <c r="C126" s="3388"/>
      <c r="D126" s="3424" t="str">
        <f>H111</f>
        <v>——</v>
      </c>
      <c r="E126" s="3425"/>
      <c r="F126" s="3425"/>
      <c r="G126" s="3425"/>
      <c r="H126" s="3425"/>
      <c r="I126" s="3426"/>
      <c r="AA126" s="733"/>
    </row>
    <row r="127" spans="1:27" ht="18.75" customHeight="1">
      <c r="A127" s="3357" t="s">
        <v>1897</v>
      </c>
      <c r="B127" s="3357"/>
      <c r="C127" s="3357"/>
      <c r="D127" s="3397" t="e">
        <f>NUMBERSTRING(INT(D126*10000),2)&amp;"元整"</f>
        <v>#VALUE!</v>
      </c>
      <c r="E127" s="3398"/>
      <c r="F127" s="3398"/>
      <c r="G127" s="3398"/>
      <c r="H127" s="3398"/>
      <c r="I127" s="3399"/>
      <c r="AA127" s="733"/>
    </row>
    <row r="128" spans="1:27" ht="21.75" customHeight="1">
      <c r="A128" s="3407" t="s">
        <v>1898</v>
      </c>
      <c r="B128" s="3407"/>
      <c r="C128" s="3407"/>
      <c r="D128" s="3407"/>
      <c r="E128" s="3407"/>
      <c r="F128" s="3407"/>
      <c r="G128" s="3407"/>
      <c r="H128" s="3407"/>
      <c r="I128" s="3407"/>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0" zoomScaleNormal="70" zoomScaleSheetLayoutView="80" workbookViewId="0">
      <selection activeCell="H26" sqref="H2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40">
        <f>MATCH(B1,'数据-取费表'!A6:A16,0)+5</f>
        <v>7</v>
      </c>
    </row>
    <row r="2" spans="1:9" s="205" customFormat="1" ht="18" customHeight="1">
      <c r="A2" s="206" t="s">
        <v>1907</v>
      </c>
      <c r="B2" s="207">
        <f ca="1">IF(D2="——",C52,C52-E2)</f>
        <v>5635</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4063</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1813</v>
      </c>
      <c r="D5" s="216" t="s">
        <v>1914</v>
      </c>
      <c r="E5" s="217" t="s">
        <v>1915</v>
      </c>
      <c r="F5" s="217" t="s">
        <v>1916</v>
      </c>
      <c r="G5" s="218"/>
    </row>
    <row r="6" spans="1:9" s="219" customFormat="1" ht="13.5" customHeight="1">
      <c r="A6" s="866" t="s">
        <v>1917</v>
      </c>
      <c r="B6" s="220" t="s">
        <v>1918</v>
      </c>
      <c r="C6" s="221">
        <f>'土地比较法-工业'!B2</f>
        <v>1463</v>
      </c>
      <c r="D6" s="222"/>
      <c r="E6" s="223"/>
      <c r="F6" s="223"/>
      <c r="G6" s="224"/>
    </row>
    <row r="7" spans="1:9" s="219" customFormat="1" ht="13.5" customHeight="1">
      <c r="A7" s="866" t="s">
        <v>1919</v>
      </c>
      <c r="B7" s="220" t="s">
        <v>1920</v>
      </c>
      <c r="C7" s="225">
        <f>ROUND(C6*F7,0)</f>
        <v>45</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305</v>
      </c>
      <c r="D8" s="227"/>
      <c r="E8" s="225"/>
      <c r="F8" s="226"/>
      <c r="G8" s="1991" t="s">
        <v>3552</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2" t="s">
        <v>3553</v>
      </c>
      <c r="H9" s="1251"/>
      <c r="I9" s="1993" t="s">
        <v>1924</v>
      </c>
    </row>
    <row r="10" spans="1:9" s="219" customFormat="1" ht="13.5" customHeight="1">
      <c r="A10" s="867" t="s">
        <v>620</v>
      </c>
      <c r="B10" s="229" t="s">
        <v>1925</v>
      </c>
      <c r="C10" s="230">
        <f ca="1">ROUND(D10*E10/10000,0)</f>
        <v>305</v>
      </c>
      <c r="D10" s="934">
        <f ca="1">IF(B1="",'数据-汇总表'!E6,IF(INDIRECT("'数据-取费表'!c"&amp;$G$1)="住宅",INDIRECT("'数据-取费表'!s"&amp;$G$1),INDIRECT("'数据-取费表'!k"&amp;$G$1)+INDIRECT("'数据-取费表'!s"&amp;$G$1)))</f>
        <v>13867.57</v>
      </c>
      <c r="E10" s="230">
        <f>'数据-取费表'!B28</f>
        <v>220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8" s="219" customFormat="1" ht="13.5" hidden="1" customHeight="1">
      <c r="A17" s="232" t="s">
        <v>13</v>
      </c>
      <c r="B17" s="220" t="s">
        <v>1933</v>
      </c>
      <c r="C17" s="234"/>
      <c r="D17" s="937"/>
      <c r="E17" s="234"/>
      <c r="F17" s="234"/>
      <c r="G17" s="224" t="s">
        <v>1932</v>
      </c>
    </row>
    <row r="18" spans="1:8" s="219" customFormat="1" ht="13.5" hidden="1" customHeight="1">
      <c r="A18" s="232" t="s">
        <v>14</v>
      </c>
      <c r="B18" s="220" t="s">
        <v>1934</v>
      </c>
      <c r="C18" s="225">
        <v>0</v>
      </c>
      <c r="D18" s="936"/>
      <c r="E18" s="223"/>
      <c r="F18" s="226">
        <v>3.0499999999999999E-2</v>
      </c>
      <c r="G18" s="224" t="s">
        <v>1935</v>
      </c>
    </row>
    <row r="19" spans="1:8" s="228" customFormat="1" ht="13.5" customHeight="1">
      <c r="A19" s="260" t="s">
        <v>1936</v>
      </c>
      <c r="B19" s="215" t="s">
        <v>1937</v>
      </c>
      <c r="C19" s="216" t="str">
        <f>IF(G19="已包含在土地取得成本中","0",ROUND(D19*E19/10000,0))</f>
        <v>0</v>
      </c>
      <c r="D19" s="938">
        <f ca="1">D9+D10</f>
        <v>13867.57</v>
      </c>
      <c r="E19" s="216">
        <f>'数据-取费表'!B31</f>
        <v>200</v>
      </c>
      <c r="F19" s="236"/>
      <c r="G19" s="1991" t="s">
        <v>3554</v>
      </c>
    </row>
    <row r="20" spans="1:8" s="219" customFormat="1" ht="13.5" customHeight="1">
      <c r="A20" s="260" t="s">
        <v>1938</v>
      </c>
      <c r="B20" s="215" t="s">
        <v>1939</v>
      </c>
      <c r="C20" s="237">
        <f ca="1">ROUND((C5+C19)*F20,0)</f>
        <v>36</v>
      </c>
      <c r="D20" s="237"/>
      <c r="E20" s="237"/>
      <c r="F20" s="238">
        <f>'数据-取费表'!B37</f>
        <v>0.02</v>
      </c>
      <c r="G20" s="239" t="s">
        <v>1940</v>
      </c>
    </row>
    <row r="21" spans="1:8" s="219" customFormat="1" ht="13.5" customHeight="1">
      <c r="A21" s="260" t="s">
        <v>1941</v>
      </c>
      <c r="B21" s="215" t="s">
        <v>1942</v>
      </c>
      <c r="C21" s="240">
        <f>F21</f>
        <v>0.02</v>
      </c>
      <c r="D21" s="241" t="s">
        <v>1943</v>
      </c>
      <c r="E21" s="237"/>
      <c r="F21" s="238">
        <f>'数据-取费表'!B38</f>
        <v>0.02</v>
      </c>
      <c r="G21" s="239" t="s">
        <v>1944</v>
      </c>
    </row>
    <row r="22" spans="1:8" s="219" customFormat="1" ht="13.5" customHeight="1">
      <c r="A22" s="260" t="s">
        <v>1945</v>
      </c>
      <c r="B22" s="215" t="s">
        <v>1946</v>
      </c>
      <c r="C22" s="1216">
        <f ca="1">ROUND(SUM(C23:C25),0)</f>
        <v>77</v>
      </c>
      <c r="D22" s="240">
        <f ca="1">C26</f>
        <v>4.0000000000000002E-4</v>
      </c>
      <c r="E22" s="241" t="s">
        <v>1943</v>
      </c>
      <c r="F22" s="242">
        <f ca="1">'数据-取费表'!B40</f>
        <v>4.2000000000000003E-2</v>
      </c>
      <c r="G22" s="239" t="str">
        <f>IF('数据-取费表'!B22&lt;=1,"单利计息","复利计息")</f>
        <v>单利计息</v>
      </c>
    </row>
    <row r="23" spans="1:8" s="219" customFormat="1" ht="13.5" customHeight="1">
      <c r="A23" s="868" t="s">
        <v>1947</v>
      </c>
      <c r="B23" s="220" t="s">
        <v>1948</v>
      </c>
      <c r="C23" s="1217">
        <f ca="1">ROUND(IF('数据-取费表'!B22&lt;=1,C5*F22*'数据-取费表'!B23,C5*(POWER((1+F22),'数据-取费表'!B23)-1)),0)</f>
        <v>76</v>
      </c>
      <c r="D23" s="243"/>
      <c r="E23" s="243"/>
      <c r="F23" s="244"/>
      <c r="G23" s="245" t="s">
        <v>1949</v>
      </c>
    </row>
    <row r="24" spans="1:8"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8" s="219" customFormat="1" ht="24">
      <c r="A25" s="868" t="s">
        <v>1953</v>
      </c>
      <c r="B25" s="220" t="s">
        <v>1954</v>
      </c>
      <c r="C25" s="1217">
        <f ca="1">ROUND(IF('数据-取费表'!B22&lt;=1,C20*F22*'数据-取费表'!B23/2,C20*(POWER((1+F22),'数据-取费表'!B23/2)-1)),0)</f>
        <v>1</v>
      </c>
      <c r="D25" s="243"/>
      <c r="E25" s="246"/>
      <c r="F25" s="244"/>
      <c r="G25" s="247" t="s">
        <v>1955</v>
      </c>
      <c r="H25" s="219">
        <f>1813*4.2%*(0+1)+36*4.2%*1/2</f>
        <v>76.902000000000001</v>
      </c>
    </row>
    <row r="26" spans="1:8" s="219" customFormat="1">
      <c r="A26" s="868" t="s">
        <v>614</v>
      </c>
      <c r="B26" s="220" t="s">
        <v>1956</v>
      </c>
      <c r="C26" s="243">
        <f ca="1">ROUND(IF('数据-取费表'!B22&lt;=1,F21*F22*'数据-取费表'!B23/2,F21*(POWER((1+F22),'数据-取费表'!B23/2)-1)),4)</f>
        <v>4.0000000000000002E-4</v>
      </c>
      <c r="D26" s="243"/>
      <c r="E26" s="246"/>
      <c r="F26" s="244"/>
      <c r="G26" s="248"/>
    </row>
    <row r="27" spans="1:8" s="219" customFormat="1" ht="24.75">
      <c r="A27" s="260" t="s">
        <v>1957</v>
      </c>
      <c r="B27" s="249" t="s">
        <v>1958</v>
      </c>
      <c r="C27" s="250">
        <f ca="1">C28</f>
        <v>92</v>
      </c>
      <c r="D27" s="240">
        <f ca="1">C29</f>
        <v>1E-3</v>
      </c>
      <c r="E27" s="241" t="s">
        <v>1959</v>
      </c>
      <c r="F27" s="251">
        <f ca="1">IF(B1="",'数据-取费表'!Q16,INDIRECT("'数据-取费表'!q"&amp;$G$1))</f>
        <v>0.05</v>
      </c>
      <c r="G27" s="252" t="s">
        <v>1960</v>
      </c>
    </row>
    <row r="28" spans="1:8" s="219" customFormat="1" ht="13.5" customHeight="1">
      <c r="A28" s="868" t="s">
        <v>610</v>
      </c>
      <c r="B28" s="253" t="s">
        <v>1961</v>
      </c>
      <c r="C28" s="254">
        <f ca="1">ROUND((C5+C19+C20)*F27*'数据-取费表'!B21/'数据-取费表'!B20,0)</f>
        <v>92</v>
      </c>
      <c r="D28" s="240"/>
      <c r="E28" s="241"/>
      <c r="F28" s="251"/>
      <c r="G28" s="252"/>
    </row>
    <row r="29" spans="1:8" s="219" customFormat="1" ht="13.5" customHeight="1">
      <c r="A29" s="868" t="s">
        <v>611</v>
      </c>
      <c r="B29" s="253" t="s">
        <v>1962</v>
      </c>
      <c r="C29" s="243">
        <f ca="1">ROUND(C21*F27*'数据-取费表'!B21/'数据-取费表'!B20,4)</f>
        <v>1E-3</v>
      </c>
      <c r="D29" s="240"/>
      <c r="E29" s="241"/>
      <c r="F29" s="251"/>
      <c r="G29" s="252"/>
    </row>
    <row r="30" spans="1:8" s="219" customFormat="1" ht="13.5" customHeight="1">
      <c r="A30" s="260" t="s">
        <v>1963</v>
      </c>
      <c r="B30" s="215" t="s">
        <v>1964</v>
      </c>
      <c r="C30" s="240">
        <f>ROUND(F30/(1+'数据-取费表'!C42),4)</f>
        <v>5.33E-2</v>
      </c>
      <c r="D30" s="241" t="s">
        <v>1959</v>
      </c>
      <c r="E30" s="246"/>
      <c r="F30" s="242">
        <f>'数据-取费表'!B41</f>
        <v>5.6000000000000001E-2</v>
      </c>
      <c r="G30" s="239" t="s">
        <v>1965</v>
      </c>
    </row>
    <row r="31" spans="1:8" ht="16.5" customHeight="1">
      <c r="A31" s="214">
        <v>1</v>
      </c>
      <c r="B31" s="215" t="s">
        <v>1966</v>
      </c>
      <c r="C31" s="216">
        <f ca="1">ROUND((C5+C19+C20+C22+C27)/(1-C21-D22-D27-C30),0)</f>
        <v>2181</v>
      </c>
      <c r="D31" s="235"/>
      <c r="E31" s="216"/>
      <c r="F31" s="255"/>
      <c r="G31" s="239" t="s">
        <v>1967</v>
      </c>
    </row>
    <row r="32" spans="1:8" s="213" customFormat="1" ht="15.75">
      <c r="A32" s="257" t="s">
        <v>1968</v>
      </c>
      <c r="B32" s="258"/>
      <c r="C32" s="258"/>
      <c r="D32" s="258"/>
      <c r="E32" s="258"/>
      <c r="F32" s="258"/>
      <c r="G32" s="259"/>
    </row>
    <row r="33" spans="1:7" s="219" customFormat="1" ht="13.5" customHeight="1">
      <c r="A33" s="260" t="s">
        <v>601</v>
      </c>
      <c r="B33" s="215" t="s">
        <v>1969</v>
      </c>
      <c r="C33" s="261">
        <f ca="1">SUM(C34:C38)</f>
        <v>3900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3467</v>
      </c>
      <c r="D34" s="222"/>
      <c r="E34" s="225"/>
      <c r="F34" s="262">
        <f ca="1">IF('数据-取费表'!B24=0,1,IF(B1="",'数据-取费表'!N16,INDIRECT("'数据-取费表'!n"&amp;$G$1)))</f>
        <v>1</v>
      </c>
      <c r="G34" s="224" t="s">
        <v>1971</v>
      </c>
    </row>
    <row r="35" spans="1:7" ht="13.5" customHeight="1">
      <c r="A35" s="868" t="s">
        <v>615</v>
      </c>
      <c r="B35" s="220" t="s">
        <v>1972</v>
      </c>
      <c r="C35" s="225">
        <f ca="1">ROUND(C34*F35,0)</f>
        <v>104</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1975</v>
      </c>
    </row>
    <row r="37" spans="1:7" s="263" customFormat="1" ht="13.5" customHeight="1">
      <c r="A37" s="868" t="s">
        <v>617</v>
      </c>
      <c r="B37" s="220" t="s">
        <v>1976</v>
      </c>
      <c r="C37" s="254">
        <f ca="1">ROUND(E37*D37*F34/10000,0)</f>
        <v>277</v>
      </c>
      <c r="D37" s="222">
        <f ca="1">D19</f>
        <v>13867.57</v>
      </c>
      <c r="E37" s="254">
        <f>'数据-取费表'!B35</f>
        <v>200</v>
      </c>
      <c r="F37" s="264"/>
      <c r="G37" s="266" t="s">
        <v>1977</v>
      </c>
    </row>
    <row r="38" spans="1:7" ht="13.5" customHeight="1">
      <c r="A38" s="868" t="s">
        <v>618</v>
      </c>
      <c r="B38" s="220" t="s">
        <v>1978</v>
      </c>
      <c r="C38" s="225">
        <f ca="1">ROUND(C34*F38,0)</f>
        <v>52</v>
      </c>
      <c r="D38" s="225"/>
      <c r="E38" s="225"/>
      <c r="F38" s="264">
        <f>'数据-取费表'!B36</f>
        <v>1.4999999999999999E-2</v>
      </c>
      <c r="G38" s="224" t="s">
        <v>1973</v>
      </c>
    </row>
    <row r="39" spans="1:7" s="219" customFormat="1" ht="13.5" customHeight="1">
      <c r="A39" s="260" t="s">
        <v>1979</v>
      </c>
      <c r="B39" s="215" t="s">
        <v>1980</v>
      </c>
      <c r="C39" s="237">
        <f ca="1">ROUND(C33*F20,0)</f>
        <v>78</v>
      </c>
      <c r="D39" s="237"/>
      <c r="E39" s="237"/>
      <c r="F39" s="2483">
        <f>F20</f>
        <v>0.02</v>
      </c>
      <c r="G39" s="239" t="s">
        <v>1981</v>
      </c>
    </row>
    <row r="40" spans="1:7" s="219" customFormat="1" ht="13.5" customHeight="1">
      <c r="A40" s="260" t="s">
        <v>1982</v>
      </c>
      <c r="B40" s="215" t="s">
        <v>1983</v>
      </c>
      <c r="C40" s="1446">
        <f>F21</f>
        <v>0.02</v>
      </c>
      <c r="D40" s="241" t="s">
        <v>1984</v>
      </c>
      <c r="E40" s="237"/>
      <c r="F40" s="2483">
        <f>F21</f>
        <v>0.02</v>
      </c>
      <c r="G40" s="239" t="s">
        <v>1985</v>
      </c>
    </row>
    <row r="41" spans="1:7" s="219" customFormat="1" ht="13.5" customHeight="1">
      <c r="A41" s="260" t="s">
        <v>1986</v>
      </c>
      <c r="B41" s="215" t="s">
        <v>1987</v>
      </c>
      <c r="C41" s="237">
        <f ca="1">ROUND(SUM(C42:C43),0)</f>
        <v>84</v>
      </c>
      <c r="D41" s="240">
        <f ca="1">C44</f>
        <v>4.0000000000000002E-4</v>
      </c>
      <c r="E41" s="241" t="s">
        <v>1984</v>
      </c>
      <c r="F41" s="2484">
        <f ca="1">F22</f>
        <v>4.2000000000000003E-2</v>
      </c>
      <c r="G41" s="239" t="str">
        <f>IF('数据-取费表'!B22&lt;=1,"单利计息","复利计息")</f>
        <v>单利计息</v>
      </c>
    </row>
    <row r="42" spans="1:7" ht="13.5" customHeight="1">
      <c r="A42" s="868" t="s">
        <v>610</v>
      </c>
      <c r="B42" s="220" t="s">
        <v>1988</v>
      </c>
      <c r="C42" s="243">
        <f ca="1">ROUND(IF('数据-取费表'!B22&lt;=1,C33*F22*'数据-取费表'!B21/2,C33*(POWER((1+F22),'数据-取费表'!B21/2)-1)),0)</f>
        <v>82</v>
      </c>
      <c r="D42" s="243"/>
      <c r="E42" s="243"/>
      <c r="F42" s="244"/>
      <c r="G42" s="3440" t="s">
        <v>1989</v>
      </c>
    </row>
    <row r="43" spans="1:7" ht="13.5" customHeight="1">
      <c r="A43" s="868" t="s">
        <v>611</v>
      </c>
      <c r="B43" s="220" t="s">
        <v>1990</v>
      </c>
      <c r="C43" s="243">
        <f ca="1">ROUND(IF('数据-取费表'!B22&lt;=1,C39*F22*'数据-取费表'!B21/2,C39*(POWER((1+F22),'数据-取费表'!B21/2)-1)),0)</f>
        <v>2</v>
      </c>
      <c r="D43" s="243"/>
      <c r="E43" s="243"/>
      <c r="F43" s="244"/>
      <c r="G43" s="3441"/>
    </row>
    <row r="44" spans="1:7" ht="13.5" customHeight="1">
      <c r="A44" s="868" t="s">
        <v>612</v>
      </c>
      <c r="B44" s="220" t="s">
        <v>1991</v>
      </c>
      <c r="C44" s="243">
        <f ca="1">ROUND(IF('数据-取费表'!B22&lt;=1,C40*F22*'数据-取费表'!B21/2,C40*(POWER((1+F22),'数据-取费表'!B21/2)-1)),4)</f>
        <v>4.0000000000000002E-4</v>
      </c>
      <c r="D44" s="243"/>
      <c r="E44" s="243"/>
      <c r="F44" s="244"/>
      <c r="G44" s="3442"/>
    </row>
    <row r="45" spans="1:7" s="219" customFormat="1" ht="13.5" customHeight="1">
      <c r="A45" s="260" t="s">
        <v>1992</v>
      </c>
      <c r="B45" s="249" t="s">
        <v>1958</v>
      </c>
      <c r="C45" s="250">
        <f ca="1">C46</f>
        <v>199</v>
      </c>
      <c r="D45" s="240">
        <f ca="1">C47</f>
        <v>1E-3</v>
      </c>
      <c r="E45" s="241" t="s">
        <v>1984</v>
      </c>
      <c r="F45" s="2485">
        <f ca="1">F27</f>
        <v>0.05</v>
      </c>
      <c r="G45" s="252" t="s">
        <v>1993</v>
      </c>
    </row>
    <row r="46" spans="1:7" s="219" customFormat="1" ht="13.5" customHeight="1">
      <c r="A46" s="868" t="s">
        <v>610</v>
      </c>
      <c r="B46" s="253" t="s">
        <v>1994</v>
      </c>
      <c r="C46" s="254">
        <f ca="1">ROUND((C33+C39)*F27,0)</f>
        <v>199</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1446">
        <f>ROUND(F30/(1+'数据-取费表'!C42),4)</f>
        <v>5.33E-2</v>
      </c>
      <c r="D48" s="241" t="s">
        <v>1984</v>
      </c>
      <c r="E48" s="237"/>
      <c r="F48" s="2484">
        <f>F30</f>
        <v>5.6000000000000001E-2</v>
      </c>
      <c r="G48" s="239" t="s">
        <v>1997</v>
      </c>
    </row>
    <row r="49" spans="1:7" ht="16.5" customHeight="1">
      <c r="A49" s="260" t="s">
        <v>1963</v>
      </c>
      <c r="B49" s="215" t="s">
        <v>1998</v>
      </c>
      <c r="C49" s="237">
        <f ca="1">ROUND((C33+C39+C41+C45)/(1-C40-D41-D45-C48),0)</f>
        <v>4605</v>
      </c>
      <c r="D49" s="237"/>
      <c r="E49" s="237"/>
      <c r="F49" s="269"/>
      <c r="G49" s="239" t="s">
        <v>1999</v>
      </c>
    </row>
    <row r="50" spans="1:7" s="263" customFormat="1" ht="24">
      <c r="A50" s="260" t="s">
        <v>2000</v>
      </c>
      <c r="B50" s="215" t="s">
        <v>2001</v>
      </c>
      <c r="C50" s="237"/>
      <c r="D50" s="237"/>
      <c r="E50" s="237"/>
      <c r="F50" s="269">
        <f>IF('数据-取费表'!B24=0,'数据-取费表'!N16,1)</f>
        <v>0.75</v>
      </c>
      <c r="G50" s="252" t="s">
        <v>2002</v>
      </c>
    </row>
    <row r="51" spans="1:7" ht="16.5" customHeight="1">
      <c r="A51" s="260" t="s">
        <v>2003</v>
      </c>
      <c r="B51" s="215" t="s">
        <v>2004</v>
      </c>
      <c r="C51" s="237">
        <f ca="1">ROUND(C49*F50,0)</f>
        <v>3454</v>
      </c>
      <c r="D51" s="237"/>
      <c r="E51" s="237"/>
      <c r="F51" s="269"/>
      <c r="G51" s="239" t="s">
        <v>2005</v>
      </c>
    </row>
    <row r="52" spans="1:7" s="213" customFormat="1" ht="16.5" thickBot="1">
      <c r="A52" s="270" t="s">
        <v>2006</v>
      </c>
      <c r="B52" s="271"/>
      <c r="C52" s="272">
        <f ca="1">C31+C51</f>
        <v>5635</v>
      </c>
      <c r="D52" s="271"/>
      <c r="E52" s="271"/>
      <c r="F52" s="271"/>
      <c r="G52" s="273"/>
    </row>
    <row r="55" spans="1:7" ht="15">
      <c r="B55" s="275" t="s">
        <v>2007</v>
      </c>
      <c r="C55" s="276"/>
    </row>
    <row r="56" spans="1:7">
      <c r="B56" s="278" t="s">
        <v>1237</v>
      </c>
      <c r="C56" s="280">
        <f ca="1">1-C57</f>
        <v>0.38700000000000001</v>
      </c>
    </row>
    <row r="57" spans="1:7">
      <c r="B57" s="278" t="s">
        <v>1238</v>
      </c>
      <c r="C57" s="279">
        <f ca="1">ROUND(C51/C52,3)</f>
        <v>0.61299999999999999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1" t="str">
        <f>项目基本情况!B1</f>
        <v>房地产抵押价值预评估</v>
      </c>
      <c r="C37" s="3251"/>
      <c r="D37" s="3251"/>
      <c r="E37" s="3251"/>
      <c r="F37" s="3251"/>
      <c r="G37" s="3251"/>
      <c r="H37" s="3251"/>
      <c r="I37" s="3251"/>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 ca="1">项目基本情况!K4</f>
        <v>崔锴（注册号：0)、郑燚（注册号：1120070131)</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4154</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2995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3050865</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3050865</v>
      </c>
      <c r="D8" s="227"/>
      <c r="E8" s="225"/>
      <c r="F8" s="226"/>
      <c r="G8" s="1991"/>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3050865</v>
      </c>
      <c r="D10" s="934">
        <f ca="1">IF(B1="",'数据-汇总表'!E6,IF(INDIRECT("'数据-取费表'!c"&amp;$G$1)="住宅",INDIRECT("'数据-取费表'!s"&amp;$G$1),INDIRECT("'数据-取费表'!k"&amp;$G$1)+INDIRECT("'数据-取费表'!s"&amp;$G$1)))</f>
        <v>13867.57</v>
      </c>
      <c r="E10" s="230">
        <f>'数据-取费表'!B28</f>
        <v>220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2773514</v>
      </c>
      <c r="D19" s="938">
        <f ca="1">D9+D10</f>
        <v>13867.57</v>
      </c>
      <c r="E19" s="216">
        <f>'数据-取费表'!B31</f>
        <v>200</v>
      </c>
      <c r="F19" s="236"/>
      <c r="G19" s="1991"/>
    </row>
    <row r="20" spans="1:7" s="219" customFormat="1" ht="13.5" customHeight="1">
      <c r="A20" s="260" t="s">
        <v>2019</v>
      </c>
      <c r="B20" s="215" t="s">
        <v>2020</v>
      </c>
      <c r="C20" s="237">
        <f ca="1">ROUND((C5+C19)*F20,0)</f>
        <v>116488</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247070</v>
      </c>
      <c r="D22" s="240">
        <f ca="1">C26</f>
        <v>4.0000000000000002E-4</v>
      </c>
      <c r="E22" s="241" t="s">
        <v>2024</v>
      </c>
      <c r="F22" s="242">
        <f ca="1">'数据-取费表'!B40</f>
        <v>4.2000000000000003E-2</v>
      </c>
      <c r="G22" s="239" t="str">
        <f>IF('数据-取费表'!B22&lt;=1,"单利计息","复利计息")</f>
        <v>单利计息</v>
      </c>
    </row>
    <row r="23" spans="1:7" s="219" customFormat="1" ht="13.5" customHeight="1">
      <c r="A23" s="868" t="s">
        <v>1917</v>
      </c>
      <c r="B23" s="220" t="s">
        <v>2028</v>
      </c>
      <c r="C23" s="1242">
        <f ca="1">ROUND(IF('数据-取费表'!B22&lt;=1,C5*F22*'数据-取费表'!B22,C5*(POWER((1+F22),'数据-取费表'!B22)-1)),0)</f>
        <v>128136</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116488</v>
      </c>
      <c r="D24" s="243"/>
      <c r="E24" s="243"/>
      <c r="F24" s="244"/>
      <c r="G24" s="245" t="s">
        <v>2031</v>
      </c>
    </row>
    <row r="25" spans="1:7" s="219" customFormat="1" ht="24">
      <c r="A25" s="868" t="s">
        <v>1921</v>
      </c>
      <c r="B25" s="220" t="s">
        <v>2032</v>
      </c>
      <c r="C25" s="1242">
        <f ca="1">ROUND(IF('数据-取费表'!B22&lt;=1,C20*F22*'数据-取费表'!B22/2,C20*(POWER((1+F22),'数据-取费表'!B22/2)-1)),0)</f>
        <v>2446</v>
      </c>
      <c r="D25" s="243"/>
      <c r="E25" s="246"/>
      <c r="F25" s="244"/>
      <c r="G25" s="247" t="s">
        <v>2033</v>
      </c>
    </row>
    <row r="26" spans="1:7" s="219" customFormat="1">
      <c r="A26" s="868" t="s">
        <v>614</v>
      </c>
      <c r="B26" s="220" t="s">
        <v>1956</v>
      </c>
      <c r="C26" s="243">
        <f ca="1">ROUND(IF('数据-取费表'!B22&lt;=1,F21*F22*'数据-取费表'!B22/2,F21*(POWER((1+F22),'数据-取费表'!B22/2)-1)),4)</f>
        <v>4.0000000000000002E-4</v>
      </c>
      <c r="D26" s="243"/>
      <c r="E26" s="246"/>
      <c r="F26" s="244"/>
      <c r="G26" s="248"/>
    </row>
    <row r="27" spans="1:7" s="219" customFormat="1" ht="24.75">
      <c r="A27" s="260" t="s">
        <v>1957</v>
      </c>
      <c r="B27" s="249" t="s">
        <v>1958</v>
      </c>
      <c r="C27" s="250">
        <f ca="1">C28</f>
        <v>297043</v>
      </c>
      <c r="D27" s="240">
        <f ca="1">C29</f>
        <v>1E-3</v>
      </c>
      <c r="E27" s="241" t="s">
        <v>1959</v>
      </c>
      <c r="F27" s="251">
        <f ca="1">IF(B1="",'数据-取费表'!Q16,INDIRECT("'数据-取费表'!q"&amp;$G$1))</f>
        <v>0.05</v>
      </c>
      <c r="G27" s="252" t="s">
        <v>1960</v>
      </c>
    </row>
    <row r="28" spans="1:7" s="219" customFormat="1" ht="13.5" customHeight="1">
      <c r="A28" s="868" t="s">
        <v>610</v>
      </c>
      <c r="B28" s="253" t="s">
        <v>1961</v>
      </c>
      <c r="C28" s="254">
        <f ca="1">ROUND((C5+C19+C20)*F27,0)</f>
        <v>297043</v>
      </c>
      <c r="D28" s="240"/>
      <c r="E28" s="241"/>
      <c r="F28" s="251"/>
      <c r="G28" s="252"/>
    </row>
    <row r="29" spans="1:7" s="219" customFormat="1" ht="13.5" customHeight="1">
      <c r="A29" s="868" t="s">
        <v>611</v>
      </c>
      <c r="B29" s="253" t="s">
        <v>1962</v>
      </c>
      <c r="C29" s="243">
        <f ca="1">ROUND(C21*F27,4)</f>
        <v>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7008516</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39002541</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34668925</v>
      </c>
      <c r="D34" s="222"/>
      <c r="E34" s="225"/>
      <c r="F34" s="262"/>
      <c r="G34" s="224"/>
    </row>
    <row r="35" spans="1:7" ht="13.5" customHeight="1">
      <c r="A35" s="868" t="s">
        <v>615</v>
      </c>
      <c r="B35" s="220" t="s">
        <v>1972</v>
      </c>
      <c r="C35" s="225">
        <f ca="1">ROUND(C34*F35,0)</f>
        <v>1040068</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0.05</v>
      </c>
      <c r="G36" s="265" t="s">
        <v>1975</v>
      </c>
    </row>
    <row r="37" spans="1:7" s="263" customFormat="1" ht="13.5" customHeight="1">
      <c r="A37" s="868" t="s">
        <v>617</v>
      </c>
      <c r="B37" s="220" t="s">
        <v>1976</v>
      </c>
      <c r="C37" s="254">
        <f ca="1">ROUND(E37*D37,0)</f>
        <v>2773514</v>
      </c>
      <c r="D37" s="222">
        <f ca="1">D19</f>
        <v>13867.57</v>
      </c>
      <c r="E37" s="254">
        <f>'数据-取费表'!B35</f>
        <v>200</v>
      </c>
      <c r="F37" s="264"/>
      <c r="G37" s="266"/>
    </row>
    <row r="38" spans="1:7" ht="13.5" customHeight="1">
      <c r="A38" s="868" t="s">
        <v>618</v>
      </c>
      <c r="B38" s="220" t="s">
        <v>1978</v>
      </c>
      <c r="C38" s="225">
        <f ca="1">ROUND(C34*F38,0)</f>
        <v>520034</v>
      </c>
      <c r="D38" s="225"/>
      <c r="E38" s="225"/>
      <c r="F38" s="264">
        <f>'数据-取费表'!B36</f>
        <v>1.4999999999999999E-2</v>
      </c>
      <c r="G38" s="224" t="s">
        <v>1973</v>
      </c>
    </row>
    <row r="39" spans="1:7" s="219" customFormat="1" ht="13.5" customHeight="1">
      <c r="A39" s="260" t="s">
        <v>1979</v>
      </c>
      <c r="B39" s="215" t="s">
        <v>1980</v>
      </c>
      <c r="C39" s="237">
        <f ca="1">ROUND(C33*F20,0)</f>
        <v>780051</v>
      </c>
      <c r="D39" s="237"/>
      <c r="E39" s="237"/>
      <c r="F39" s="2483">
        <f>F20</f>
        <v>0.02</v>
      </c>
      <c r="G39" s="239" t="s">
        <v>1981</v>
      </c>
    </row>
    <row r="40" spans="1:7" s="219" customFormat="1" ht="13.5" customHeight="1">
      <c r="A40" s="260" t="s">
        <v>1982</v>
      </c>
      <c r="B40" s="215" t="s">
        <v>1983</v>
      </c>
      <c r="C40" s="1446">
        <f>F21</f>
        <v>0.02</v>
      </c>
      <c r="D40" s="241" t="s">
        <v>1984</v>
      </c>
      <c r="E40" s="237"/>
      <c r="F40" s="2483">
        <f>F21</f>
        <v>0.02</v>
      </c>
      <c r="G40" s="239" t="s">
        <v>1985</v>
      </c>
    </row>
    <row r="41" spans="1:7" s="219" customFormat="1" ht="13.5" customHeight="1">
      <c r="A41" s="260" t="s">
        <v>1986</v>
      </c>
      <c r="B41" s="215" t="s">
        <v>1987</v>
      </c>
      <c r="C41" s="237">
        <f ca="1">ROUND(SUM(C42:C43),0)</f>
        <v>835434</v>
      </c>
      <c r="D41" s="240">
        <f ca="1">C44</f>
        <v>4.0000000000000002E-4</v>
      </c>
      <c r="E41" s="241" t="s">
        <v>1984</v>
      </c>
      <c r="F41" s="2484">
        <f ca="1">F22</f>
        <v>4.2000000000000003E-2</v>
      </c>
      <c r="G41" s="239" t="str">
        <f>IF('数据-取费表'!B22&lt;=1,"单利计息","复利计息")</f>
        <v>单利计息</v>
      </c>
    </row>
    <row r="42" spans="1:7" ht="13.5" customHeight="1">
      <c r="A42" s="868" t="s">
        <v>610</v>
      </c>
      <c r="B42" s="220" t="s">
        <v>1988</v>
      </c>
      <c r="C42" s="243">
        <f ca="1">ROUND(IF('数据-取费表'!B22&lt;=1,C33*F22*'数据-取费表'!B20/2,C33*(POWER((1+F22),'数据-取费表'!B20/2)-1)),0)</f>
        <v>819053</v>
      </c>
      <c r="D42" s="243"/>
      <c r="E42" s="243"/>
      <c r="F42" s="244"/>
      <c r="G42" s="3440" t="s">
        <v>2036</v>
      </c>
    </row>
    <row r="43" spans="1:7" ht="13.5" customHeight="1">
      <c r="A43" s="868" t="s">
        <v>611</v>
      </c>
      <c r="B43" s="220" t="s">
        <v>1990</v>
      </c>
      <c r="C43" s="243">
        <f ca="1">ROUND(IF('数据-取费表'!B22&lt;=1,C39*F22*'数据-取费表'!B20/2,C39*(POWER((1+F22),'数据-取费表'!B20/2)-1)),0)</f>
        <v>16381</v>
      </c>
      <c r="D43" s="243"/>
      <c r="E43" s="243"/>
      <c r="F43" s="244"/>
      <c r="G43" s="3441"/>
    </row>
    <row r="44" spans="1:7" ht="13.5" customHeight="1">
      <c r="A44" s="868" t="s">
        <v>612</v>
      </c>
      <c r="B44" s="220" t="s">
        <v>1991</v>
      </c>
      <c r="C44" s="243">
        <f ca="1">ROUND(IF('数据-取费表'!B22&lt;=1,C40*F22*'数据-取费表'!B20/2,C40*(POWER((1+F22),'数据-取费表'!B20/2)-1)),4)</f>
        <v>4.0000000000000002E-4</v>
      </c>
      <c r="D44" s="243"/>
      <c r="E44" s="243"/>
      <c r="F44" s="244"/>
      <c r="G44" s="3442"/>
    </row>
    <row r="45" spans="1:7" s="219" customFormat="1" ht="13.5" customHeight="1">
      <c r="A45" s="260" t="s">
        <v>1992</v>
      </c>
      <c r="B45" s="249" t="s">
        <v>1958</v>
      </c>
      <c r="C45" s="250">
        <f ca="1">C46</f>
        <v>1989130</v>
      </c>
      <c r="D45" s="240">
        <f ca="1">C47</f>
        <v>1E-3</v>
      </c>
      <c r="E45" s="241" t="s">
        <v>1984</v>
      </c>
      <c r="F45" s="2485">
        <f ca="1">F27</f>
        <v>0.05</v>
      </c>
      <c r="G45" s="252" t="s">
        <v>1993</v>
      </c>
    </row>
    <row r="46" spans="1:7" s="219" customFormat="1" ht="13.5" customHeight="1">
      <c r="A46" s="868" t="s">
        <v>610</v>
      </c>
      <c r="B46" s="253" t="s">
        <v>1994</v>
      </c>
      <c r="C46" s="254">
        <f ca="1">ROUND((C33+C39)*F27,0)</f>
        <v>1989130</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267">
        <f>ROUND(F30/(1+'数据-取费表'!C42),4)</f>
        <v>5.33E-2</v>
      </c>
      <c r="D48" s="241" t="s">
        <v>1984</v>
      </c>
      <c r="E48" s="237"/>
      <c r="F48" s="2484">
        <f>F30</f>
        <v>5.6000000000000001E-2</v>
      </c>
      <c r="G48" s="239" t="s">
        <v>1997</v>
      </c>
    </row>
    <row r="49" spans="1:7" ht="16.5" customHeight="1">
      <c r="A49" s="260" t="s">
        <v>1963</v>
      </c>
      <c r="B49" s="215" t="s">
        <v>2037</v>
      </c>
      <c r="C49" s="237">
        <f ca="1">ROUND((C33+C39+C41+C45)/(1-C40-D41-D45-C48),0)</f>
        <v>46046856</v>
      </c>
      <c r="D49" s="237"/>
      <c r="E49" s="237"/>
      <c r="F49" s="269"/>
      <c r="G49" s="239" t="s">
        <v>1999</v>
      </c>
    </row>
    <row r="50" spans="1:7" s="263" customFormat="1">
      <c r="A50" s="260" t="s">
        <v>2000</v>
      </c>
      <c r="B50" s="215" t="s">
        <v>2001</v>
      </c>
      <c r="C50" s="237"/>
      <c r="D50" s="237"/>
      <c r="E50" s="237"/>
      <c r="F50" s="269">
        <f>IF('数据-取费表'!B24=0,'数据-取费表'!N16,1)</f>
        <v>0.75</v>
      </c>
      <c r="G50" s="252"/>
    </row>
    <row r="51" spans="1:7" ht="16.5" customHeight="1">
      <c r="A51" s="260" t="s">
        <v>2003</v>
      </c>
      <c r="B51" s="215" t="s">
        <v>2038</v>
      </c>
      <c r="C51" s="237">
        <f ca="1">ROUND(C49*F50,0)</f>
        <v>34535142</v>
      </c>
      <c r="D51" s="237"/>
      <c r="E51" s="237"/>
      <c r="F51" s="269"/>
      <c r="G51" s="239" t="s">
        <v>2005</v>
      </c>
    </row>
    <row r="52" spans="1:7" s="213" customFormat="1" ht="16.5" thickBot="1">
      <c r="A52" s="270" t="s">
        <v>2006</v>
      </c>
      <c r="B52" s="271"/>
      <c r="C52" s="272">
        <f ca="1">C31+C51</f>
        <v>41543658</v>
      </c>
      <c r="D52" s="271"/>
      <c r="E52" s="271"/>
      <c r="F52" s="271"/>
      <c r="G52" s="273"/>
    </row>
    <row r="55" spans="1:7" ht="15">
      <c r="B55" s="275" t="s">
        <v>2007</v>
      </c>
      <c r="C55" s="276"/>
    </row>
    <row r="56" spans="1:7">
      <c r="B56" s="278" t="s">
        <v>1237</v>
      </c>
      <c r="C56" s="280">
        <f ca="1">1-C57</f>
        <v>0.16900000000000004</v>
      </c>
    </row>
    <row r="57" spans="1:7">
      <c r="B57" s="278" t="s">
        <v>1238</v>
      </c>
      <c r="C57" s="279">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4"/>
      <c r="C1" s="1305"/>
      <c r="D1" s="1303"/>
      <c r="E1" s="2984"/>
      <c r="F1" s="2984"/>
      <c r="G1" s="2847"/>
      <c r="H1" s="2984"/>
      <c r="I1" s="2984"/>
      <c r="J1" s="2984"/>
      <c r="K1" s="2985">
        <f>MATCH(C1,'数据-取费表'!A6:A16,0)+5</f>
        <v>7</v>
      </c>
    </row>
    <row r="2" spans="1:33" ht="18" customHeight="1">
      <c r="A2" s="206" t="s">
        <v>1907</v>
      </c>
      <c r="B2" s="209">
        <f ca="1">C32</f>
        <v>0</v>
      </c>
      <c r="C2" s="281" t="s">
        <v>2040</v>
      </c>
      <c r="D2" s="281"/>
      <c r="E2" s="2984"/>
      <c r="F2" s="2984"/>
      <c r="G2" s="2984"/>
      <c r="H2" s="2984"/>
      <c r="I2" s="2984"/>
      <c r="J2" s="2984"/>
      <c r="K2" s="2984"/>
    </row>
    <row r="3" spans="1:33" ht="18" customHeight="1" thickBot="1">
      <c r="A3" s="208" t="s">
        <v>1909</v>
      </c>
      <c r="B3" s="209">
        <f ca="1">ROUND(B2*10000/IF(C1="",'数据-汇总表'!E3,INDIRECT("'数据-取费表'!K"&amp;$K$1)),0)</f>
        <v>0</v>
      </c>
      <c r="C3" s="281" t="s">
        <v>2041</v>
      </c>
      <c r="D3" s="281"/>
      <c r="E3" s="2984"/>
      <c r="F3" s="2984"/>
      <c r="G3" s="2984"/>
      <c r="H3" s="2984"/>
      <c r="I3" s="2984"/>
      <c r="J3" s="2984"/>
      <c r="K3" s="2984"/>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13867.57</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13867.57</v>
      </c>
      <c r="E17" s="24">
        <f>'数据-取费表'!B32</f>
        <v>0</v>
      </c>
      <c r="F17" s="895"/>
      <c r="G17" s="135"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0"/>
      <c r="I18" s="1998"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150</v>
      </c>
      <c r="F19" s="893"/>
      <c r="G19" s="15"/>
      <c r="H19" s="1302"/>
      <c r="I19" s="898"/>
      <c r="J19" s="898"/>
      <c r="K19" s="899"/>
    </row>
    <row r="20" spans="1:33" s="892" customFormat="1" ht="13.5" customHeight="1">
      <c r="A20" s="888" t="s">
        <v>625</v>
      </c>
      <c r="B20" s="889" t="s">
        <v>2075</v>
      </c>
      <c r="C20" s="24">
        <f ca="1">ROUND(D20*E20/10000,0)</f>
        <v>305</v>
      </c>
      <c r="D20" s="935">
        <f ca="1">IF(C1="",'数据-汇总表'!E6,IF(INDIRECT("'数据-取费表'!c"&amp;$K$1)="住宅",INDIRECT("'数据-取费表'!s"&amp;$K$1),INDIRECT("'数据-取费表'!k"&amp;$K$1)+INDIRECT("'数据-取费表'!s"&amp;$K$1)))</f>
        <v>13867.57</v>
      </c>
      <c r="E20" s="24">
        <f>'数据-取费表'!B28</f>
        <v>220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（1）-（3）项×年利率×建设期÷2</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0.05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6" sqref="C1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6"/>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30" ht="15">
      <c r="A4" s="360" t="s">
        <v>2225</v>
      </c>
      <c r="B4" s="361"/>
      <c r="C4" s="3447" t="s">
        <v>2226</v>
      </c>
      <c r="D4" s="3459"/>
      <c r="E4" s="3460" t="s">
        <v>2227</v>
      </c>
      <c r="F4" s="3461"/>
      <c r="G4" s="3447" t="s">
        <v>2228</v>
      </c>
      <c r="H4" s="3459"/>
      <c r="I4" s="3447" t="s">
        <v>2229</v>
      </c>
      <c r="J4" s="3459"/>
      <c r="K4" s="566" t="s">
        <v>2230</v>
      </c>
      <c r="L4" s="2891"/>
      <c r="M4" s="2892"/>
      <c r="N4" s="2892"/>
      <c r="O4" s="2892"/>
      <c r="P4" s="3462" t="s">
        <v>2231</v>
      </c>
      <c r="Q4" s="3463"/>
      <c r="R4" s="3468" t="s">
        <v>2227</v>
      </c>
      <c r="S4" s="3469"/>
      <c r="T4" s="3468" t="s">
        <v>2228</v>
      </c>
      <c r="U4" s="3469"/>
      <c r="V4" s="3455" t="s">
        <v>2229</v>
      </c>
      <c r="W4" s="3455"/>
      <c r="X4" s="1488"/>
      <c r="Y4" s="3468" t="s">
        <v>2231</v>
      </c>
      <c r="Z4" s="3469"/>
      <c r="AA4" s="3456" t="s">
        <v>2227</v>
      </c>
      <c r="AB4" s="3457" t="s">
        <v>2228</v>
      </c>
      <c r="AC4" s="3456" t="s">
        <v>2229</v>
      </c>
    </row>
    <row r="5" spans="1:30" ht="15">
      <c r="A5" s="363"/>
      <c r="B5" s="364"/>
      <c r="C5" s="3476" t="s">
        <v>2122</v>
      </c>
      <c r="D5" s="3477"/>
      <c r="E5" s="3483" t="str">
        <f>土地案例!A80</f>
        <v>杭钱塘工出【2021】7号</v>
      </c>
      <c r="F5" s="3484"/>
      <c r="G5" s="3476" t="str">
        <f>土地案例!A83</f>
        <v>杭钱塘工出【2021】8号</v>
      </c>
      <c r="H5" s="3477"/>
      <c r="I5" s="3476" t="str">
        <f>土地案例!A85</f>
        <v>杭钱塘工出[2021]4号</v>
      </c>
      <c r="J5" s="3477"/>
      <c r="K5" s="566"/>
      <c r="L5" s="2891"/>
      <c r="M5" s="2892"/>
      <c r="N5" s="2892"/>
      <c r="O5" s="2892"/>
      <c r="P5" s="3464"/>
      <c r="Q5" s="3465"/>
      <c r="R5" s="3470"/>
      <c r="S5" s="3471"/>
      <c r="T5" s="3470"/>
      <c r="U5" s="3471"/>
      <c r="V5" s="3455"/>
      <c r="W5" s="3455"/>
      <c r="X5" s="1488"/>
      <c r="Y5" s="3470"/>
      <c r="Z5" s="3471"/>
      <c r="AA5" s="3457"/>
      <c r="AB5" s="3457"/>
      <c r="AC5" s="3457"/>
    </row>
    <row r="6" spans="1:30" ht="15.75" thickBot="1">
      <c r="A6" s="365"/>
      <c r="B6" s="366"/>
      <c r="C6" s="3474" t="s">
        <v>2126</v>
      </c>
      <c r="D6" s="3475"/>
      <c r="E6" s="3481" t="s">
        <v>2126</v>
      </c>
      <c r="F6" s="3482"/>
      <c r="G6" s="3474" t="s">
        <v>2126</v>
      </c>
      <c r="H6" s="3475"/>
      <c r="I6" s="3474" t="s">
        <v>2126</v>
      </c>
      <c r="J6" s="3475"/>
      <c r="K6" s="566" t="s">
        <v>2127</v>
      </c>
      <c r="L6" s="2891"/>
      <c r="M6" s="2892"/>
      <c r="N6" s="2892"/>
      <c r="O6" s="2892"/>
      <c r="P6" s="3466"/>
      <c r="Q6" s="3467"/>
      <c r="R6" s="3470"/>
      <c r="S6" s="3471"/>
      <c r="T6" s="3472"/>
      <c r="U6" s="3473"/>
      <c r="V6" s="3455"/>
      <c r="W6" s="3455"/>
      <c r="X6" s="1488"/>
      <c r="Y6" s="3472"/>
      <c r="Z6" s="3473"/>
      <c r="AA6" s="3458"/>
      <c r="AB6" s="3458"/>
      <c r="AC6" s="3458"/>
    </row>
    <row r="7" spans="1:30" s="113" customFormat="1" ht="15.75" thickBot="1">
      <c r="A7" s="367" t="s">
        <v>2128</v>
      </c>
      <c r="B7" s="368"/>
      <c r="C7" s="369">
        <f>'数据-取费表'!B2</f>
        <v>44781</v>
      </c>
      <c r="D7" s="370">
        <v>100</v>
      </c>
      <c r="E7" s="371" t="str">
        <f>土地案例!K80</f>
        <v>2021-05-17</v>
      </c>
      <c r="F7" s="372">
        <f>SUMIF(69:69,YEAR(E7)&amp;"-"&amp;INT((MONTH(E7)+2)/3),70:70)</f>
        <v>0</v>
      </c>
      <c r="G7" s="2109" t="str">
        <f>土地案例!K83</f>
        <v>2021-05-17</v>
      </c>
      <c r="H7" s="370">
        <f>SUMIF(69:69,YEAR(G7)&amp;"-"&amp;INT((MONTH(G7)+2)/3),70:70)</f>
        <v>0</v>
      </c>
      <c r="I7" s="2109" t="str">
        <f>土地案例!K85</f>
        <v>2021-05-13</v>
      </c>
      <c r="J7" s="370">
        <f>SUMIF(69:69,YEAR(I7)&amp;"-"&amp;INT((MONTH(I7)+2)/3),70:70)</f>
        <v>0</v>
      </c>
      <c r="K7" s="567"/>
      <c r="L7" s="2893"/>
      <c r="M7" s="2894"/>
      <c r="N7" s="2894"/>
      <c r="O7" s="2894"/>
      <c r="P7" s="3478" t="s">
        <v>2129</v>
      </c>
      <c r="Q7" s="3480"/>
      <c r="R7" s="709" t="s">
        <v>17</v>
      </c>
      <c r="S7" s="710">
        <f t="shared" ref="S7:S15" si="0">F7</f>
        <v>0</v>
      </c>
      <c r="T7" s="709" t="s">
        <v>17</v>
      </c>
      <c r="U7" s="710">
        <f t="shared" ref="U7:U15" si="1">H7</f>
        <v>0</v>
      </c>
      <c r="V7" s="709" t="s">
        <v>17</v>
      </c>
      <c r="W7" s="710">
        <f t="shared" ref="W7:W15" si="2">J7</f>
        <v>0</v>
      </c>
      <c r="X7" s="711"/>
      <c r="Y7" s="3478" t="s">
        <v>2129</v>
      </c>
      <c r="Z7" s="3479"/>
      <c r="AA7" s="712" t="e">
        <f>D7/F7</f>
        <v>#DIV/0!</v>
      </c>
      <c r="AB7" s="712" t="e">
        <f>D7/H7</f>
        <v>#DIV/0!</v>
      </c>
      <c r="AC7" s="712" t="e">
        <f>D7/J7</f>
        <v>#DIV/0!</v>
      </c>
    </row>
    <row r="8" spans="1:30" s="113" customFormat="1" ht="15.75" thickBot="1">
      <c r="A8" s="367" t="s">
        <v>2130</v>
      </c>
      <c r="B8" s="368"/>
      <c r="C8" s="373" t="s">
        <v>2131</v>
      </c>
      <c r="D8" s="370">
        <v>100</v>
      </c>
      <c r="E8" s="3238" t="s">
        <v>3509</v>
      </c>
      <c r="F8" s="372">
        <f>SUMIF(72:72,E8,73:73)-SUMIF(72:72,C8,73:73)+100</f>
        <v>100</v>
      </c>
      <c r="G8" s="3238" t="s">
        <v>3509</v>
      </c>
      <c r="H8" s="370">
        <f>SUMIF(72:72,G8,73:73)-SUMIF(72:72,C8,73:73)+100</f>
        <v>100</v>
      </c>
      <c r="I8" s="3238" t="s">
        <v>3509</v>
      </c>
      <c r="J8" s="370">
        <f>SUMIF(72:72,I8,73:73)-SUMIF(72:72,C8,73:73)+100</f>
        <v>100</v>
      </c>
      <c r="K8" s="567"/>
      <c r="L8" s="2893"/>
      <c r="M8" s="2894"/>
      <c r="N8" s="2894"/>
      <c r="O8" s="2894"/>
      <c r="P8" s="3478" t="s">
        <v>2132</v>
      </c>
      <c r="Q8" s="3479"/>
      <c r="R8" s="709" t="s">
        <v>17</v>
      </c>
      <c r="S8" s="710">
        <f t="shared" si="0"/>
        <v>100</v>
      </c>
      <c r="T8" s="709" t="s">
        <v>17</v>
      </c>
      <c r="U8" s="710">
        <f t="shared" si="1"/>
        <v>100</v>
      </c>
      <c r="V8" s="709" t="s">
        <v>17</v>
      </c>
      <c r="W8" s="710">
        <f t="shared" si="2"/>
        <v>100</v>
      </c>
      <c r="X8" s="711"/>
      <c r="Y8" s="3478" t="s">
        <v>2132</v>
      </c>
      <c r="Z8" s="3479"/>
      <c r="AA8" s="712">
        <f t="shared" ref="AA8:AA45" si="3">D8/F8</f>
        <v>1</v>
      </c>
      <c r="AB8" s="712">
        <f t="shared" ref="AB8:AB45" si="4">D8/H8</f>
        <v>1</v>
      </c>
      <c r="AC8" s="712">
        <f t="shared" ref="AC8:AC45" si="5">D8/J8</f>
        <v>1</v>
      </c>
    </row>
    <row r="9" spans="1:30" s="113" customFormat="1">
      <c r="A9" s="374" t="s">
        <v>2133</v>
      </c>
      <c r="B9" s="67" t="s">
        <v>2134</v>
      </c>
      <c r="C9" s="3239" t="s">
        <v>3513</v>
      </c>
      <c r="D9" s="130">
        <v>100</v>
      </c>
      <c r="E9" s="3239" t="s">
        <v>3513</v>
      </c>
      <c r="F9" s="130">
        <f>SUMIF(74:74,E9,75:75)-SUMIF(74:74,C9,75:75)+100</f>
        <v>100</v>
      </c>
      <c r="G9" s="3239" t="s">
        <v>3514</v>
      </c>
      <c r="H9" s="130">
        <f>SUMIF(74:74,G9,75:75)-SUMIF(74:74,C9,75:75)+100</f>
        <v>100</v>
      </c>
      <c r="I9" s="3239" t="s">
        <v>3513</v>
      </c>
      <c r="J9" s="130">
        <f>SUMIF(74:74,I9,75:75)-SUMIF(74:74,C9,75:75)+100</f>
        <v>100</v>
      </c>
      <c r="K9" s="567"/>
      <c r="L9" s="2893"/>
      <c r="M9" s="2894"/>
      <c r="N9" s="2894"/>
      <c r="O9" s="2948"/>
      <c r="P9" s="3450"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712">
        <f t="shared" si="5"/>
        <v>1</v>
      </c>
    </row>
    <row r="10" spans="1:30" s="385" customFormat="1" ht="27">
      <c r="A10" s="379"/>
      <c r="B10" s="380" t="s">
        <v>2137</v>
      </c>
      <c r="C10" s="390">
        <f>项目基本情况!I15</f>
        <v>31.29</v>
      </c>
      <c r="D10" s="131">
        <v>100</v>
      </c>
      <c r="E10" s="423" t="s">
        <v>3515</v>
      </c>
      <c r="F10" s="131">
        <f>ROUND(100/'数据-取费表'!G16,0)</f>
        <v>115</v>
      </c>
      <c r="G10" s="421" t="s">
        <v>3516</v>
      </c>
      <c r="H10" s="131">
        <f>ROUND(100/'数据-取费表'!G16,0)</f>
        <v>115</v>
      </c>
      <c r="I10" s="421" t="s">
        <v>3515</v>
      </c>
      <c r="J10" s="131">
        <f>ROUND(100/'数据-取费表'!G16,0)</f>
        <v>115</v>
      </c>
      <c r="K10" s="627"/>
      <c r="L10" s="2895"/>
      <c r="M10" s="2896"/>
      <c r="N10" s="2896"/>
      <c r="O10" s="2949"/>
      <c r="P10" s="3450"/>
      <c r="Q10" s="1476" t="str">
        <f t="shared" si="6"/>
        <v>土地使用年限（年）</v>
      </c>
      <c r="R10" s="709" t="s">
        <v>17</v>
      </c>
      <c r="S10" s="710">
        <f t="shared" si="0"/>
        <v>115</v>
      </c>
      <c r="T10" s="709" t="s">
        <v>17</v>
      </c>
      <c r="U10" s="710">
        <f t="shared" si="1"/>
        <v>115</v>
      </c>
      <c r="V10" s="709" t="s">
        <v>17</v>
      </c>
      <c r="W10" s="710">
        <f t="shared" si="2"/>
        <v>115</v>
      </c>
      <c r="X10" s="711"/>
      <c r="Y10" s="3344"/>
      <c r="Z10" s="55" t="str">
        <f t="shared" si="7"/>
        <v>土地使用年限（年）</v>
      </c>
      <c r="AA10" s="712">
        <f t="shared" si="3"/>
        <v>0.86956521739130432</v>
      </c>
      <c r="AB10" s="712">
        <f t="shared" si="4"/>
        <v>0.86956521739130432</v>
      </c>
      <c r="AC10" s="712">
        <f t="shared" si="5"/>
        <v>0.86956521739130432</v>
      </c>
    </row>
    <row r="11" spans="1:30" ht="15">
      <c r="A11" s="386"/>
      <c r="B11" s="380" t="s">
        <v>2138</v>
      </c>
      <c r="C11" s="387">
        <f>'数据-汇总表'!I6</f>
        <v>0.81</v>
      </c>
      <c r="D11" s="131">
        <v>100</v>
      </c>
      <c r="E11" s="387">
        <v>2.2000000000000002</v>
      </c>
      <c r="F11" s="131" t="e">
        <f>LOOKUP(E11,79:79,80:80)-LOOKUP(C11,79:79,80:80)+100</f>
        <v>#N/A</v>
      </c>
      <c r="G11" s="388">
        <v>2.2000000000000002</v>
      </c>
      <c r="H11" s="131" t="e">
        <f>LOOKUP(G11,79:79,80:80)-LOOKUP(C11,79:79,80:80)+100</f>
        <v>#N/A</v>
      </c>
      <c r="I11" s="387">
        <v>2</v>
      </c>
      <c r="J11" s="131" t="e">
        <f>LOOKUP(I11,79:79,80:80)-LOOKUP(C11,79:79,80:80)+100</f>
        <v>#N/A</v>
      </c>
      <c r="K11" s="628">
        <v>2</v>
      </c>
      <c r="L11" s="2897"/>
      <c r="M11" s="2892"/>
      <c r="N11" s="2892"/>
      <c r="O11" s="2950"/>
      <c r="P11" s="3450"/>
      <c r="Q11" s="1476" t="str">
        <f t="shared" si="6"/>
        <v>容积率</v>
      </c>
      <c r="R11" s="709" t="s">
        <v>17</v>
      </c>
      <c r="S11" s="710" t="e">
        <f t="shared" si="0"/>
        <v>#N/A</v>
      </c>
      <c r="T11" s="709" t="s">
        <v>17</v>
      </c>
      <c r="U11" s="710" t="e">
        <f t="shared" si="1"/>
        <v>#N/A</v>
      </c>
      <c r="V11" s="709" t="s">
        <v>17</v>
      </c>
      <c r="W11" s="710" t="e">
        <f t="shared" si="2"/>
        <v>#N/A</v>
      </c>
      <c r="X11" s="711"/>
      <c r="Y11" s="3344"/>
      <c r="Z11" s="55" t="str">
        <f t="shared" si="7"/>
        <v>容积率</v>
      </c>
      <c r="AA11" s="712" t="e">
        <f t="shared" si="3"/>
        <v>#N/A</v>
      </c>
      <c r="AB11" s="712" t="e">
        <f t="shared" si="4"/>
        <v>#N/A</v>
      </c>
      <c r="AC11" s="712" t="e">
        <f t="shared" si="5"/>
        <v>#N/A</v>
      </c>
    </row>
    <row r="12" spans="1:30" s="113" customFormat="1" ht="15">
      <c r="A12" s="389"/>
      <c r="B12" s="2028" t="s">
        <v>2327</v>
      </c>
      <c r="C12" s="390"/>
      <c r="D12" s="391">
        <v>100</v>
      </c>
      <c r="E12" s="423"/>
      <c r="F12" s="131">
        <f>SUMIF(81:81,E12,82:82)-SUMIF(81:81,C12,82:82)+100</f>
        <v>100</v>
      </c>
      <c r="G12" s="421"/>
      <c r="H12" s="131">
        <f>SUMIF(81:81,G12,82:82)-SUMIF(81:81,C12,82:82)+100</f>
        <v>100</v>
      </c>
      <c r="I12" s="423"/>
      <c r="J12" s="131">
        <f>SUMIF(81:81,I12,82:82)-SUMIF(81:81,C12,82:82)+100</f>
        <v>100</v>
      </c>
      <c r="K12" s="627"/>
      <c r="L12" s="2893"/>
      <c r="M12" s="2894"/>
      <c r="N12" s="2894"/>
      <c r="O12" s="2948"/>
      <c r="P12" s="3450"/>
      <c r="Q12" s="1476" t="str">
        <f t="shared" si="6"/>
        <v>配建</v>
      </c>
      <c r="R12" s="709" t="s">
        <v>17</v>
      </c>
      <c r="S12" s="710">
        <f t="shared" si="0"/>
        <v>100</v>
      </c>
      <c r="T12" s="709" t="s">
        <v>17</v>
      </c>
      <c r="U12" s="710">
        <f t="shared" si="1"/>
        <v>100</v>
      </c>
      <c r="V12" s="709" t="s">
        <v>17</v>
      </c>
      <c r="W12" s="710">
        <f t="shared" si="2"/>
        <v>100</v>
      </c>
      <c r="X12" s="711"/>
      <c r="Y12" s="3344"/>
      <c r="Z12" s="55" t="str">
        <f t="shared" si="7"/>
        <v>配建</v>
      </c>
      <c r="AA12" s="712">
        <f>D12/F12</f>
        <v>1</v>
      </c>
      <c r="AB12" s="712">
        <f>D12/H12</f>
        <v>1</v>
      </c>
      <c r="AC12" s="712">
        <f>D12/J12</f>
        <v>1</v>
      </c>
    </row>
    <row r="13" spans="1:30" ht="15">
      <c r="A13" s="386"/>
      <c r="B13" s="2028">
        <v>111</v>
      </c>
      <c r="C13" s="392"/>
      <c r="D13" s="393">
        <v>100</v>
      </c>
      <c r="E13" s="505"/>
      <c r="F13" s="131">
        <f>SUMIF(83:83,E13,84:84)-SUMIF(83:83,C13,84:84)+100</f>
        <v>100</v>
      </c>
      <c r="G13" s="629"/>
      <c r="H13" s="393">
        <f>SUMIF(83:83,G13,84:84)-SUMIF(83:83,C13,84:84)+100</f>
        <v>100</v>
      </c>
      <c r="I13" s="629"/>
      <c r="J13" s="393">
        <f>SUMIF(83:83,I13,84:84)-SUMIF(83:83,C13,84:84)+100</f>
        <v>100</v>
      </c>
      <c r="K13" s="627"/>
      <c r="L13" s="2898"/>
      <c r="M13" s="2892"/>
      <c r="N13" s="2892"/>
      <c r="O13" s="2950"/>
      <c r="P13" s="3450"/>
      <c r="Q13" s="1476">
        <f t="shared" si="6"/>
        <v>111</v>
      </c>
      <c r="R13" s="709" t="s">
        <v>17</v>
      </c>
      <c r="S13" s="710">
        <f t="shared" si="0"/>
        <v>100</v>
      </c>
      <c r="T13" s="709" t="s">
        <v>17</v>
      </c>
      <c r="U13" s="710">
        <f t="shared" si="1"/>
        <v>100</v>
      </c>
      <c r="V13" s="709" t="s">
        <v>17</v>
      </c>
      <c r="W13" s="710">
        <f t="shared" si="2"/>
        <v>100</v>
      </c>
      <c r="X13" s="711"/>
      <c r="Y13" s="3344"/>
      <c r="Z13" s="55">
        <f t="shared" si="7"/>
        <v>111</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8"/>
      <c r="M14" s="2892"/>
      <c r="N14" s="2892"/>
      <c r="O14" s="2950"/>
      <c r="P14" s="3450"/>
      <c r="Q14" s="1476">
        <f t="shared" si="6"/>
        <v>111</v>
      </c>
      <c r="R14" s="709" t="s">
        <v>17</v>
      </c>
      <c r="S14" s="710">
        <f t="shared" si="0"/>
        <v>100</v>
      </c>
      <c r="T14" s="709" t="s">
        <v>17</v>
      </c>
      <c r="U14" s="710">
        <f t="shared" si="1"/>
        <v>100</v>
      </c>
      <c r="V14" s="709" t="s">
        <v>17</v>
      </c>
      <c r="W14" s="710">
        <f t="shared" si="2"/>
        <v>100</v>
      </c>
      <c r="X14" s="711"/>
      <c r="Y14" s="3344"/>
      <c r="Z14" s="55">
        <f t="shared" si="7"/>
        <v>111</v>
      </c>
      <c r="AA14" s="712">
        <f>D14/F14</f>
        <v>1</v>
      </c>
      <c r="AB14" s="712">
        <f>D14/H14</f>
        <v>1</v>
      </c>
      <c r="AC14" s="712">
        <f>D14/J14</f>
        <v>1</v>
      </c>
    </row>
    <row r="15" spans="1:30" ht="99.75">
      <c r="A15" s="398" t="s">
        <v>2139</v>
      </c>
      <c r="B15" s="65" t="s">
        <v>1702</v>
      </c>
      <c r="C15" s="2031"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8"/>
      <c r="M15" s="2892"/>
      <c r="N15" s="2892"/>
      <c r="O15" s="2950"/>
      <c r="P15" s="3451" t="s">
        <v>2140</v>
      </c>
      <c r="Q15" s="1485" t="str">
        <f t="shared" si="6"/>
        <v>居住社区成熟度</v>
      </c>
      <c r="R15" s="713" t="s">
        <v>17</v>
      </c>
      <c r="S15" s="714">
        <f t="shared" si="0"/>
        <v>100</v>
      </c>
      <c r="T15" s="713" t="s">
        <v>17</v>
      </c>
      <c r="U15" s="714">
        <f t="shared" si="1"/>
        <v>100</v>
      </c>
      <c r="V15" s="713" t="s">
        <v>17</v>
      </c>
      <c r="W15" s="714">
        <f t="shared" si="2"/>
        <v>100</v>
      </c>
      <c r="X15" s="1488"/>
      <c r="Y15" s="3451"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8"/>
      <c r="M16" s="2892"/>
      <c r="N16" s="2892"/>
      <c r="O16" s="2950"/>
      <c r="P16" s="3452"/>
      <c r="Q16" s="1485"/>
      <c r="R16" s="713"/>
      <c r="S16" s="714"/>
      <c r="T16" s="713"/>
      <c r="U16" s="714"/>
      <c r="V16" s="713"/>
      <c r="W16" s="714"/>
      <c r="X16" s="1488"/>
      <c r="Y16" s="3452"/>
      <c r="Z16" s="1489"/>
      <c r="AA16" s="1486">
        <v>1</v>
      </c>
      <c r="AB16" s="1486">
        <v>1</v>
      </c>
      <c r="AC16" s="1486">
        <v>1</v>
      </c>
    </row>
    <row r="17" spans="1:29" ht="71.25">
      <c r="A17" s="386"/>
      <c r="B17" s="409" t="s">
        <v>2233</v>
      </c>
      <c r="C17" s="2090"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8"/>
      <c r="M17" s="2892"/>
      <c r="N17" s="2892"/>
      <c r="O17" s="2950"/>
      <c r="P17" s="3452"/>
      <c r="Q17" s="1485" t="str">
        <f>B17</f>
        <v>商业繁华度</v>
      </c>
      <c r="R17" s="713" t="s">
        <v>17</v>
      </c>
      <c r="S17" s="714">
        <f>F17</f>
        <v>100</v>
      </c>
      <c r="T17" s="713" t="s">
        <v>17</v>
      </c>
      <c r="U17" s="714">
        <f>H17</f>
        <v>100</v>
      </c>
      <c r="V17" s="713" t="s">
        <v>17</v>
      </c>
      <c r="W17" s="714">
        <f>J17</f>
        <v>100</v>
      </c>
      <c r="X17" s="1488"/>
      <c r="Y17" s="3452"/>
      <c r="Z17" s="1489" t="str">
        <f>Q17</f>
        <v>商业繁华度</v>
      </c>
      <c r="AA17" s="1486">
        <f t="shared" si="3"/>
        <v>1</v>
      </c>
      <c r="AB17" s="1486">
        <f t="shared" si="4"/>
        <v>1</v>
      </c>
      <c r="AC17" s="1486">
        <f t="shared" si="5"/>
        <v>1</v>
      </c>
    </row>
    <row r="18" spans="1:29" ht="15">
      <c r="A18" s="386"/>
      <c r="B18" s="414"/>
      <c r="C18" s="2036"/>
      <c r="D18" s="408"/>
      <c r="E18" s="2038"/>
      <c r="F18" s="408"/>
      <c r="G18" s="2038"/>
      <c r="H18" s="406"/>
      <c r="I18" s="2037"/>
      <c r="J18" s="406"/>
      <c r="K18" s="627"/>
      <c r="L18" s="2898"/>
      <c r="M18" s="2892"/>
      <c r="N18" s="2892"/>
      <c r="O18" s="2950"/>
      <c r="P18" s="3452"/>
      <c r="Q18" s="1485"/>
      <c r="R18" s="713"/>
      <c r="S18" s="714"/>
      <c r="T18" s="713"/>
      <c r="U18" s="714"/>
      <c r="V18" s="713"/>
      <c r="W18" s="714"/>
      <c r="X18" s="1488"/>
      <c r="Y18" s="3452"/>
      <c r="Z18" s="1489"/>
      <c r="AA18" s="1486">
        <v>1</v>
      </c>
      <c r="AB18" s="1486">
        <v>1</v>
      </c>
      <c r="AC18" s="1486">
        <v>1</v>
      </c>
    </row>
    <row r="19" spans="1:29" ht="71.25">
      <c r="A19" s="386"/>
      <c r="B19" s="409" t="s">
        <v>2267</v>
      </c>
      <c r="C19" s="2090"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8"/>
      <c r="M19" s="2892"/>
      <c r="N19" s="2892"/>
      <c r="O19" s="2950"/>
      <c r="P19" s="3452"/>
      <c r="Q19" s="1485" t="str">
        <f>B19</f>
        <v>办公集聚程度</v>
      </c>
      <c r="R19" s="713" t="s">
        <v>17</v>
      </c>
      <c r="S19" s="714">
        <f>F19</f>
        <v>100</v>
      </c>
      <c r="T19" s="713" t="s">
        <v>17</v>
      </c>
      <c r="U19" s="714">
        <f>H19</f>
        <v>100</v>
      </c>
      <c r="V19" s="713" t="s">
        <v>17</v>
      </c>
      <c r="W19" s="714">
        <f>J19</f>
        <v>100</v>
      </c>
      <c r="X19" s="1488"/>
      <c r="Y19" s="3452"/>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8"/>
      <c r="M20" s="2892"/>
      <c r="N20" s="2892"/>
      <c r="O20" s="2950"/>
      <c r="P20" s="3452"/>
      <c r="Q20" s="1485"/>
      <c r="R20" s="713"/>
      <c r="S20" s="714"/>
      <c r="T20" s="713"/>
      <c r="U20" s="714"/>
      <c r="V20" s="713"/>
      <c r="W20" s="714"/>
      <c r="X20" s="1488"/>
      <c r="Y20" s="3452"/>
      <c r="Z20" s="1489"/>
      <c r="AA20" s="1486">
        <v>1</v>
      </c>
      <c r="AB20" s="1486">
        <v>1</v>
      </c>
      <c r="AC20" s="1486">
        <v>1</v>
      </c>
    </row>
    <row r="21" spans="1:29" ht="85.5">
      <c r="A21" s="386"/>
      <c r="B21" s="409" t="s">
        <v>2289</v>
      </c>
      <c r="C21" s="2035"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8"/>
      <c r="M21" s="2892"/>
      <c r="N21" s="2892"/>
      <c r="O21" s="2950"/>
      <c r="P21" s="3452"/>
      <c r="Q21" s="1485" t="str">
        <f>B21</f>
        <v>交通便捷度</v>
      </c>
      <c r="R21" s="713" t="s">
        <v>17</v>
      </c>
      <c r="S21" s="714">
        <f>F21</f>
        <v>100</v>
      </c>
      <c r="T21" s="713" t="s">
        <v>17</v>
      </c>
      <c r="U21" s="714">
        <f>H21</f>
        <v>100</v>
      </c>
      <c r="V21" s="713" t="s">
        <v>17</v>
      </c>
      <c r="W21" s="714">
        <f>J21</f>
        <v>100</v>
      </c>
      <c r="X21" s="1488"/>
      <c r="Y21" s="3452"/>
      <c r="Z21" s="1489" t="str">
        <f>Q21</f>
        <v>交通便捷度</v>
      </c>
      <c r="AA21" s="1486">
        <f t="shared" si="3"/>
        <v>1</v>
      </c>
      <c r="AB21" s="1486">
        <f t="shared" si="4"/>
        <v>1</v>
      </c>
      <c r="AC21" s="1486">
        <f t="shared" si="5"/>
        <v>1</v>
      </c>
    </row>
    <row r="22" spans="1:29" ht="15">
      <c r="A22" s="386"/>
      <c r="B22" s="1245"/>
      <c r="C22" s="405"/>
      <c r="D22" s="408"/>
      <c r="E22" s="2033"/>
      <c r="F22" s="406"/>
      <c r="G22" s="2033"/>
      <c r="H22" s="406"/>
      <c r="I22" s="2032"/>
      <c r="J22" s="406"/>
      <c r="K22" s="627"/>
      <c r="L22" s="2898"/>
      <c r="M22" s="2892"/>
      <c r="N22" s="2892"/>
      <c r="O22" s="2950"/>
      <c r="P22" s="3452"/>
      <c r="Q22" s="1485"/>
      <c r="R22" s="713"/>
      <c r="S22" s="714"/>
      <c r="T22" s="713"/>
      <c r="U22" s="714"/>
      <c r="V22" s="713"/>
      <c r="W22" s="714"/>
      <c r="X22" s="1488"/>
      <c r="Y22" s="3452"/>
      <c r="Z22" s="1489"/>
      <c r="AA22" s="1486">
        <v>1</v>
      </c>
      <c r="AB22" s="1486">
        <v>1</v>
      </c>
      <c r="AC22" s="1486">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8"/>
      <c r="M23" s="2892"/>
      <c r="N23" s="2892"/>
      <c r="O23" s="2950"/>
      <c r="P23" s="3452"/>
      <c r="Q23" s="1485" t="str">
        <f t="shared" ref="Q23:Q37" si="8">B23</f>
        <v>区域土地利用方向</v>
      </c>
      <c r="R23" s="713" t="s">
        <v>17</v>
      </c>
      <c r="S23" s="714">
        <f>F23</f>
        <v>100</v>
      </c>
      <c r="T23" s="713" t="s">
        <v>17</v>
      </c>
      <c r="U23" s="714">
        <f>H23</f>
        <v>100</v>
      </c>
      <c r="V23" s="713" t="s">
        <v>17</v>
      </c>
      <c r="W23" s="714">
        <f>J23</f>
        <v>100</v>
      </c>
      <c r="X23" s="1488"/>
      <c r="Y23" s="3452"/>
      <c r="Z23" s="1489" t="str">
        <f>Q23</f>
        <v>区域土地利用方向</v>
      </c>
      <c r="AA23" s="1486">
        <f t="shared" si="3"/>
        <v>1</v>
      </c>
      <c r="AB23" s="1486">
        <f t="shared" si="4"/>
        <v>1</v>
      </c>
      <c r="AC23" s="1486">
        <f t="shared" si="5"/>
        <v>1</v>
      </c>
    </row>
    <row r="24" spans="1:29" ht="15">
      <c r="A24" s="363"/>
      <c r="B24" s="414"/>
      <c r="C24" s="572"/>
      <c r="D24" s="406"/>
      <c r="E24" s="2033"/>
      <c r="F24" s="406"/>
      <c r="G24" s="2032"/>
      <c r="H24" s="406"/>
      <c r="I24" s="2032"/>
      <c r="J24" s="406"/>
      <c r="K24" s="750"/>
      <c r="L24" s="2898"/>
      <c r="M24" s="2892"/>
      <c r="N24" s="2892"/>
      <c r="O24" s="2950"/>
      <c r="P24" s="3452"/>
      <c r="Q24" s="1485"/>
      <c r="R24" s="713"/>
      <c r="S24" s="714"/>
      <c r="T24" s="713"/>
      <c r="U24" s="714"/>
      <c r="V24" s="713"/>
      <c r="W24" s="714"/>
      <c r="X24" s="1488"/>
      <c r="Y24" s="3452"/>
      <c r="Z24" s="1489"/>
      <c r="AA24" s="1486"/>
      <c r="AB24" s="1486"/>
      <c r="AC24" s="1486"/>
    </row>
    <row r="25" spans="1:29" ht="57">
      <c r="A25" s="363"/>
      <c r="B25" s="1245" t="s">
        <v>2329</v>
      </c>
      <c r="C25" s="2090"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8"/>
      <c r="M25" s="2892"/>
      <c r="N25" s="2892"/>
      <c r="O25" s="2950"/>
      <c r="P25" s="3452"/>
      <c r="Q25" s="1485" t="str">
        <f t="shared" si="8"/>
        <v>自然及人文环境状况</v>
      </c>
      <c r="R25" s="713" t="s">
        <v>17</v>
      </c>
      <c r="S25" s="714">
        <f>F25</f>
        <v>100</v>
      </c>
      <c r="T25" s="713" t="s">
        <v>17</v>
      </c>
      <c r="U25" s="714">
        <f>H25</f>
        <v>100</v>
      </c>
      <c r="V25" s="713" t="s">
        <v>17</v>
      </c>
      <c r="W25" s="714">
        <f>J25</f>
        <v>100</v>
      </c>
      <c r="X25" s="1488"/>
      <c r="Y25" s="3452"/>
      <c r="Z25" s="1489" t="str">
        <f>Q25</f>
        <v>自然及人文环境状况</v>
      </c>
      <c r="AA25" s="1486">
        <f t="shared" si="3"/>
        <v>1</v>
      </c>
      <c r="AB25" s="1486">
        <f t="shared" si="4"/>
        <v>1</v>
      </c>
      <c r="AC25" s="1486">
        <f t="shared" si="5"/>
        <v>1</v>
      </c>
    </row>
    <row r="26" spans="1:29" ht="15">
      <c r="A26" s="363"/>
      <c r="B26" s="414"/>
      <c r="C26" s="405"/>
      <c r="D26" s="406"/>
      <c r="E26" s="2039"/>
      <c r="F26" s="406"/>
      <c r="G26" s="2039"/>
      <c r="H26" s="406"/>
      <c r="I26" s="405"/>
      <c r="J26" s="406"/>
      <c r="K26" s="627"/>
      <c r="L26" s="2898"/>
      <c r="M26" s="2892"/>
      <c r="N26" s="2892"/>
      <c r="O26" s="2950"/>
      <c r="P26" s="3452"/>
      <c r="Q26" s="1485"/>
      <c r="R26" s="713"/>
      <c r="S26" s="714"/>
      <c r="T26" s="713"/>
      <c r="U26" s="714"/>
      <c r="V26" s="713"/>
      <c r="W26" s="714"/>
      <c r="X26" s="1488"/>
      <c r="Y26" s="3452"/>
      <c r="Z26" s="1489"/>
      <c r="AA26" s="1486">
        <v>1</v>
      </c>
      <c r="AB26" s="1486">
        <v>1</v>
      </c>
      <c r="AC26" s="1486">
        <v>1</v>
      </c>
    </row>
    <row r="27" spans="1:29" s="113" customFormat="1" ht="42.75">
      <c r="A27" s="604"/>
      <c r="B27" s="1245" t="s">
        <v>2234</v>
      </c>
      <c r="C27" s="2035"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3"/>
      <c r="M27" s="2894"/>
      <c r="N27" s="2894"/>
      <c r="O27" s="2948"/>
      <c r="P27" s="3452"/>
      <c r="Q27" s="1476" t="str">
        <f t="shared" si="8"/>
        <v>公共配套设施</v>
      </c>
      <c r="R27" s="709" t="s">
        <v>17</v>
      </c>
      <c r="S27" s="710">
        <f>F27</f>
        <v>100</v>
      </c>
      <c r="T27" s="709" t="s">
        <v>17</v>
      </c>
      <c r="U27" s="710">
        <f>H27</f>
        <v>100</v>
      </c>
      <c r="V27" s="709" t="s">
        <v>17</v>
      </c>
      <c r="W27" s="710">
        <f>J27</f>
        <v>100</v>
      </c>
      <c r="X27" s="711"/>
      <c r="Y27" s="3452"/>
      <c r="Z27" s="55" t="str">
        <f>Q27</f>
        <v>公共配套设施</v>
      </c>
      <c r="AA27" s="1486">
        <f>D27/F27</f>
        <v>1</v>
      </c>
      <c r="AB27" s="1486">
        <f>D27/H27</f>
        <v>1</v>
      </c>
      <c r="AC27" s="1486">
        <f>D27/J27</f>
        <v>1</v>
      </c>
    </row>
    <row r="28" spans="1:29" s="113" customFormat="1" ht="15">
      <c r="A28" s="604"/>
      <c r="B28" s="414"/>
      <c r="C28" s="2112"/>
      <c r="D28" s="406"/>
      <c r="E28" s="2039"/>
      <c r="F28" s="406"/>
      <c r="G28" s="2039"/>
      <c r="H28" s="406"/>
      <c r="I28" s="405"/>
      <c r="J28" s="406"/>
      <c r="K28" s="627"/>
      <c r="L28" s="2893"/>
      <c r="M28" s="2894"/>
      <c r="N28" s="2894"/>
      <c r="O28" s="2948"/>
      <c r="P28" s="3452"/>
      <c r="Q28" s="1476"/>
      <c r="R28" s="709"/>
      <c r="S28" s="710"/>
      <c r="T28" s="709"/>
      <c r="U28" s="710"/>
      <c r="V28" s="709"/>
      <c r="W28" s="710"/>
      <c r="X28" s="711"/>
      <c r="Y28" s="3452"/>
      <c r="Z28" s="55"/>
      <c r="AA28" s="1486">
        <v>1</v>
      </c>
      <c r="AB28" s="1486">
        <v>1</v>
      </c>
      <c r="AC28" s="1486">
        <v>1</v>
      </c>
    </row>
    <row r="29" spans="1:29" s="113" customFormat="1" ht="28.5">
      <c r="A29" s="604"/>
      <c r="B29" s="1245" t="s">
        <v>2235</v>
      </c>
      <c r="C29" s="2035"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3"/>
      <c r="M29" s="2894"/>
      <c r="N29" s="2894"/>
      <c r="O29" s="2948"/>
      <c r="P29" s="3452"/>
      <c r="Q29" s="1476" t="str">
        <f t="shared" ref="Q29" si="9">B29</f>
        <v>基础设施水平</v>
      </c>
      <c r="R29" s="709" t="s">
        <v>17</v>
      </c>
      <c r="S29" s="710">
        <f>F29</f>
        <v>100</v>
      </c>
      <c r="T29" s="709" t="s">
        <v>17</v>
      </c>
      <c r="U29" s="710">
        <f>H29</f>
        <v>100</v>
      </c>
      <c r="V29" s="709" t="s">
        <v>17</v>
      </c>
      <c r="W29" s="710">
        <f>J29</f>
        <v>100</v>
      </c>
      <c r="X29" s="711"/>
      <c r="Y29" s="3452"/>
      <c r="Z29" s="55" t="str">
        <f>Q29</f>
        <v>基础设施水平</v>
      </c>
      <c r="AA29" s="1486">
        <f>D29/F29</f>
        <v>1</v>
      </c>
      <c r="AB29" s="1486">
        <f>D29/H29</f>
        <v>1</v>
      </c>
      <c r="AC29" s="1486">
        <f>D29/J29</f>
        <v>1</v>
      </c>
    </row>
    <row r="30" spans="1:29" s="113" customFormat="1" ht="15">
      <c r="A30" s="604"/>
      <c r="B30" s="414"/>
      <c r="C30" s="2112"/>
      <c r="D30" s="406"/>
      <c r="E30" s="2113"/>
      <c r="F30" s="406"/>
      <c r="G30" s="2113"/>
      <c r="H30" s="406"/>
      <c r="I30" s="2113"/>
      <c r="J30" s="406"/>
      <c r="K30" s="627"/>
      <c r="L30" s="2893"/>
      <c r="M30" s="2894"/>
      <c r="N30" s="2894"/>
      <c r="O30" s="2948"/>
      <c r="P30" s="3452"/>
      <c r="Q30" s="1476"/>
      <c r="R30" s="709"/>
      <c r="S30" s="710"/>
      <c r="T30" s="709"/>
      <c r="U30" s="710"/>
      <c r="V30" s="709"/>
      <c r="W30" s="710"/>
      <c r="X30" s="711"/>
      <c r="Y30" s="3452"/>
      <c r="Z30" s="55"/>
      <c r="AA30" s="1486">
        <v>1</v>
      </c>
      <c r="AB30" s="1486">
        <v>1</v>
      </c>
      <c r="AC30" s="1486">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8"/>
      <c r="M31" s="2892"/>
      <c r="N31" s="2892"/>
      <c r="O31" s="2950"/>
      <c r="P31" s="3452"/>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52"/>
      <c r="Z31" s="1489" t="str">
        <f t="shared" ref="Z31:Z45" si="13">Q31</f>
        <v>临街状况</v>
      </c>
      <c r="AA31" s="1486">
        <f t="shared" si="3"/>
        <v>1</v>
      </c>
      <c r="AB31" s="1486">
        <f t="shared" si="4"/>
        <v>1</v>
      </c>
      <c r="AC31" s="1486">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8"/>
      <c r="M32" s="2892"/>
      <c r="N32" s="2892"/>
      <c r="O32" s="2950"/>
      <c r="P32" s="3452"/>
      <c r="Q32" s="1485" t="str">
        <f t="shared" si="8"/>
        <v>毗邻道路的类型与等级</v>
      </c>
      <c r="R32" s="713" t="s">
        <v>17</v>
      </c>
      <c r="S32" s="714">
        <f t="shared" si="10"/>
        <v>100</v>
      </c>
      <c r="T32" s="713" t="s">
        <v>17</v>
      </c>
      <c r="U32" s="714">
        <f t="shared" si="11"/>
        <v>100</v>
      </c>
      <c r="V32" s="713" t="s">
        <v>17</v>
      </c>
      <c r="W32" s="714">
        <f t="shared" si="12"/>
        <v>100</v>
      </c>
      <c r="X32" s="1488"/>
      <c r="Y32" s="3452"/>
      <c r="Z32" s="1489" t="str">
        <f t="shared" si="13"/>
        <v>毗邻道路的类型与等级</v>
      </c>
      <c r="AA32" s="1486">
        <f t="shared" si="3"/>
        <v>1</v>
      </c>
      <c r="AB32" s="1486">
        <f t="shared" si="4"/>
        <v>1</v>
      </c>
      <c r="AC32" s="1486">
        <f t="shared" si="5"/>
        <v>1</v>
      </c>
    </row>
    <row r="33" spans="1:29" ht="15">
      <c r="A33" s="386"/>
      <c r="B33" s="414"/>
      <c r="C33" s="405"/>
      <c r="D33" s="406"/>
      <c r="E33" s="2039"/>
      <c r="F33" s="406"/>
      <c r="G33" s="2039"/>
      <c r="H33" s="406"/>
      <c r="I33" s="405"/>
      <c r="J33" s="406"/>
      <c r="K33" s="569"/>
      <c r="L33" s="2898"/>
      <c r="M33" s="2892"/>
      <c r="N33" s="2892"/>
      <c r="O33" s="2950"/>
      <c r="P33" s="3452"/>
      <c r="Q33" s="1485"/>
      <c r="R33" s="713"/>
      <c r="S33" s="714"/>
      <c r="T33" s="713"/>
      <c r="U33" s="714"/>
      <c r="V33" s="713"/>
      <c r="W33" s="714"/>
      <c r="X33" s="1488"/>
      <c r="Y33" s="3452"/>
      <c r="Z33" s="1489"/>
      <c r="AA33" s="1486">
        <v>1</v>
      </c>
      <c r="AB33" s="1486">
        <v>1</v>
      </c>
      <c r="AC33" s="1486">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8"/>
      <c r="M34" s="2892"/>
      <c r="N34" s="2892"/>
      <c r="O34" s="2950"/>
      <c r="P34" s="3452"/>
      <c r="Q34" s="1485" t="str">
        <f t="shared" si="8"/>
        <v>土地级别</v>
      </c>
      <c r="R34" s="713" t="s">
        <v>17</v>
      </c>
      <c r="S34" s="714">
        <f t="shared" si="10"/>
        <v>100</v>
      </c>
      <c r="T34" s="713" t="s">
        <v>17</v>
      </c>
      <c r="U34" s="714">
        <f t="shared" si="11"/>
        <v>100</v>
      </c>
      <c r="V34" s="713" t="s">
        <v>17</v>
      </c>
      <c r="W34" s="714">
        <f t="shared" si="12"/>
        <v>100</v>
      </c>
      <c r="X34" s="1488"/>
      <c r="Y34" s="3452"/>
      <c r="Z34" s="1489" t="str">
        <f t="shared" si="13"/>
        <v>土地级别</v>
      </c>
      <c r="AA34" s="1486">
        <f t="shared" si="3"/>
        <v>1</v>
      </c>
      <c r="AB34" s="1486">
        <f t="shared" si="4"/>
        <v>1</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8"/>
      <c r="M35" s="2892"/>
      <c r="N35" s="2892"/>
      <c r="O35" s="2950"/>
      <c r="P35" s="3452"/>
      <c r="Q35" s="1485">
        <f t="shared" si="8"/>
        <v>111</v>
      </c>
      <c r="R35" s="713" t="s">
        <v>17</v>
      </c>
      <c r="S35" s="714">
        <f t="shared" si="10"/>
        <v>100</v>
      </c>
      <c r="T35" s="713" t="s">
        <v>17</v>
      </c>
      <c r="U35" s="714">
        <f t="shared" si="11"/>
        <v>100</v>
      </c>
      <c r="V35" s="713" t="s">
        <v>17</v>
      </c>
      <c r="W35" s="714">
        <f t="shared" si="12"/>
        <v>100</v>
      </c>
      <c r="X35" s="1488"/>
      <c r="Y35" s="3452"/>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8"/>
      <c r="M36" s="2892"/>
      <c r="N36" s="2892"/>
      <c r="O36" s="2950"/>
      <c r="P36" s="3453" t="s">
        <v>2145</v>
      </c>
      <c r="Q36" s="1485">
        <f t="shared" si="8"/>
        <v>111</v>
      </c>
      <c r="R36" s="713" t="s">
        <v>17</v>
      </c>
      <c r="S36" s="714">
        <f t="shared" si="10"/>
        <v>100</v>
      </c>
      <c r="T36" s="713" t="s">
        <v>17</v>
      </c>
      <c r="U36" s="714">
        <f t="shared" si="11"/>
        <v>100</v>
      </c>
      <c r="V36" s="713" t="s">
        <v>17</v>
      </c>
      <c r="W36" s="714">
        <f t="shared" si="12"/>
        <v>100</v>
      </c>
      <c r="X36" s="1488"/>
      <c r="Y36" s="3454" t="s">
        <v>2145</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7"/>
      <c r="M37" s="2899"/>
      <c r="N37" s="2899"/>
      <c r="O37" s="2951"/>
      <c r="P37" s="3454"/>
      <c r="Q37" s="1485">
        <f t="shared" si="8"/>
        <v>111</v>
      </c>
      <c r="R37" s="716" t="s">
        <v>17</v>
      </c>
      <c r="S37" s="717">
        <f t="shared" si="10"/>
        <v>100</v>
      </c>
      <c r="T37" s="716" t="s">
        <v>17</v>
      </c>
      <c r="U37" s="717">
        <f t="shared" si="11"/>
        <v>100</v>
      </c>
      <c r="V37" s="716" t="s">
        <v>17</v>
      </c>
      <c r="W37" s="717">
        <f t="shared" si="12"/>
        <v>100</v>
      </c>
      <c r="X37" s="718"/>
      <c r="Y37" s="3454"/>
      <c r="Z37" s="719">
        <f t="shared" si="13"/>
        <v>111</v>
      </c>
      <c r="AA37" s="1486">
        <f t="shared" si="3"/>
        <v>1</v>
      </c>
      <c r="AB37" s="1486">
        <f t="shared" si="4"/>
        <v>1</v>
      </c>
      <c r="AC37" s="1486">
        <f t="shared" si="5"/>
        <v>1</v>
      </c>
    </row>
    <row r="38" spans="1:29" ht="15">
      <c r="A38" s="430" t="s">
        <v>2143</v>
      </c>
      <c r="B38" s="414" t="s">
        <v>2331</v>
      </c>
      <c r="C38" s="634">
        <f>'数据-基础表'!A3</f>
        <v>17188</v>
      </c>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8"/>
      <c r="M38" s="2892"/>
      <c r="N38" s="2892"/>
      <c r="O38" s="2950"/>
      <c r="P38" s="3454"/>
      <c r="Q38" s="1485" t="str">
        <f>B38</f>
        <v>宗地面积</v>
      </c>
      <c r="R38" s="713" t="s">
        <v>17</v>
      </c>
      <c r="S38" s="714" t="e">
        <f t="shared" si="10"/>
        <v>#N/A</v>
      </c>
      <c r="T38" s="713" t="s">
        <v>17</v>
      </c>
      <c r="U38" s="714" t="e">
        <f t="shared" si="11"/>
        <v>#N/A</v>
      </c>
      <c r="V38" s="713" t="s">
        <v>17</v>
      </c>
      <c r="W38" s="714" t="e">
        <f t="shared" si="12"/>
        <v>#N/A</v>
      </c>
      <c r="X38" s="1488"/>
      <c r="Y38" s="3454"/>
      <c r="Z38" s="1489" t="str">
        <f t="shared" si="13"/>
        <v>宗地面积</v>
      </c>
      <c r="AA38" s="1486" t="e">
        <f t="shared" si="3"/>
        <v>#N/A</v>
      </c>
      <c r="AB38" s="1486" t="e">
        <f t="shared" si="4"/>
        <v>#N/A</v>
      </c>
      <c r="AC38" s="1486" t="e">
        <f t="shared" si="5"/>
        <v>#N/A</v>
      </c>
    </row>
    <row r="39" spans="1:29" ht="15">
      <c r="A39" s="430"/>
      <c r="B39" s="380" t="s">
        <v>2332</v>
      </c>
      <c r="C39" s="2041"/>
      <c r="D39" s="393">
        <v>100</v>
      </c>
      <c r="E39" s="2041"/>
      <c r="F39" s="393">
        <f>SUMIF(118:118,E39,119:119)-SUMIF(118:118,C39,119:119)+100</f>
        <v>100</v>
      </c>
      <c r="G39" s="2041"/>
      <c r="H39" s="393">
        <f>SUMIF(118:118,G39,119:119)-SUMIF(118:118,C39,119:119)+100</f>
        <v>100</v>
      </c>
      <c r="I39" s="2041"/>
      <c r="J39" s="393">
        <f>SUMIF(118:118,I39,119:119)-SUMIF(118:118,C39,119:119)+100</f>
        <v>100</v>
      </c>
      <c r="K39" s="568"/>
      <c r="L39" s="2898"/>
      <c r="M39" s="2892"/>
      <c r="N39" s="2892"/>
      <c r="O39" s="2950"/>
      <c r="P39" s="3454"/>
      <c r="Q39" s="1485" t="str">
        <f t="shared" ref="Q39:Q45" si="14">B39</f>
        <v>宗地形状</v>
      </c>
      <c r="R39" s="713" t="s">
        <v>17</v>
      </c>
      <c r="S39" s="714">
        <f t="shared" si="10"/>
        <v>100</v>
      </c>
      <c r="T39" s="713" t="s">
        <v>17</v>
      </c>
      <c r="U39" s="714">
        <f t="shared" si="11"/>
        <v>100</v>
      </c>
      <c r="V39" s="713" t="s">
        <v>17</v>
      </c>
      <c r="W39" s="714">
        <f t="shared" si="12"/>
        <v>100</v>
      </c>
      <c r="X39" s="1488"/>
      <c r="Y39" s="3454"/>
      <c r="Z39" s="1489" t="str">
        <f t="shared" si="13"/>
        <v>宗地形状</v>
      </c>
      <c r="AA39" s="1486">
        <f t="shared" si="3"/>
        <v>1</v>
      </c>
      <c r="AB39" s="1486">
        <f t="shared" si="4"/>
        <v>1</v>
      </c>
      <c r="AC39" s="1486">
        <f t="shared" si="5"/>
        <v>1</v>
      </c>
    </row>
    <row r="40" spans="1:29" ht="15">
      <c r="A40" s="430"/>
      <c r="B40" s="380" t="s">
        <v>2333</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8"/>
      <c r="M40" s="2892"/>
      <c r="N40" s="2892"/>
      <c r="O40" s="2950"/>
      <c r="P40" s="3454"/>
      <c r="Q40" s="1485" t="str">
        <f t="shared" si="14"/>
        <v>临街宽度及深度</v>
      </c>
      <c r="R40" s="713" t="s">
        <v>17</v>
      </c>
      <c r="S40" s="714">
        <f t="shared" si="10"/>
        <v>100</v>
      </c>
      <c r="T40" s="713" t="s">
        <v>17</v>
      </c>
      <c r="U40" s="714">
        <f t="shared" si="11"/>
        <v>100</v>
      </c>
      <c r="V40" s="713" t="s">
        <v>17</v>
      </c>
      <c r="W40" s="714">
        <f t="shared" si="12"/>
        <v>100</v>
      </c>
      <c r="X40" s="1488"/>
      <c r="Y40" s="3454"/>
      <c r="Z40" s="1489" t="str">
        <f t="shared" si="13"/>
        <v>临街宽度及深度</v>
      </c>
      <c r="AA40" s="1486">
        <f t="shared" si="3"/>
        <v>1</v>
      </c>
      <c r="AB40" s="1486">
        <f t="shared" si="4"/>
        <v>1</v>
      </c>
      <c r="AC40" s="1486">
        <f t="shared" si="5"/>
        <v>1</v>
      </c>
    </row>
    <row r="41" spans="1:29" s="113" customFormat="1" ht="15">
      <c r="A41" s="431"/>
      <c r="B41" s="380" t="s">
        <v>2334</v>
      </c>
      <c r="C41" s="2114"/>
      <c r="D41" s="131">
        <v>100</v>
      </c>
      <c r="E41" s="2114"/>
      <c r="F41" s="393">
        <f>SUMIF(122:122,E41,123:123)-SUMIF(122:122,C41,123:123)+100</f>
        <v>100</v>
      </c>
      <c r="G41" s="2114"/>
      <c r="H41" s="393">
        <f>SUMIF(122:122,G41,123:123)-SUMIF(122:122,C41,123:123)+100</f>
        <v>100</v>
      </c>
      <c r="I41" s="2114"/>
      <c r="J41" s="393">
        <f>SUMIF(122:122,I41,123:123)-SUMIF(122:122,C41,123:123)+100</f>
        <v>100</v>
      </c>
      <c r="K41" s="568"/>
      <c r="L41" s="2893"/>
      <c r="M41" s="2894"/>
      <c r="N41" s="2894"/>
      <c r="O41" s="2948"/>
      <c r="P41" s="3454"/>
      <c r="Q41" s="1485" t="str">
        <f t="shared" si="14"/>
        <v>宗地开发程度</v>
      </c>
      <c r="R41" s="709" t="s">
        <v>17</v>
      </c>
      <c r="S41" s="710">
        <f t="shared" si="10"/>
        <v>100</v>
      </c>
      <c r="T41" s="709" t="s">
        <v>17</v>
      </c>
      <c r="U41" s="710">
        <f t="shared" si="11"/>
        <v>100</v>
      </c>
      <c r="V41" s="709" t="s">
        <v>17</v>
      </c>
      <c r="W41" s="710">
        <f t="shared" si="12"/>
        <v>100</v>
      </c>
      <c r="X41" s="711"/>
      <c r="Y41" s="3454"/>
      <c r="Z41" s="55" t="str">
        <f t="shared" si="13"/>
        <v>宗地开发程度</v>
      </c>
      <c r="AA41" s="712">
        <f t="shared" si="3"/>
        <v>1</v>
      </c>
      <c r="AB41" s="712">
        <f t="shared" si="4"/>
        <v>1</v>
      </c>
      <c r="AC41" s="712">
        <f t="shared" si="5"/>
        <v>1</v>
      </c>
    </row>
    <row r="42" spans="1:29" ht="15">
      <c r="A42" s="430"/>
      <c r="B42" s="380" t="s">
        <v>2335</v>
      </c>
      <c r="C42" s="2041"/>
      <c r="D42" s="393">
        <v>100</v>
      </c>
      <c r="E42" s="2041"/>
      <c r="F42" s="393">
        <f>SUMIF(124:124,E42,125:125)-SUMIF(124:124,C42,125:125)+100</f>
        <v>100</v>
      </c>
      <c r="G42" s="2041"/>
      <c r="H42" s="393">
        <f>SUMIF(124:124,G42,125:125)-SUMIF(124:124,C42,125:125)+100</f>
        <v>100</v>
      </c>
      <c r="I42" s="2041"/>
      <c r="J42" s="393">
        <f>SUMIF(124:124,I42,125:125)-SUMIF(124:124,C42,125:125)+100</f>
        <v>100</v>
      </c>
      <c r="K42" s="568"/>
      <c r="L42" s="2898"/>
      <c r="M42" s="2892"/>
      <c r="N42" s="2892"/>
      <c r="O42" s="2950"/>
      <c r="P42" s="3454" t="s">
        <v>2145</v>
      </c>
      <c r="Q42" s="1485" t="str">
        <f t="shared" si="14"/>
        <v>工程地质条件</v>
      </c>
      <c r="R42" s="713" t="s">
        <v>17</v>
      </c>
      <c r="S42" s="714">
        <f t="shared" si="10"/>
        <v>100</v>
      </c>
      <c r="T42" s="713" t="s">
        <v>17</v>
      </c>
      <c r="U42" s="714">
        <f t="shared" si="11"/>
        <v>100</v>
      </c>
      <c r="V42" s="713" t="s">
        <v>17</v>
      </c>
      <c r="W42" s="714">
        <f t="shared" si="12"/>
        <v>100</v>
      </c>
      <c r="X42" s="1488"/>
      <c r="Y42" s="3454" t="s">
        <v>2145</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8"/>
      <c r="M43" s="2892"/>
      <c r="N43" s="2892"/>
      <c r="O43" s="2950"/>
      <c r="P43" s="3454"/>
      <c r="Q43" s="1485">
        <f t="shared" si="14"/>
        <v>111</v>
      </c>
      <c r="R43" s="713" t="s">
        <v>17</v>
      </c>
      <c r="S43" s="714">
        <f t="shared" si="10"/>
        <v>100</v>
      </c>
      <c r="T43" s="713" t="s">
        <v>17</v>
      </c>
      <c r="U43" s="714">
        <f t="shared" si="11"/>
        <v>100</v>
      </c>
      <c r="V43" s="713" t="s">
        <v>17</v>
      </c>
      <c r="W43" s="714">
        <f t="shared" si="12"/>
        <v>100</v>
      </c>
      <c r="X43" s="1488"/>
      <c r="Y43" s="3454"/>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8"/>
      <c r="M44" s="2892"/>
      <c r="N44" s="2892"/>
      <c r="O44" s="2950"/>
      <c r="P44" s="3454"/>
      <c r="Q44" s="1485">
        <f t="shared" si="14"/>
        <v>111</v>
      </c>
      <c r="R44" s="713" t="s">
        <v>17</v>
      </c>
      <c r="S44" s="714">
        <f t="shared" si="10"/>
        <v>100</v>
      </c>
      <c r="T44" s="713" t="s">
        <v>17</v>
      </c>
      <c r="U44" s="714">
        <f t="shared" si="11"/>
        <v>100</v>
      </c>
      <c r="V44" s="713" t="s">
        <v>17</v>
      </c>
      <c r="W44" s="714">
        <f t="shared" si="12"/>
        <v>100</v>
      </c>
      <c r="X44" s="1488"/>
      <c r="Y44" s="3454"/>
      <c r="Z44" s="1489">
        <f t="shared" si="13"/>
        <v>111</v>
      </c>
      <c r="AA44" s="1486">
        <f t="shared" si="3"/>
        <v>1</v>
      </c>
      <c r="AB44" s="1486">
        <f t="shared" si="4"/>
        <v>1</v>
      </c>
      <c r="AC44" s="1486">
        <f t="shared" si="5"/>
        <v>1</v>
      </c>
    </row>
    <row r="45" spans="1:29" s="429" customFormat="1" ht="15.75" thickBot="1">
      <c r="A45" s="426"/>
      <c r="B45" s="1248">
        <v>111</v>
      </c>
      <c r="C45" s="2115"/>
      <c r="D45" s="635">
        <v>100</v>
      </c>
      <c r="E45" s="629"/>
      <c r="F45" s="396">
        <f>SUMIF(130:130,E45,131:131)-SUMIF(130:130,C45,131:131)+100</f>
        <v>100</v>
      </c>
      <c r="G45" s="629"/>
      <c r="H45" s="396">
        <f>SUMIF(130:130,G45,131:131)-SUMIF(130:130,C45,131:131)+100</f>
        <v>100</v>
      </c>
      <c r="I45" s="629"/>
      <c r="J45" s="396">
        <f>SUMIF(130:130,I45,131:131)-SUMIF(130:130,C45,131:131)+100</f>
        <v>100</v>
      </c>
      <c r="K45" s="636"/>
      <c r="L45" s="2897"/>
      <c r="M45" s="2899"/>
      <c r="N45" s="2899"/>
      <c r="O45" s="2951"/>
      <c r="P45" s="3454"/>
      <c r="Q45" s="1485">
        <f t="shared" si="14"/>
        <v>111</v>
      </c>
      <c r="R45" s="716" t="s">
        <v>17</v>
      </c>
      <c r="S45" s="717">
        <f t="shared" si="10"/>
        <v>100</v>
      </c>
      <c r="T45" s="716" t="s">
        <v>17</v>
      </c>
      <c r="U45" s="717">
        <f t="shared" si="11"/>
        <v>100</v>
      </c>
      <c r="V45" s="716" t="s">
        <v>17</v>
      </c>
      <c r="W45" s="717">
        <f t="shared" si="12"/>
        <v>100</v>
      </c>
      <c r="X45" s="718"/>
      <c r="Y45" s="3454"/>
      <c r="Z45" s="719">
        <f t="shared" si="13"/>
        <v>111</v>
      </c>
      <c r="AA45" s="1486">
        <f t="shared" si="3"/>
        <v>1</v>
      </c>
      <c r="AB45" s="1486">
        <f t="shared" si="4"/>
        <v>1</v>
      </c>
      <c r="AC45" s="1486">
        <f t="shared" si="5"/>
        <v>1</v>
      </c>
    </row>
    <row r="46" spans="1:29" ht="15">
      <c r="A46" s="437" t="s">
        <v>2300</v>
      </c>
      <c r="B46" s="2116" t="s">
        <v>3517</v>
      </c>
      <c r="C46" s="637" t="s">
        <v>1</v>
      </c>
      <c r="D46" s="439"/>
      <c r="E46" s="440"/>
      <c r="F46" s="441"/>
      <c r="G46" s="442"/>
      <c r="H46" s="443"/>
      <c r="I46" s="440"/>
      <c r="J46" s="443"/>
      <c r="K46" s="722"/>
      <c r="L46" s="2900"/>
      <c r="M46" s="2901"/>
      <c r="N46" s="2892"/>
      <c r="O46" s="2901"/>
      <c r="P46" s="3450" t="str">
        <f>A46</f>
        <v>成交单价</v>
      </c>
      <c r="Q46" s="3450"/>
      <c r="R46" s="3455">
        <f>E46</f>
        <v>0</v>
      </c>
      <c r="S46" s="3455"/>
      <c r="T46" s="3455">
        <f>G46</f>
        <v>0</v>
      </c>
      <c r="U46" s="3455"/>
      <c r="V46" s="3455">
        <f>I46</f>
        <v>0</v>
      </c>
      <c r="W46" s="3455"/>
      <c r="X46" s="698"/>
      <c r="Y46" s="720"/>
      <c r="Z46" s="698"/>
      <c r="AA46" s="698"/>
      <c r="AB46" s="698"/>
      <c r="AC46" s="698"/>
    </row>
    <row r="47" spans="1:29" ht="15.75" thickBot="1">
      <c r="A47" s="444" t="s">
        <v>2249</v>
      </c>
      <c r="B47" s="638"/>
      <c r="C47" s="447" t="e">
        <f>R48</f>
        <v>#DIV/0!</v>
      </c>
      <c r="D47" s="2486" t="s">
        <v>2637</v>
      </c>
      <c r="E47" s="447" t="e">
        <f>R47</f>
        <v>#DIV/0!</v>
      </c>
      <c r="F47" s="2487"/>
      <c r="G47" s="446" t="e">
        <f>T47</f>
        <v>#DIV/0!</v>
      </c>
      <c r="H47" s="2487"/>
      <c r="I47" s="447" t="e">
        <f>V47</f>
        <v>#DIV/0!</v>
      </c>
      <c r="J47" s="2487"/>
      <c r="K47" s="2489">
        <f>F47+H47+J47</f>
        <v>0</v>
      </c>
      <c r="L47" s="2900"/>
      <c r="M47" s="2901"/>
      <c r="N47" s="2901"/>
      <c r="O47" s="2901"/>
      <c r="P47" s="3450" t="str">
        <f>A47</f>
        <v>比较价值（元/平方米）</v>
      </c>
      <c r="Q47" s="3450"/>
      <c r="R47" s="3443" t="e">
        <f>ROUND(PRODUCT(R46,AA7:AA45),0)</f>
        <v>#DIV/0!</v>
      </c>
      <c r="S47" s="3443"/>
      <c r="T47" s="3443" t="e">
        <f>ROUND(PRODUCT(T46,AB7:AB45),0)</f>
        <v>#DIV/0!</v>
      </c>
      <c r="U47" s="3443"/>
      <c r="V47" s="3443" t="e">
        <f>ROUND(PRODUCT(V46,AC7:AC45),0)</f>
        <v>#DIV/0!</v>
      </c>
      <c r="W47" s="3443"/>
      <c r="X47" s="698"/>
      <c r="Y47" s="698"/>
      <c r="Z47" s="698"/>
      <c r="AA47" s="698"/>
      <c r="AB47" s="698"/>
      <c r="AC47" s="698"/>
    </row>
    <row r="48" spans="1:29" ht="15.75" thickBot="1">
      <c r="A48" s="448" t="s">
        <v>2336</v>
      </c>
      <c r="B48" s="449"/>
      <c r="C48" s="450" t="e">
        <f>R48</f>
        <v>#DIV/0!</v>
      </c>
      <c r="D48" s="450"/>
      <c r="E48" s="450"/>
      <c r="F48" s="450"/>
      <c r="G48" s="450"/>
      <c r="H48" s="450"/>
      <c r="I48" s="450"/>
      <c r="J48" s="450"/>
      <c r="K48" s="723"/>
      <c r="L48" s="2900"/>
      <c r="M48" s="2901"/>
      <c r="N48" s="2901"/>
      <c r="O48" s="2901"/>
      <c r="P48" s="3444" t="str">
        <f>A48</f>
        <v>估价对象XX用房的比较价值（楼面单价，元/平方米）</v>
      </c>
      <c r="Q48" s="3445"/>
      <c r="R48" s="3446" t="e">
        <f>ROUND(IF(D47="简单平均",AVERAGE(R47:W47),R47*F47+T47*H47+V47*J47),0)</f>
        <v>#DIV/0!</v>
      </c>
      <c r="S48" s="3446"/>
      <c r="T48" s="3446"/>
      <c r="U48" s="3446"/>
      <c r="V48" s="3446"/>
      <c r="W48" s="3446"/>
      <c r="X48" s="698"/>
      <c r="Y48" s="698"/>
      <c r="Z48" s="698"/>
      <c r="AA48" s="698"/>
      <c r="AB48" s="698"/>
      <c r="AC48" s="698"/>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8" customFormat="1" ht="13.5" customHeight="1">
      <c r="A53" s="2904"/>
      <c r="B53" s="2904"/>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8" customFormat="1" ht="15" thickBot="1">
      <c r="A54" s="2904"/>
      <c r="B54" s="2907"/>
      <c r="C54" s="701"/>
      <c r="D54" s="699"/>
      <c r="E54" s="699"/>
      <c r="F54" s="699"/>
      <c r="G54" s="699"/>
      <c r="H54" s="699"/>
      <c r="I54" s="699"/>
      <c r="J54" s="699"/>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39" t="s">
        <v>2337</v>
      </c>
      <c r="B55" s="640" t="s">
        <v>2338</v>
      </c>
      <c r="C55" s="2117" t="s">
        <v>2339</v>
      </c>
      <c r="D55" s="2118" t="s">
        <v>2340</v>
      </c>
      <c r="E55" s="641" t="s">
        <v>2341</v>
      </c>
      <c r="F55" s="1001" t="s">
        <v>2342</v>
      </c>
      <c r="G55" s="3447" t="s">
        <v>2343</v>
      </c>
      <c r="H55" s="3448"/>
      <c r="I55" s="139" t="s">
        <v>2344</v>
      </c>
      <c r="J55" s="2119">
        <f>项目基本情况!F35</f>
        <v>0</v>
      </c>
      <c r="K55" s="2120" t="s">
        <v>2345</v>
      </c>
      <c r="L55" s="2902"/>
      <c r="M55" s="2901"/>
      <c r="N55" s="2901"/>
      <c r="O55" s="2901"/>
      <c r="P55" s="2901"/>
      <c r="Q55" s="2901"/>
      <c r="R55" s="2901"/>
      <c r="S55" s="2901"/>
      <c r="T55" s="2901"/>
      <c r="U55" s="2901"/>
      <c r="V55" s="2901"/>
      <c r="W55" s="2901"/>
      <c r="X55" s="2901"/>
      <c r="Y55" s="2901"/>
      <c r="Z55" s="2901"/>
      <c r="AA55" s="2901"/>
      <c r="AB55" s="2901"/>
      <c r="AC55" s="2901"/>
    </row>
    <row r="56" spans="1:29" s="647" customFormat="1">
      <c r="A56" s="643" t="s">
        <v>2346</v>
      </c>
      <c r="B56" s="644" t="e">
        <f>C48</f>
        <v>#DIV/0!</v>
      </c>
      <c r="C56" s="645">
        <v>1</v>
      </c>
      <c r="D56" s="1055">
        <v>1</v>
      </c>
      <c r="E56" s="645">
        <f>'数据-汇总表'!E8+'数据-汇总表'!E9</f>
        <v>13867.57</v>
      </c>
      <c r="F56" s="997" t="e">
        <f t="shared" ref="F56:F64" si="15">ROUND(B56*E56/10000,0)</f>
        <v>#DIV/0!</v>
      </c>
      <c r="G56" s="3449"/>
      <c r="H56" s="3450"/>
      <c r="I56" s="1002">
        <v>1</v>
      </c>
      <c r="J56" s="1005">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7" customFormat="1">
      <c r="A57" s="648" t="s">
        <v>2347</v>
      </c>
      <c r="B57" s="223" t="e">
        <f>ROUND($C$48*C57*D57,0)</f>
        <v>#DIV/0!</v>
      </c>
      <c r="C57" s="175">
        <f t="shared" ref="C57:C64" si="16">IF($C$55="北京市系数",I57,J57)</f>
        <v>0</v>
      </c>
      <c r="D57" s="1056">
        <v>0.25</v>
      </c>
      <c r="E57" s="649"/>
      <c r="F57" s="997" t="e">
        <f t="shared" si="15"/>
        <v>#DIV/0!</v>
      </c>
      <c r="G57" s="3225" t="s">
        <v>2348</v>
      </c>
      <c r="H57" s="998">
        <f>项目基本情况!B37</f>
        <v>0</v>
      </c>
      <c r="I57" s="1002">
        <f>SUMIF(修正!A57:A68,H57,修正!B57:B68)</f>
        <v>0</v>
      </c>
      <c r="J57" s="1006"/>
      <c r="K57" s="2901"/>
      <c r="L57" s="2958"/>
      <c r="M57" s="2958"/>
      <c r="N57" s="2958"/>
      <c r="O57" s="2958"/>
      <c r="P57" s="2958"/>
      <c r="Q57" s="2958"/>
      <c r="R57" s="2958"/>
      <c r="S57" s="2958"/>
      <c r="T57" s="2958"/>
      <c r="U57" s="2958"/>
      <c r="V57" s="2958"/>
      <c r="W57" s="2958"/>
      <c r="X57" s="2958"/>
      <c r="Y57" s="2958"/>
      <c r="Z57" s="2958"/>
      <c r="AA57" s="2958"/>
      <c r="AB57" s="2958"/>
      <c r="AC57" s="2958"/>
    </row>
    <row r="58" spans="1:29" s="647" customFormat="1">
      <c r="A58" s="648" t="s">
        <v>2349</v>
      </c>
      <c r="B58" s="223" t="e">
        <f t="shared" ref="B58:B64" si="17">ROUND($C$48*C58*D58,0)</f>
        <v>#DIV/0!</v>
      </c>
      <c r="C58" s="175">
        <f t="shared" si="16"/>
        <v>0</v>
      </c>
      <c r="D58" s="1056">
        <v>0.25</v>
      </c>
      <c r="E58" s="649"/>
      <c r="F58" s="997" t="e">
        <f t="shared" si="15"/>
        <v>#DIV/0!</v>
      </c>
      <c r="G58" s="3226"/>
      <c r="H58" s="998">
        <f>项目基本情况!B37</f>
        <v>0</v>
      </c>
      <c r="I58" s="1002">
        <f>SUMIF(修正!A57:A68,H58,修正!C57:C68)</f>
        <v>0</v>
      </c>
      <c r="J58" s="1006"/>
      <c r="K58" s="2904"/>
      <c r="L58" s="2958"/>
      <c r="M58" s="2958"/>
      <c r="N58" s="2958"/>
      <c r="O58" s="2958"/>
      <c r="P58" s="2958"/>
      <c r="Q58" s="2958"/>
      <c r="R58" s="2958"/>
      <c r="S58" s="2958"/>
      <c r="T58" s="2958"/>
      <c r="U58" s="2958"/>
      <c r="V58" s="2958"/>
      <c r="W58" s="2958"/>
      <c r="X58" s="2958"/>
      <c r="Y58" s="2958"/>
      <c r="Z58" s="2958"/>
      <c r="AA58" s="2958"/>
      <c r="AB58" s="2958"/>
      <c r="AC58" s="2958"/>
    </row>
    <row r="59" spans="1:29" s="647" customFormat="1">
      <c r="A59" s="648" t="s">
        <v>2350</v>
      </c>
      <c r="B59" s="223" t="e">
        <f t="shared" si="17"/>
        <v>#DIV/0!</v>
      </c>
      <c r="C59" s="175">
        <f t="shared" si="16"/>
        <v>0</v>
      </c>
      <c r="D59" s="1056">
        <v>0.25</v>
      </c>
      <c r="E59" s="649"/>
      <c r="F59" s="997" t="e">
        <f t="shared" si="15"/>
        <v>#DIV/0!</v>
      </c>
      <c r="G59" s="3226"/>
      <c r="H59" s="998">
        <f>项目基本情况!B37</f>
        <v>0</v>
      </c>
      <c r="I59" s="1002">
        <f>SUMIF(修正!A57:A68,H59,修正!D57:D68)</f>
        <v>0</v>
      </c>
      <c r="J59" s="1006"/>
      <c r="K59" s="2901"/>
      <c r="L59" s="2958"/>
      <c r="M59" s="2958"/>
      <c r="N59" s="2958"/>
      <c r="O59" s="2958"/>
      <c r="P59" s="2958"/>
      <c r="Q59" s="2958"/>
      <c r="R59" s="2958"/>
      <c r="S59" s="2958"/>
      <c r="T59" s="2958"/>
      <c r="U59" s="2958"/>
      <c r="V59" s="2958"/>
      <c r="W59" s="2958"/>
      <c r="X59" s="2958"/>
      <c r="Y59" s="2958"/>
      <c r="Z59" s="2958"/>
      <c r="AA59" s="2958"/>
      <c r="AB59" s="2958"/>
      <c r="AC59" s="2958"/>
    </row>
    <row r="60" spans="1:29" s="647" customFormat="1">
      <c r="A60" s="648" t="s">
        <v>2351</v>
      </c>
      <c r="B60" s="223" t="e">
        <f t="shared" si="17"/>
        <v>#DIV/0!</v>
      </c>
      <c r="C60" s="175">
        <f t="shared" si="16"/>
        <v>0</v>
      </c>
      <c r="D60" s="1056">
        <v>0.25</v>
      </c>
      <c r="E60" s="222">
        <f>'数据-汇总表'!E11</f>
        <v>0</v>
      </c>
      <c r="F60" s="997" t="e">
        <f t="shared" si="15"/>
        <v>#DIV/0!</v>
      </c>
      <c r="G60" s="2121" t="s">
        <v>2352</v>
      </c>
      <c r="H60" s="998">
        <f>项目基本情况!C37</f>
        <v>0</v>
      </c>
      <c r="I60" s="1002">
        <f>SUMIF(修正!A57:A68,H60,修正!E57:E68)</f>
        <v>0</v>
      </c>
      <c r="J60" s="1006"/>
      <c r="K60" s="2901"/>
      <c r="L60" s="2958"/>
      <c r="M60" s="2958"/>
      <c r="N60" s="2958"/>
      <c r="O60" s="2958"/>
      <c r="P60" s="2958"/>
      <c r="Q60" s="2958"/>
      <c r="R60" s="2958"/>
      <c r="S60" s="2958"/>
      <c r="T60" s="2958"/>
      <c r="U60" s="2958"/>
      <c r="V60" s="2958"/>
      <c r="W60" s="2958"/>
      <c r="X60" s="2958"/>
      <c r="Y60" s="2958"/>
      <c r="Z60" s="2958"/>
      <c r="AA60" s="2958"/>
      <c r="AB60" s="2958"/>
      <c r="AC60" s="2958"/>
    </row>
    <row r="61" spans="1:29" s="647" customFormat="1">
      <c r="A61" s="648" t="s">
        <v>2353</v>
      </c>
      <c r="B61" s="223" t="e">
        <f t="shared" si="17"/>
        <v>#DIV/0!</v>
      </c>
      <c r="C61" s="175">
        <f t="shared" si="16"/>
        <v>0</v>
      </c>
      <c r="D61" s="1056">
        <v>0.25</v>
      </c>
      <c r="E61" s="222">
        <f>'数据-汇总表'!E12</f>
        <v>0</v>
      </c>
      <c r="F61" s="997" t="e">
        <f t="shared" si="15"/>
        <v>#DIV/0!</v>
      </c>
      <c r="G61" s="1003" t="s">
        <v>2354</v>
      </c>
      <c r="H61" s="998">
        <f>IF(G61="商业",项目基本情况!B37,IF(G61="办公",项目基本情况!C37,IF(G61="住宅",项目基本情况!D37,项目基本情况!E37)))</f>
        <v>0</v>
      </c>
      <c r="I61" s="1002">
        <f>SUMIF(修正!A57:A68,H61,修正!F57:F68)</f>
        <v>0</v>
      </c>
      <c r="J61" s="1006"/>
      <c r="K61" s="2904"/>
      <c r="L61" s="2958"/>
      <c r="M61" s="2958"/>
      <c r="N61" s="2958"/>
      <c r="O61" s="2958"/>
      <c r="P61" s="2958"/>
      <c r="Q61" s="2958"/>
      <c r="R61" s="2958"/>
      <c r="S61" s="2958"/>
      <c r="T61" s="2958"/>
      <c r="U61" s="2958"/>
      <c r="V61" s="2958"/>
      <c r="W61" s="2958"/>
      <c r="X61" s="2958"/>
      <c r="Y61" s="2958"/>
      <c r="Z61" s="2958"/>
      <c r="AA61" s="2958"/>
      <c r="AB61" s="2958"/>
      <c r="AC61" s="2958"/>
    </row>
    <row r="62" spans="1:29" s="647" customFormat="1">
      <c r="A62" s="648" t="s">
        <v>2355</v>
      </c>
      <c r="B62" s="223" t="e">
        <f t="shared" si="17"/>
        <v>#DIV/0!</v>
      </c>
      <c r="C62" s="175">
        <f t="shared" si="16"/>
        <v>0</v>
      </c>
      <c r="D62" s="1056">
        <v>0.25</v>
      </c>
      <c r="E62" s="222">
        <f>'数据-汇总表'!E13</f>
        <v>0</v>
      </c>
      <c r="F62" s="997" t="e">
        <f t="shared" si="15"/>
        <v>#DIV/0!</v>
      </c>
      <c r="G62" s="1003" t="s">
        <v>2356</v>
      </c>
      <c r="H62" s="998">
        <f>IF(G62="商业",项目基本情况!B37,IF(G62="办公",项目基本情况!C37,IF(G62="住宅",项目基本情况!D37,项目基本情况!E37)))</f>
        <v>0</v>
      </c>
      <c r="I62" s="1002">
        <f>SUMIF(修正!A57:A68,H62,修正!G57:G68)</f>
        <v>0</v>
      </c>
      <c r="J62" s="1006"/>
      <c r="K62" s="2901"/>
      <c r="L62" s="2958"/>
      <c r="M62" s="2958"/>
      <c r="N62" s="2958"/>
      <c r="O62" s="2958"/>
      <c r="P62" s="2958"/>
      <c r="Q62" s="2958"/>
      <c r="R62" s="2958"/>
      <c r="S62" s="2958"/>
      <c r="T62" s="2958"/>
      <c r="U62" s="2958"/>
      <c r="V62" s="2958"/>
      <c r="W62" s="2958"/>
      <c r="X62" s="2958"/>
      <c r="Y62" s="2958"/>
      <c r="Z62" s="2958"/>
      <c r="AA62" s="2958"/>
      <c r="AB62" s="2958"/>
      <c r="AC62" s="2958"/>
    </row>
    <row r="63" spans="1:29" s="647" customFormat="1">
      <c r="A63" s="648" t="s">
        <v>2357</v>
      </c>
      <c r="B63" s="223" t="e">
        <f t="shared" si="17"/>
        <v>#DIV/0!</v>
      </c>
      <c r="C63" s="175">
        <f t="shared" si="16"/>
        <v>0</v>
      </c>
      <c r="D63" s="1056">
        <v>0.25</v>
      </c>
      <c r="E63" s="222">
        <f>'数据-汇总表'!E14</f>
        <v>0</v>
      </c>
      <c r="F63" s="997" t="e">
        <f t="shared" si="15"/>
        <v>#DIV/0!</v>
      </c>
      <c r="G63" s="2121" t="s">
        <v>2348</v>
      </c>
      <c r="H63" s="998">
        <f>项目基本情况!B37</f>
        <v>0</v>
      </c>
      <c r="I63" s="1002">
        <f>SUMIF(修正!A57:A68,H63,修正!G57:G68)</f>
        <v>0</v>
      </c>
      <c r="J63" s="1006"/>
      <c r="K63" s="2904"/>
      <c r="L63" s="2958"/>
      <c r="M63" s="2958"/>
      <c r="N63" s="2958"/>
      <c r="O63" s="2958"/>
      <c r="P63" s="2958"/>
      <c r="Q63" s="2958"/>
      <c r="R63" s="2958"/>
      <c r="S63" s="2958"/>
      <c r="T63" s="2958"/>
      <c r="U63" s="2958"/>
      <c r="V63" s="2958"/>
      <c r="W63" s="2958"/>
      <c r="X63" s="2958"/>
      <c r="Y63" s="2958"/>
      <c r="Z63" s="2958"/>
      <c r="AA63" s="2958"/>
      <c r="AB63" s="2958"/>
      <c r="AC63" s="2958"/>
    </row>
    <row r="64" spans="1:29" s="647" customFormat="1" ht="15" thickBot="1">
      <c r="A64" s="648" t="s">
        <v>2358</v>
      </c>
      <c r="B64" s="223" t="e">
        <f t="shared" si="17"/>
        <v>#DIV/0!</v>
      </c>
      <c r="C64" s="175">
        <f t="shared" si="16"/>
        <v>0</v>
      </c>
      <c r="D64" s="1056">
        <v>0.25</v>
      </c>
      <c r="E64" s="222">
        <f>'数据-汇总表'!E15</f>
        <v>0</v>
      </c>
      <c r="F64" s="997" t="e">
        <f t="shared" si="15"/>
        <v>#DIV/0!</v>
      </c>
      <c r="G64" s="2122" t="s">
        <v>2352</v>
      </c>
      <c r="H64" s="1008">
        <f>项目基本情况!C37</f>
        <v>0</v>
      </c>
      <c r="I64" s="1004">
        <f>SUMIF(修正!A57:A68,H64,修正!G57:G68)</f>
        <v>0</v>
      </c>
      <c r="J64" s="1007"/>
      <c r="K64" s="2901"/>
      <c r="L64" s="2958"/>
      <c r="M64" s="2958"/>
      <c r="N64" s="2958"/>
      <c r="O64" s="2958"/>
      <c r="P64" s="2958"/>
      <c r="Q64" s="2958"/>
      <c r="R64" s="2958"/>
      <c r="S64" s="2958"/>
      <c r="T64" s="2958"/>
      <c r="U64" s="2958"/>
      <c r="V64" s="2958"/>
      <c r="W64" s="2958"/>
      <c r="X64" s="2958"/>
      <c r="Y64" s="2958"/>
      <c r="Z64" s="2958"/>
      <c r="AA64" s="2958"/>
      <c r="AB64" s="2958"/>
      <c r="AC64" s="2958"/>
    </row>
    <row r="65" spans="1:29" s="647" customFormat="1" ht="13.5" thickBot="1">
      <c r="A65" s="650" t="s">
        <v>2359</v>
      </c>
      <c r="B65" s="651" t="s">
        <v>28</v>
      </c>
      <c r="C65" s="651" t="s">
        <v>29</v>
      </c>
      <c r="D65" s="651" t="s">
        <v>816</v>
      </c>
      <c r="E65" s="651">
        <f>IF(B46="楼面地价",SUM(E56:E64),'数据-汇总表'!D3)</f>
        <v>17188</v>
      </c>
      <c r="F65" s="652" t="e">
        <f>IF(B46="楼面地价",SUM(F56:F64),ROUND(C48*E65/10000,0))</f>
        <v>#DIV/0!</v>
      </c>
      <c r="G65" s="725"/>
      <c r="H65" s="725"/>
      <c r="I65" s="725"/>
      <c r="J65" s="725"/>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8"/>
      <c r="B66" s="700"/>
      <c r="C66" s="701"/>
      <c r="D66" s="698"/>
      <c r="E66" s="698"/>
      <c r="F66" s="698"/>
      <c r="G66" s="698"/>
      <c r="H66" s="698"/>
      <c r="I66" s="698"/>
      <c r="J66" s="1038"/>
      <c r="K66" s="999"/>
      <c r="L66" s="1000"/>
      <c r="M66" s="1038"/>
      <c r="N66" s="1038"/>
      <c r="O66" s="1038"/>
      <c r="P66" s="2901"/>
      <c r="Q66" s="2901"/>
      <c r="R66" s="2901"/>
      <c r="S66" s="2901"/>
      <c r="T66" s="2901"/>
      <c r="U66" s="2901"/>
      <c r="V66" s="2901"/>
      <c r="W66" s="2901"/>
      <c r="X66" s="2901"/>
      <c r="Y66" s="2901"/>
      <c r="Z66" s="2901"/>
      <c r="AA66" s="2901"/>
      <c r="AB66" s="2901"/>
      <c r="AC66" s="2901"/>
    </row>
    <row r="67" spans="1:29">
      <c r="A67" s="698"/>
      <c r="B67" s="700"/>
      <c r="C67" s="700" t="str">
        <f>YEAR(C7)&amp;"-"&amp;MONTH(C7)&amp;"-1"</f>
        <v>2022-8-1</v>
      </c>
      <c r="D67" s="700">
        <f>EDATE(C67,-3)</f>
        <v>44682</v>
      </c>
      <c r="E67" s="700">
        <f>EDATE(D67,-3)</f>
        <v>44593</v>
      </c>
      <c r="F67" s="700">
        <f t="shared" ref="F67:O67" si="18">EDATE(E67,-3)</f>
        <v>44501</v>
      </c>
      <c r="G67" s="700">
        <f t="shared" si="18"/>
        <v>44409</v>
      </c>
      <c r="H67" s="700">
        <f t="shared" si="18"/>
        <v>44317</v>
      </c>
      <c r="I67" s="700">
        <f t="shared" si="18"/>
        <v>44228</v>
      </c>
      <c r="J67" s="700">
        <f t="shared" si="18"/>
        <v>44136</v>
      </c>
      <c r="K67" s="700">
        <f t="shared" si="18"/>
        <v>44044</v>
      </c>
      <c r="L67" s="700">
        <f t="shared" si="18"/>
        <v>43952</v>
      </c>
      <c r="M67" s="700">
        <f t="shared" si="18"/>
        <v>43862</v>
      </c>
      <c r="N67" s="700">
        <f t="shared" si="18"/>
        <v>43770</v>
      </c>
      <c r="O67" s="700">
        <f t="shared" si="18"/>
        <v>43678</v>
      </c>
      <c r="P67" s="2901"/>
      <c r="Q67" s="2901"/>
      <c r="R67" s="2901"/>
      <c r="S67" s="2901"/>
      <c r="T67" s="2901"/>
      <c r="U67" s="2901"/>
      <c r="V67" s="2901"/>
      <c r="W67" s="2901"/>
      <c r="X67" s="2901"/>
      <c r="Y67" s="2901"/>
      <c r="Z67" s="2901"/>
      <c r="AA67" s="2901"/>
      <c r="AB67" s="2901"/>
      <c r="AC67" s="2901"/>
    </row>
    <row r="68" spans="1:29" ht="21.75" thickBot="1">
      <c r="A68" s="702" t="s">
        <v>2254</v>
      </c>
      <c r="B68" s="698"/>
      <c r="C68" s="703"/>
      <c r="D68" s="703"/>
      <c r="E68" s="703"/>
      <c r="F68" s="704"/>
      <c r="G68" s="704"/>
      <c r="H68" s="703"/>
      <c r="I68" s="703"/>
      <c r="J68" s="1051"/>
      <c r="K68" s="1052"/>
      <c r="L68" s="1053"/>
      <c r="M68" s="1051"/>
      <c r="N68" s="2945"/>
      <c r="O68" s="2945"/>
      <c r="P68" s="2945"/>
      <c r="Q68" s="2915"/>
      <c r="R68" s="2901"/>
      <c r="S68" s="2901"/>
      <c r="T68" s="2901"/>
      <c r="U68" s="2901"/>
      <c r="V68" s="2901"/>
      <c r="W68" s="2901"/>
      <c r="X68" s="2901"/>
      <c r="Y68" s="2901"/>
      <c r="Z68" s="2901"/>
      <c r="AA68" s="2901"/>
      <c r="AB68" s="2901"/>
      <c r="AC68" s="2901"/>
    </row>
    <row r="69" spans="1:29" s="464" customFormat="1" ht="15">
      <c r="A69" s="2123" t="s">
        <v>2360</v>
      </c>
      <c r="B69" s="1221"/>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4"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5"/>
      <c r="Q70" s="2835"/>
      <c r="R70" s="2835"/>
      <c r="S70" s="2835"/>
      <c r="T70" s="2835"/>
      <c r="U70" s="2835"/>
      <c r="V70" s="2835"/>
      <c r="W70" s="2835"/>
      <c r="X70" s="2835"/>
      <c r="Y70" s="2835"/>
      <c r="Z70" s="2835"/>
      <c r="AA70" s="2835"/>
      <c r="AB70" s="2835"/>
      <c r="AC70" s="2835"/>
    </row>
    <row r="71" spans="1:29" s="113" customFormat="1" ht="15.75" thickBot="1">
      <c r="A71" s="471" t="s">
        <v>2165</v>
      </c>
      <c r="B71" s="472"/>
      <c r="C71" s="473"/>
      <c r="D71" s="474"/>
      <c r="E71" s="474"/>
      <c r="F71" s="474"/>
      <c r="G71" s="474"/>
      <c r="H71" s="474"/>
      <c r="I71" s="474"/>
      <c r="J71" s="474"/>
      <c r="K71" s="474"/>
      <c r="L71" s="474"/>
      <c r="M71" s="475"/>
      <c r="N71" s="474"/>
      <c r="O71" s="1054"/>
      <c r="P71" s="2915"/>
      <c r="Q71" s="2915"/>
      <c r="R71" s="2835"/>
      <c r="S71" s="2835"/>
      <c r="T71" s="2835"/>
      <c r="U71" s="2835"/>
      <c r="V71" s="2835"/>
      <c r="W71" s="2835"/>
      <c r="X71" s="2835"/>
      <c r="Y71" s="2835"/>
      <c r="Z71" s="2835"/>
      <c r="AA71" s="2835"/>
      <c r="AB71" s="2835"/>
      <c r="AC71" s="2835"/>
    </row>
    <row r="72" spans="1:29" s="113" customFormat="1" ht="15">
      <c r="A72" s="477" t="s">
        <v>2130</v>
      </c>
      <c r="B72" s="466"/>
      <c r="C72" s="478" t="s">
        <v>2232</v>
      </c>
      <c r="D72" s="479"/>
      <c r="E72" s="479"/>
      <c r="F72" s="479"/>
      <c r="G72" s="479"/>
      <c r="H72" s="479"/>
      <c r="I72" s="479"/>
      <c r="J72" s="479"/>
      <c r="K72" s="479"/>
      <c r="L72" s="480"/>
      <c r="M72" s="481"/>
      <c r="N72" s="2928"/>
      <c r="O72" s="2928"/>
      <c r="P72" s="2953"/>
      <c r="Q72" s="2915"/>
      <c r="R72" s="2835"/>
      <c r="S72" s="2835"/>
      <c r="T72" s="2835"/>
      <c r="U72" s="2835"/>
      <c r="V72" s="2835"/>
      <c r="W72" s="2835"/>
      <c r="X72" s="2835"/>
      <c r="Y72" s="2835"/>
      <c r="Z72" s="2835"/>
      <c r="AA72" s="2835"/>
      <c r="AB72" s="2835"/>
      <c r="AC72" s="2835"/>
    </row>
    <row r="73" spans="1:29" s="113" customFormat="1" ht="15.75" thickBot="1">
      <c r="A73" s="477"/>
      <c r="B73" s="466"/>
      <c r="C73" s="594">
        <v>100</v>
      </c>
      <c r="D73" s="468"/>
      <c r="E73" s="468"/>
      <c r="F73" s="468"/>
      <c r="G73" s="468"/>
      <c r="H73" s="468"/>
      <c r="I73" s="468"/>
      <c r="J73" s="468"/>
      <c r="K73" s="468"/>
      <c r="L73" s="468"/>
      <c r="M73" s="470"/>
      <c r="N73" s="2928"/>
      <c r="O73" s="2928"/>
      <c r="P73" s="2915"/>
      <c r="Q73" s="2915"/>
      <c r="R73" s="2835"/>
      <c r="S73" s="2835"/>
      <c r="T73" s="2835"/>
      <c r="U73" s="2835"/>
      <c r="V73" s="2835"/>
      <c r="W73" s="2835"/>
      <c r="X73" s="2835"/>
      <c r="Y73" s="2835"/>
      <c r="Z73" s="2835"/>
      <c r="AA73" s="2835"/>
      <c r="AB73" s="2835"/>
      <c r="AC73" s="2835"/>
    </row>
    <row r="74" spans="1:29">
      <c r="A74" s="483" t="s">
        <v>2168</v>
      </c>
      <c r="B74" s="484" t="s">
        <v>2134</v>
      </c>
      <c r="C74" s="486"/>
      <c r="D74" s="486"/>
      <c r="E74" s="486"/>
      <c r="F74" s="486"/>
      <c r="G74" s="486"/>
      <c r="H74" s="486"/>
      <c r="I74" s="486"/>
      <c r="J74" s="486"/>
      <c r="K74" s="487"/>
      <c r="L74" s="488"/>
      <c r="M74" s="489"/>
      <c r="N74" s="2929"/>
      <c r="O74" s="2929"/>
      <c r="P74" s="2954"/>
      <c r="Q74" s="2915"/>
      <c r="R74" s="2901"/>
      <c r="S74" s="2901"/>
      <c r="T74" s="2901"/>
      <c r="U74" s="2901"/>
      <c r="V74" s="2901"/>
      <c r="W74" s="2901"/>
      <c r="X74" s="2901"/>
      <c r="Y74" s="2901"/>
      <c r="Z74" s="2901"/>
      <c r="AA74" s="2901"/>
      <c r="AB74" s="2901"/>
      <c r="AC74" s="2901"/>
    </row>
    <row r="75" spans="1:29" ht="15.75" thickBot="1">
      <c r="A75" s="490"/>
      <c r="B75" s="491"/>
      <c r="C75" s="492"/>
      <c r="D75" s="492"/>
      <c r="E75" s="492"/>
      <c r="F75" s="492"/>
      <c r="G75" s="492"/>
      <c r="H75" s="492"/>
      <c r="I75" s="492"/>
      <c r="J75" s="492"/>
      <c r="K75" s="492"/>
      <c r="L75" s="492"/>
      <c r="M75" s="493"/>
      <c r="N75" s="2930"/>
      <c r="O75" s="2930"/>
      <c r="P75" s="2954"/>
      <c r="Q75" s="2915"/>
      <c r="R75" s="2901"/>
      <c r="S75" s="2901"/>
      <c r="T75" s="2901"/>
      <c r="U75" s="2901"/>
      <c r="V75" s="2901"/>
      <c r="W75" s="2901"/>
      <c r="X75" s="2901"/>
      <c r="Y75" s="2901"/>
      <c r="Z75" s="2901"/>
      <c r="AA75" s="2901"/>
      <c r="AB75" s="2901"/>
      <c r="AC75" s="2901"/>
    </row>
    <row r="76" spans="1:29" ht="27.75" thickTop="1">
      <c r="A76" s="490"/>
      <c r="B76" s="494" t="s">
        <v>2137</v>
      </c>
      <c r="C76" s="495"/>
      <c r="D76" s="495"/>
      <c r="E76" s="495"/>
      <c r="F76" s="495"/>
      <c r="G76" s="495"/>
      <c r="H76" s="495"/>
      <c r="I76" s="495"/>
      <c r="J76" s="495"/>
      <c r="K76" s="496"/>
      <c r="L76" s="497"/>
      <c r="M76" s="498"/>
      <c r="N76" s="2929"/>
      <c r="O76" s="2929"/>
      <c r="P76" s="2954"/>
      <c r="Q76" s="2915"/>
      <c r="R76" s="2901"/>
      <c r="S76" s="2901"/>
      <c r="T76" s="2901"/>
      <c r="U76" s="2901"/>
      <c r="V76" s="2901"/>
      <c r="W76" s="2901"/>
      <c r="X76" s="2901"/>
      <c r="Y76" s="2901"/>
      <c r="Z76" s="2901"/>
      <c r="AA76" s="2901"/>
      <c r="AB76" s="2901"/>
      <c r="AC76" s="2901"/>
    </row>
    <row r="77" spans="1:29" ht="15.75" thickBot="1">
      <c r="A77" s="490"/>
      <c r="B77" s="499"/>
      <c r="C77" s="500"/>
      <c r="D77" s="500"/>
      <c r="E77" s="500"/>
      <c r="F77" s="500"/>
      <c r="G77" s="500"/>
      <c r="H77" s="500"/>
      <c r="I77" s="500"/>
      <c r="J77" s="500"/>
      <c r="K77" s="500"/>
      <c r="L77" s="500"/>
      <c r="M77" s="501"/>
      <c r="N77" s="2930"/>
      <c r="O77" s="2930"/>
      <c r="P77" s="2954"/>
      <c r="Q77" s="2915"/>
      <c r="R77" s="2901"/>
      <c r="S77" s="2901"/>
      <c r="T77" s="2901"/>
      <c r="U77" s="2901"/>
      <c r="V77" s="2901"/>
      <c r="W77" s="2901"/>
      <c r="X77" s="2901"/>
      <c r="Y77" s="2901"/>
      <c r="Z77" s="2901"/>
      <c r="AA77" s="2901"/>
      <c r="AB77" s="2901"/>
      <c r="AC77" s="2901"/>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0"/>
      <c r="B79" s="504"/>
      <c r="C79" s="505"/>
      <c r="D79" s="505"/>
      <c r="E79" s="505"/>
      <c r="F79" s="505"/>
      <c r="G79" s="505"/>
      <c r="H79" s="505"/>
      <c r="I79" s="505"/>
      <c r="J79" s="505"/>
      <c r="K79" s="506"/>
      <c r="L79" s="507"/>
      <c r="M79" s="508"/>
      <c r="N79" s="2929"/>
      <c r="O79" s="2929"/>
      <c r="P79" s="2954"/>
      <c r="Q79" s="2915"/>
      <c r="R79" s="2901"/>
      <c r="S79" s="2901"/>
      <c r="T79" s="2901"/>
      <c r="U79" s="2901"/>
      <c r="V79" s="2901"/>
      <c r="W79" s="2901"/>
      <c r="X79" s="2901"/>
      <c r="Y79" s="2901"/>
      <c r="Z79" s="2901"/>
      <c r="AA79" s="2901"/>
      <c r="AB79" s="2901"/>
      <c r="AC79" s="2901"/>
    </row>
    <row r="80" spans="1:29" ht="15.75" thickBot="1">
      <c r="A80" s="490"/>
      <c r="B80" s="491"/>
      <c r="C80" s="500">
        <v>100</v>
      </c>
      <c r="D80" s="500">
        <f t="shared" ref="D80:M80" si="21">IF($B$46="单位面积地价",C80+$K11,C80-$K11)</f>
        <v>102</v>
      </c>
      <c r="E80" s="500">
        <f t="shared" si="21"/>
        <v>104</v>
      </c>
      <c r="F80" s="500">
        <f t="shared" si="21"/>
        <v>106</v>
      </c>
      <c r="G80" s="500">
        <f t="shared" si="21"/>
        <v>108</v>
      </c>
      <c r="H80" s="500">
        <f t="shared" si="21"/>
        <v>110</v>
      </c>
      <c r="I80" s="500">
        <f t="shared" si="21"/>
        <v>112</v>
      </c>
      <c r="J80" s="500">
        <f t="shared" si="21"/>
        <v>114</v>
      </c>
      <c r="K80" s="500">
        <f t="shared" si="21"/>
        <v>116</v>
      </c>
      <c r="L80" s="500">
        <f t="shared" si="21"/>
        <v>118</v>
      </c>
      <c r="M80" s="500">
        <f t="shared" si="21"/>
        <v>120</v>
      </c>
      <c r="N80" s="2930"/>
      <c r="O80" s="2930"/>
      <c r="P80" s="2954"/>
      <c r="Q80" s="2915"/>
      <c r="R80" s="2901"/>
      <c r="S80" s="2901"/>
      <c r="T80" s="2901"/>
      <c r="U80" s="2901"/>
      <c r="V80" s="2901"/>
      <c r="W80" s="2901"/>
      <c r="X80" s="2901"/>
      <c r="Y80" s="2901"/>
      <c r="Z80" s="2901"/>
      <c r="AA80" s="2901"/>
      <c r="AB80" s="2901"/>
      <c r="AC80" s="2901"/>
    </row>
    <row r="81" spans="1:29" s="429" customFormat="1" ht="15.75" thickTop="1">
      <c r="A81" s="509"/>
      <c r="B81" s="494" t="str">
        <f>B12</f>
        <v>配建</v>
      </c>
      <c r="C81" s="510"/>
      <c r="D81" s="510"/>
      <c r="E81" s="510"/>
      <c r="F81" s="510"/>
      <c r="G81" s="510"/>
      <c r="H81" s="511"/>
      <c r="I81" s="511"/>
      <c r="J81" s="511"/>
      <c r="K81" s="511"/>
      <c r="L81" s="512"/>
      <c r="M81" s="513"/>
      <c r="N81" s="2931"/>
      <c r="O81" s="2931"/>
      <c r="P81" s="2955"/>
      <c r="Q81" s="2922"/>
      <c r="R81" s="2923"/>
      <c r="S81" s="2923"/>
      <c r="T81" s="2923"/>
      <c r="U81" s="2923"/>
      <c r="V81" s="2923"/>
      <c r="W81" s="2923"/>
      <c r="X81" s="2923"/>
      <c r="Y81" s="2923"/>
      <c r="Z81" s="2923"/>
      <c r="AA81" s="2923"/>
      <c r="AB81" s="2923"/>
      <c r="AC81" s="2923"/>
    </row>
    <row r="82" spans="1:29" s="429" customFormat="1" ht="15.75" thickBot="1">
      <c r="A82" s="509"/>
      <c r="B82" s="499"/>
      <c r="C82" s="516"/>
      <c r="D82" s="492"/>
      <c r="E82" s="492"/>
      <c r="F82" s="492"/>
      <c r="G82" s="492"/>
      <c r="H82" s="492"/>
      <c r="I82" s="492"/>
      <c r="J82" s="492"/>
      <c r="K82" s="492"/>
      <c r="L82" s="492"/>
      <c r="M82" s="493"/>
      <c r="N82" s="2930"/>
      <c r="O82" s="2930"/>
      <c r="P82" s="2955"/>
      <c r="Q82" s="2922"/>
      <c r="R82" s="2923"/>
      <c r="S82" s="2923"/>
      <c r="T82" s="2923"/>
      <c r="U82" s="2923"/>
      <c r="V82" s="2923"/>
      <c r="W82" s="2923"/>
      <c r="X82" s="2923"/>
      <c r="Y82" s="2923"/>
      <c r="Z82" s="2923"/>
      <c r="AA82" s="2923"/>
      <c r="AB82" s="2923"/>
      <c r="AC82" s="2923"/>
    </row>
    <row r="83" spans="1:29" s="429" customFormat="1" ht="15.75" thickTop="1">
      <c r="A83" s="509"/>
      <c r="B83" s="494">
        <f>B13</f>
        <v>111</v>
      </c>
      <c r="C83" s="510"/>
      <c r="D83" s="510"/>
      <c r="E83" s="510"/>
      <c r="F83" s="510"/>
      <c r="G83" s="510"/>
      <c r="H83" s="511"/>
      <c r="I83" s="511"/>
      <c r="J83" s="511"/>
      <c r="K83" s="511"/>
      <c r="L83" s="512"/>
      <c r="M83" s="513"/>
      <c r="N83" s="2931"/>
      <c r="O83" s="2931"/>
      <c r="P83" s="2899"/>
      <c r="Q83" s="2925"/>
      <c r="R83" s="2923"/>
      <c r="S83" s="2923"/>
      <c r="T83" s="2923"/>
      <c r="U83" s="2923"/>
      <c r="V83" s="2923"/>
      <c r="W83" s="2923"/>
      <c r="X83" s="2923"/>
      <c r="Y83" s="2923"/>
      <c r="Z83" s="2923"/>
      <c r="AA83" s="2923"/>
      <c r="AB83" s="2923"/>
      <c r="AC83" s="2923"/>
    </row>
    <row r="84" spans="1:29" s="429" customFormat="1" ht="15.75" thickBot="1">
      <c r="A84" s="509"/>
      <c r="B84" s="499"/>
      <c r="C84" s="516"/>
      <c r="D84" s="516"/>
      <c r="E84" s="516"/>
      <c r="F84" s="516"/>
      <c r="G84" s="516"/>
      <c r="H84" s="518"/>
      <c r="I84" s="518"/>
      <c r="J84" s="518"/>
      <c r="K84" s="518"/>
      <c r="L84" s="518"/>
      <c r="M84" s="519"/>
      <c r="N84" s="2931"/>
      <c r="O84" s="2931"/>
      <c r="P84" s="2955"/>
      <c r="Q84" s="2922"/>
      <c r="R84" s="2923"/>
      <c r="S84" s="2923"/>
      <c r="T84" s="2923"/>
      <c r="U84" s="2923"/>
      <c r="V84" s="2923"/>
      <c r="W84" s="2923"/>
      <c r="X84" s="2923"/>
      <c r="Y84" s="2923"/>
      <c r="Z84" s="2923"/>
      <c r="AA84" s="2923"/>
      <c r="AB84" s="2923"/>
      <c r="AC84" s="2923"/>
    </row>
    <row r="85" spans="1:29" s="429" customFormat="1" ht="15.75" thickTop="1">
      <c r="A85" s="509"/>
      <c r="B85" s="502">
        <f>B14</f>
        <v>111</v>
      </c>
      <c r="C85" s="479"/>
      <c r="D85" s="479"/>
      <c r="E85" s="479"/>
      <c r="F85" s="479"/>
      <c r="G85" s="479"/>
      <c r="H85" s="520"/>
      <c r="I85" s="520"/>
      <c r="J85" s="520"/>
      <c r="K85" s="520"/>
      <c r="L85" s="521"/>
      <c r="M85" s="522"/>
      <c r="N85" s="2931"/>
      <c r="O85" s="2931"/>
      <c r="P85" s="2960"/>
      <c r="Q85" s="2922"/>
      <c r="R85" s="2923"/>
      <c r="S85" s="2923"/>
      <c r="T85" s="2923"/>
      <c r="U85" s="2923"/>
      <c r="V85" s="2923"/>
      <c r="W85" s="2923"/>
      <c r="X85" s="2923"/>
      <c r="Y85" s="2923"/>
      <c r="Z85" s="2923"/>
      <c r="AA85" s="2923"/>
      <c r="AB85" s="2923"/>
      <c r="AC85" s="2923"/>
    </row>
    <row r="86" spans="1:29" s="429" customFormat="1" ht="15.75" thickBot="1">
      <c r="A86" s="524"/>
      <c r="B86" s="525"/>
      <c r="C86" s="526"/>
      <c r="D86" s="526"/>
      <c r="E86" s="526"/>
      <c r="F86" s="526"/>
      <c r="G86" s="526"/>
      <c r="H86" s="527"/>
      <c r="I86" s="527"/>
      <c r="J86" s="527"/>
      <c r="K86" s="527"/>
      <c r="L86" s="527"/>
      <c r="M86" s="528"/>
      <c r="N86" s="2931"/>
      <c r="O86" s="2931"/>
      <c r="P86" s="2955"/>
      <c r="Q86" s="2922"/>
      <c r="R86" s="2923"/>
      <c r="S86" s="2923"/>
      <c r="T86" s="2923"/>
      <c r="U86" s="2923"/>
      <c r="V86" s="2923"/>
      <c r="W86" s="2923"/>
      <c r="X86" s="2923"/>
      <c r="Y86" s="2923"/>
      <c r="Z86" s="2923"/>
      <c r="AA86" s="2923"/>
      <c r="AB86" s="2923"/>
      <c r="AC86" s="2923"/>
    </row>
    <row r="87" spans="1:29">
      <c r="A87" s="483" t="s">
        <v>2139</v>
      </c>
      <c r="B87" s="484" t="s">
        <v>2176</v>
      </c>
      <c r="C87" s="529" t="s">
        <v>2177</v>
      </c>
      <c r="D87" s="529" t="s">
        <v>2178</v>
      </c>
      <c r="E87" s="529" t="s">
        <v>2179</v>
      </c>
      <c r="F87" s="529" t="s">
        <v>2180</v>
      </c>
      <c r="G87" s="529" t="s">
        <v>2181</v>
      </c>
      <c r="H87" s="485"/>
      <c r="I87" s="485"/>
      <c r="J87" s="485"/>
      <c r="K87" s="530"/>
      <c r="L87" s="531"/>
      <c r="M87" s="532"/>
      <c r="N87" s="2929"/>
      <c r="O87" s="2929"/>
      <c r="P87" s="2956"/>
      <c r="Q87" s="2915"/>
      <c r="R87" s="2901"/>
      <c r="S87" s="2901"/>
      <c r="T87" s="2901"/>
      <c r="U87" s="2901"/>
      <c r="V87" s="2901"/>
      <c r="W87" s="2901"/>
      <c r="X87" s="2901"/>
      <c r="Y87" s="2901"/>
      <c r="Z87" s="2901"/>
      <c r="AA87" s="2901"/>
      <c r="AB87" s="2901"/>
      <c r="AC87" s="2901"/>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0"/>
      <c r="O88" s="2930"/>
      <c r="P88" s="2954"/>
      <c r="Q88" s="2915"/>
      <c r="R88" s="2901"/>
      <c r="S88" s="2901"/>
      <c r="T88" s="2901"/>
      <c r="U88" s="2901"/>
      <c r="V88" s="2901"/>
      <c r="W88" s="2901"/>
      <c r="X88" s="2901"/>
      <c r="Y88" s="2901"/>
      <c r="Z88" s="2901"/>
      <c r="AA88" s="2901"/>
      <c r="AB88" s="2901"/>
      <c r="AC88" s="2901"/>
    </row>
    <row r="89" spans="1:29" ht="15.75" thickTop="1">
      <c r="A89" s="490"/>
      <c r="B89" s="494" t="s">
        <v>2362</v>
      </c>
      <c r="C89" s="534" t="s">
        <v>2177</v>
      </c>
      <c r="D89" s="534" t="s">
        <v>2178</v>
      </c>
      <c r="E89" s="534" t="s">
        <v>2179</v>
      </c>
      <c r="F89" s="534" t="s">
        <v>2180</v>
      </c>
      <c r="G89" s="534" t="s">
        <v>2181</v>
      </c>
      <c r="H89" s="495"/>
      <c r="I89" s="495"/>
      <c r="J89" s="495"/>
      <c r="K89" s="496"/>
      <c r="L89" s="497"/>
      <c r="M89" s="498"/>
      <c r="N89" s="2929"/>
      <c r="O89" s="2929"/>
      <c r="P89" s="2954"/>
      <c r="Q89" s="2915"/>
      <c r="R89" s="2901"/>
      <c r="S89" s="2901"/>
      <c r="T89" s="2901"/>
      <c r="U89" s="2901"/>
      <c r="V89" s="2901"/>
      <c r="W89" s="2901"/>
      <c r="X89" s="2901"/>
      <c r="Y89" s="2901"/>
      <c r="Z89" s="2901"/>
      <c r="AA89" s="2901"/>
      <c r="AB89" s="2901"/>
      <c r="AC89" s="2901"/>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0"/>
      <c r="O90" s="2930"/>
      <c r="P90" s="2954"/>
      <c r="Q90" s="2915"/>
      <c r="R90" s="2901"/>
      <c r="S90" s="2901"/>
      <c r="T90" s="2901"/>
      <c r="U90" s="2901"/>
      <c r="V90" s="2901"/>
      <c r="W90" s="2901"/>
      <c r="X90" s="2901"/>
      <c r="Y90" s="2901"/>
      <c r="Z90" s="2901"/>
      <c r="AA90" s="2901"/>
      <c r="AB90" s="2901"/>
      <c r="AC90" s="2901"/>
    </row>
    <row r="91" spans="1:29" ht="15.75" thickTop="1">
      <c r="A91" s="490"/>
      <c r="B91" s="494" t="s">
        <v>2277</v>
      </c>
      <c r="C91" s="534" t="s">
        <v>2177</v>
      </c>
      <c r="D91" s="534" t="s">
        <v>2178</v>
      </c>
      <c r="E91" s="534" t="s">
        <v>2179</v>
      </c>
      <c r="F91" s="534" t="s">
        <v>2180</v>
      </c>
      <c r="G91" s="534" t="s">
        <v>2181</v>
      </c>
      <c r="H91" s="495"/>
      <c r="I91" s="495"/>
      <c r="J91" s="495"/>
      <c r="K91" s="496"/>
      <c r="L91" s="497"/>
      <c r="M91" s="498"/>
      <c r="N91" s="2929"/>
      <c r="O91" s="2929"/>
      <c r="P91" s="2954"/>
      <c r="Q91" s="2915"/>
      <c r="R91" s="2901"/>
      <c r="S91" s="2901"/>
      <c r="T91" s="2901"/>
      <c r="U91" s="2901"/>
      <c r="V91" s="2901"/>
      <c r="W91" s="2901"/>
      <c r="X91" s="2901"/>
      <c r="Y91" s="2901"/>
      <c r="Z91" s="2901"/>
      <c r="AA91" s="2901"/>
      <c r="AB91" s="2901"/>
      <c r="AC91" s="2901"/>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0"/>
      <c r="O92" s="2930"/>
      <c r="P92" s="2954"/>
      <c r="Q92" s="2915"/>
      <c r="R92" s="2901"/>
      <c r="S92" s="2901"/>
      <c r="T92" s="2901"/>
      <c r="U92" s="2901"/>
      <c r="V92" s="2901"/>
      <c r="W92" s="2901"/>
      <c r="X92" s="2901"/>
      <c r="Y92" s="2901"/>
      <c r="Z92" s="2901"/>
      <c r="AA92" s="2901"/>
      <c r="AB92" s="2901"/>
      <c r="AC92" s="2901"/>
    </row>
    <row r="93" spans="1:29" ht="15.75" thickTop="1">
      <c r="A93" s="490"/>
      <c r="B93" s="494" t="s">
        <v>2182</v>
      </c>
      <c r="C93" s="534" t="s">
        <v>2177</v>
      </c>
      <c r="D93" s="534" t="s">
        <v>2178</v>
      </c>
      <c r="E93" s="534" t="s">
        <v>2179</v>
      </c>
      <c r="F93" s="534" t="s">
        <v>2180</v>
      </c>
      <c r="G93" s="534" t="s">
        <v>2181</v>
      </c>
      <c r="H93" s="495"/>
      <c r="I93" s="495"/>
      <c r="J93" s="495"/>
      <c r="K93" s="496"/>
      <c r="L93" s="497"/>
      <c r="M93" s="498"/>
      <c r="N93" s="2929"/>
      <c r="O93" s="2929"/>
      <c r="P93" s="2954"/>
      <c r="Q93" s="2915"/>
      <c r="R93" s="2901"/>
      <c r="S93" s="2901"/>
      <c r="T93" s="2901"/>
      <c r="U93" s="2901"/>
      <c r="V93" s="2901"/>
      <c r="W93" s="2901"/>
      <c r="X93" s="2901"/>
      <c r="Y93" s="2901"/>
      <c r="Z93" s="2901"/>
      <c r="AA93" s="2901"/>
      <c r="AB93" s="2901"/>
      <c r="AC93" s="2901"/>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0"/>
      <c r="O94" s="2930"/>
      <c r="P94" s="2954"/>
      <c r="Q94" s="2915"/>
      <c r="R94" s="2901"/>
      <c r="S94" s="2901"/>
      <c r="T94" s="2901"/>
      <c r="U94" s="2901"/>
      <c r="V94" s="2901"/>
      <c r="W94" s="2901"/>
      <c r="X94" s="2901"/>
      <c r="Y94" s="2901"/>
      <c r="Z94" s="2901"/>
      <c r="AA94" s="2901"/>
      <c r="AB94" s="2901"/>
      <c r="AC94" s="2901"/>
    </row>
    <row r="95" spans="1:29" s="113" customFormat="1" ht="15.75" thickTop="1">
      <c r="A95" s="535"/>
      <c r="B95" s="494" t="s">
        <v>2363</v>
      </c>
      <c r="C95" s="534" t="s">
        <v>2177</v>
      </c>
      <c r="D95" s="534" t="s">
        <v>2178</v>
      </c>
      <c r="E95" s="534" t="s">
        <v>2179</v>
      </c>
      <c r="F95" s="534" t="s">
        <v>2180</v>
      </c>
      <c r="G95" s="534" t="s">
        <v>2181</v>
      </c>
      <c r="H95" s="534"/>
      <c r="I95" s="534"/>
      <c r="J95" s="534"/>
      <c r="K95" s="534"/>
      <c r="L95" s="653"/>
      <c r="M95" s="577"/>
      <c r="N95" s="2928"/>
      <c r="O95" s="2928"/>
      <c r="P95" s="2954"/>
      <c r="Q95" s="2915"/>
      <c r="R95" s="2835"/>
      <c r="S95" s="2835"/>
      <c r="T95" s="2835"/>
      <c r="U95" s="2835"/>
      <c r="V95" s="2835"/>
      <c r="W95" s="2835"/>
      <c r="X95" s="2835"/>
      <c r="Y95" s="2835"/>
      <c r="Z95" s="2835"/>
      <c r="AA95" s="2835"/>
      <c r="AB95" s="2835"/>
      <c r="AC95" s="2835"/>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30"/>
      <c r="O96" s="2930"/>
      <c r="P96" s="2954"/>
      <c r="Q96" s="2915"/>
      <c r="R96" s="2835"/>
      <c r="S96" s="2835"/>
      <c r="T96" s="2835"/>
      <c r="U96" s="2835"/>
      <c r="V96" s="2835"/>
      <c r="W96" s="2835"/>
      <c r="X96" s="2835"/>
      <c r="Y96" s="2835"/>
      <c r="Z96" s="2835"/>
      <c r="AA96" s="2835"/>
      <c r="AB96" s="2835"/>
      <c r="AC96" s="2835"/>
    </row>
    <row r="97" spans="1:29" s="113" customFormat="1" ht="27.75" thickTop="1">
      <c r="A97" s="535"/>
      <c r="B97" s="494" t="s">
        <v>2364</v>
      </c>
      <c r="C97" s="529" t="s">
        <v>2177</v>
      </c>
      <c r="D97" s="529" t="s">
        <v>2178</v>
      </c>
      <c r="E97" s="529" t="s">
        <v>2179</v>
      </c>
      <c r="F97" s="529" t="s">
        <v>2180</v>
      </c>
      <c r="G97" s="529" t="s">
        <v>2181</v>
      </c>
      <c r="H97" s="534"/>
      <c r="I97" s="534"/>
      <c r="J97" s="534"/>
      <c r="K97" s="534"/>
      <c r="L97" s="534"/>
      <c r="M97" s="577"/>
      <c r="N97" s="2928"/>
      <c r="O97" s="2928"/>
      <c r="P97" s="2954"/>
      <c r="Q97" s="2915"/>
      <c r="R97" s="2835"/>
      <c r="S97" s="2835"/>
      <c r="T97" s="2835"/>
      <c r="U97" s="2835"/>
      <c r="V97" s="2835"/>
      <c r="W97" s="2835"/>
      <c r="X97" s="2835"/>
      <c r="Y97" s="2835"/>
      <c r="Z97" s="2835"/>
      <c r="AA97" s="2835"/>
      <c r="AB97" s="2835"/>
      <c r="AC97" s="2835"/>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30"/>
      <c r="O98" s="2930"/>
      <c r="P98" s="2954"/>
      <c r="Q98" s="2915"/>
      <c r="R98" s="2835"/>
      <c r="S98" s="2835"/>
      <c r="T98" s="2835"/>
      <c r="U98" s="2835"/>
      <c r="V98" s="2835"/>
      <c r="W98" s="2835"/>
      <c r="X98" s="2835"/>
      <c r="Y98" s="2835"/>
      <c r="Z98" s="2835"/>
      <c r="AA98" s="2835"/>
      <c r="AB98" s="2835"/>
      <c r="AC98" s="2835"/>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1"/>
      <c r="O99" s="2931"/>
      <c r="P99" s="2955"/>
      <c r="Q99" s="2922"/>
      <c r="R99" s="2923"/>
      <c r="S99" s="2923"/>
      <c r="T99" s="2923"/>
      <c r="U99" s="2923"/>
      <c r="V99" s="2923"/>
      <c r="W99" s="2923"/>
      <c r="X99" s="2923"/>
      <c r="Y99" s="2923"/>
      <c r="Z99" s="2923"/>
      <c r="AA99" s="2923"/>
      <c r="AB99" s="2923"/>
      <c r="AC99" s="2923"/>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1"/>
      <c r="O100" s="2931"/>
      <c r="P100" s="2955"/>
      <c r="Q100" s="2922"/>
      <c r="R100" s="2923"/>
      <c r="S100" s="2923"/>
      <c r="T100" s="2923"/>
      <c r="U100" s="2923"/>
      <c r="V100" s="2923"/>
      <c r="W100" s="2923"/>
      <c r="X100" s="2923"/>
      <c r="Y100" s="2923"/>
      <c r="Z100" s="2923"/>
      <c r="AA100" s="2923"/>
      <c r="AB100" s="2923"/>
      <c r="AC100" s="2923"/>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1"/>
      <c r="O101" s="2931"/>
      <c r="P101" s="2955"/>
      <c r="Q101" s="2922"/>
      <c r="R101" s="2923"/>
      <c r="S101" s="2923"/>
      <c r="T101" s="2923"/>
      <c r="U101" s="2923"/>
      <c r="V101" s="2923"/>
      <c r="W101" s="2923"/>
      <c r="X101" s="2923"/>
      <c r="Y101" s="2923"/>
      <c r="Z101" s="2923"/>
      <c r="AA101" s="2923"/>
      <c r="AB101" s="2923"/>
      <c r="AC101" s="2923"/>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1"/>
      <c r="O102" s="2931"/>
      <c r="P102" s="2955"/>
      <c r="Q102" s="2922"/>
      <c r="R102" s="2923"/>
      <c r="S102" s="2923"/>
      <c r="T102" s="2923"/>
      <c r="U102" s="2923"/>
      <c r="V102" s="2923"/>
      <c r="W102" s="2923"/>
      <c r="X102" s="2923"/>
      <c r="Y102" s="2923"/>
      <c r="Z102" s="2923"/>
      <c r="AA102" s="2923"/>
      <c r="AB102" s="2923"/>
      <c r="AC102" s="2923"/>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9"/>
      <c r="O103" s="2929"/>
      <c r="P103" s="2954"/>
      <c r="Q103" s="2915"/>
      <c r="R103" s="2901"/>
      <c r="S103" s="2901"/>
      <c r="T103" s="2901"/>
      <c r="U103" s="2901"/>
      <c r="V103" s="2901"/>
      <c r="W103" s="2901"/>
      <c r="X103" s="2901"/>
      <c r="Y103" s="2901"/>
      <c r="Z103" s="2901"/>
      <c r="AA103" s="2901"/>
      <c r="AB103" s="2901"/>
      <c r="AC103" s="2901"/>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0"/>
      <c r="B105" s="494" t="s">
        <v>2271</v>
      </c>
      <c r="C105" s="510"/>
      <c r="D105" s="510"/>
      <c r="E105" s="510"/>
      <c r="F105" s="510"/>
      <c r="G105" s="510"/>
      <c r="H105" s="539"/>
      <c r="I105" s="539"/>
      <c r="J105" s="539"/>
      <c r="K105" s="540"/>
      <c r="L105" s="541"/>
      <c r="M105" s="542"/>
      <c r="N105" s="2929"/>
      <c r="O105" s="2929"/>
      <c r="P105" s="2954"/>
      <c r="Q105" s="2915"/>
      <c r="R105" s="2901"/>
      <c r="S105" s="2901"/>
      <c r="T105" s="2901"/>
      <c r="U105" s="2901"/>
      <c r="V105" s="2901"/>
      <c r="W105" s="2901"/>
      <c r="X105" s="2901"/>
      <c r="Y105" s="2901"/>
      <c r="Z105" s="2901"/>
      <c r="AA105" s="2901"/>
      <c r="AB105" s="2901"/>
      <c r="AC105" s="2901"/>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0"/>
      <c r="B107" s="494" t="s">
        <v>2330</v>
      </c>
      <c r="C107" s="539"/>
      <c r="D107" s="539"/>
      <c r="E107" s="539"/>
      <c r="F107" s="539"/>
      <c r="G107" s="539"/>
      <c r="H107" s="539"/>
      <c r="I107" s="539"/>
      <c r="J107" s="539"/>
      <c r="K107" s="540"/>
      <c r="L107" s="541"/>
      <c r="M107" s="542"/>
      <c r="N107" s="2929"/>
      <c r="O107" s="2929"/>
      <c r="P107" s="2954"/>
      <c r="Q107" s="2915"/>
      <c r="R107" s="2901"/>
      <c r="S107" s="2901"/>
      <c r="T107" s="2901"/>
      <c r="U107" s="2901"/>
      <c r="V107" s="2901"/>
      <c r="W107" s="2901"/>
      <c r="X107" s="2901"/>
      <c r="Y107" s="2901"/>
      <c r="Z107" s="2901"/>
      <c r="AA107" s="2901"/>
      <c r="AB107" s="2901"/>
      <c r="AC107" s="2901"/>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0"/>
      <c r="B109" s="502">
        <f>B35</f>
        <v>111</v>
      </c>
      <c r="C109" s="510"/>
      <c r="D109" s="510"/>
      <c r="E109" s="510"/>
      <c r="F109" s="510"/>
      <c r="G109" s="543"/>
      <c r="H109" s="543"/>
      <c r="I109" s="543"/>
      <c r="J109" s="543"/>
      <c r="K109" s="544"/>
      <c r="L109" s="545"/>
      <c r="M109" s="546"/>
      <c r="N109" s="2929"/>
      <c r="O109" s="2929"/>
      <c r="P109" s="2954"/>
      <c r="Q109" s="2915"/>
      <c r="R109" s="2901"/>
      <c r="S109" s="2901"/>
      <c r="T109" s="2901"/>
      <c r="U109" s="2901"/>
      <c r="V109" s="2901"/>
      <c r="W109" s="2901"/>
      <c r="X109" s="2901"/>
      <c r="Y109" s="2901"/>
      <c r="Z109" s="2901"/>
      <c r="AA109" s="2901"/>
      <c r="AB109" s="2901"/>
      <c r="AC109" s="2901"/>
    </row>
    <row r="110" spans="1:29" ht="15.75" thickBot="1">
      <c r="A110" s="490"/>
      <c r="B110" s="525"/>
      <c r="C110" s="516"/>
      <c r="D110" s="516"/>
      <c r="E110" s="516"/>
      <c r="F110" s="516"/>
      <c r="G110" s="547"/>
      <c r="H110" s="547"/>
      <c r="I110" s="547"/>
      <c r="J110" s="547"/>
      <c r="K110" s="547"/>
      <c r="L110" s="547"/>
      <c r="M110" s="548"/>
      <c r="N110" s="2930"/>
      <c r="O110" s="2930"/>
      <c r="P110" s="2954"/>
      <c r="Q110" s="2915"/>
      <c r="R110" s="2901"/>
      <c r="S110" s="2901"/>
      <c r="T110" s="2901"/>
      <c r="U110" s="2901"/>
      <c r="V110" s="2901"/>
      <c r="W110" s="2901"/>
      <c r="X110" s="2901"/>
      <c r="Y110" s="2901"/>
      <c r="Z110" s="2901"/>
      <c r="AA110" s="2901"/>
      <c r="AB110" s="2901"/>
      <c r="AC110" s="2901"/>
    </row>
    <row r="111" spans="1:29" ht="15" thickTop="1">
      <c r="A111" s="630"/>
      <c r="B111" s="494">
        <f>B36</f>
        <v>111</v>
      </c>
      <c r="C111" s="479"/>
      <c r="D111" s="479"/>
      <c r="E111" s="479"/>
      <c r="F111" s="479"/>
      <c r="G111" s="539"/>
      <c r="H111" s="539"/>
      <c r="I111" s="539"/>
      <c r="J111" s="539"/>
      <c r="K111" s="540"/>
      <c r="L111" s="541"/>
      <c r="M111" s="542"/>
      <c r="N111" s="2929"/>
      <c r="O111" s="2929"/>
      <c r="P111" s="2954"/>
      <c r="Q111" s="2915"/>
      <c r="R111" s="2901"/>
      <c r="S111" s="2901"/>
      <c r="T111" s="2901"/>
      <c r="U111" s="2901"/>
      <c r="V111" s="2901"/>
      <c r="W111" s="2901"/>
      <c r="X111" s="2901"/>
      <c r="Y111" s="2901"/>
      <c r="Z111" s="2901"/>
      <c r="AA111" s="2901"/>
      <c r="AB111" s="2901"/>
      <c r="AC111" s="2901"/>
    </row>
    <row r="112" spans="1:29" ht="15.75" thickBot="1">
      <c r="A112" s="490"/>
      <c r="B112" s="499"/>
      <c r="C112" s="526"/>
      <c r="D112" s="526"/>
      <c r="E112" s="526"/>
      <c r="F112" s="526"/>
      <c r="G112" s="492"/>
      <c r="H112" s="492"/>
      <c r="I112" s="492"/>
      <c r="J112" s="492"/>
      <c r="K112" s="492"/>
      <c r="L112" s="492"/>
      <c r="M112" s="493"/>
      <c r="N112" s="2930"/>
      <c r="O112" s="2930"/>
      <c r="P112" s="2954"/>
      <c r="Q112" s="2915"/>
      <c r="R112" s="2901"/>
      <c r="S112" s="2901"/>
      <c r="T112" s="2901"/>
      <c r="U112" s="2901"/>
      <c r="V112" s="2901"/>
      <c r="W112" s="2901"/>
      <c r="X112" s="2901"/>
      <c r="Y112" s="2901"/>
      <c r="Z112" s="2901"/>
      <c r="AA112" s="2901"/>
      <c r="AB112" s="2901"/>
      <c r="AC112" s="2901"/>
    </row>
    <row r="113" spans="1:29" s="429" customFormat="1" ht="15" thickTop="1">
      <c r="A113" s="549"/>
      <c r="B113" s="550">
        <f>B37</f>
        <v>111</v>
      </c>
      <c r="C113" s="551"/>
      <c r="D113" s="551"/>
      <c r="E113" s="551"/>
      <c r="F113" s="551"/>
      <c r="G113" s="551"/>
      <c r="H113" s="551"/>
      <c r="I113" s="551"/>
      <c r="J113" s="552"/>
      <c r="K113" s="552"/>
      <c r="L113" s="553"/>
      <c r="M113" s="554"/>
      <c r="N113" s="2931"/>
      <c r="O113" s="2931"/>
      <c r="P113" s="2955"/>
      <c r="Q113" s="2922"/>
      <c r="R113" s="2923"/>
      <c r="S113" s="2923"/>
      <c r="T113" s="2923"/>
      <c r="U113" s="2923"/>
      <c r="V113" s="2923"/>
      <c r="W113" s="2923"/>
      <c r="X113" s="2923"/>
      <c r="Y113" s="2923"/>
      <c r="Z113" s="2923"/>
      <c r="AA113" s="2923"/>
      <c r="AB113" s="2923"/>
      <c r="AC113" s="2923"/>
    </row>
    <row r="114" spans="1:29" s="429" customFormat="1" ht="15.75" thickBot="1">
      <c r="A114" s="509"/>
      <c r="B114" s="502"/>
      <c r="C114" s="468"/>
      <c r="D114" s="632"/>
      <c r="E114" s="632"/>
      <c r="F114" s="632"/>
      <c r="G114" s="632"/>
      <c r="H114" s="632"/>
      <c r="I114" s="632"/>
      <c r="J114" s="632"/>
      <c r="K114" s="632"/>
      <c r="L114" s="632"/>
      <c r="M114" s="654"/>
      <c r="N114" s="2930"/>
      <c r="O114" s="2930"/>
      <c r="P114" s="2955"/>
      <c r="Q114" s="2922"/>
      <c r="R114" s="2923"/>
      <c r="S114" s="2923"/>
      <c r="T114" s="2923"/>
      <c r="U114" s="2923"/>
      <c r="V114" s="2923"/>
      <c r="W114" s="2923"/>
      <c r="X114" s="2923"/>
      <c r="Y114" s="2923"/>
      <c r="Z114" s="2923"/>
      <c r="AA114" s="2923"/>
      <c r="AB114" s="2923"/>
      <c r="AC114" s="2923"/>
    </row>
    <row r="115" spans="1:29">
      <c r="A115" s="483" t="s">
        <v>2143</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0"/>
      <c r="B116" s="502"/>
      <c r="C116" s="551"/>
      <c r="D116" s="551"/>
      <c r="E116" s="551"/>
      <c r="F116" s="551"/>
      <c r="G116" s="551"/>
      <c r="H116" s="551"/>
      <c r="I116" s="551"/>
      <c r="J116" s="552"/>
      <c r="K116" s="552"/>
      <c r="L116" s="553"/>
      <c r="M116" s="554"/>
      <c r="N116" s="2929"/>
      <c r="O116" s="2929"/>
      <c r="P116" s="2954"/>
      <c r="Q116" s="2915"/>
      <c r="R116" s="2901"/>
      <c r="S116" s="2901"/>
      <c r="T116" s="2901"/>
      <c r="U116" s="2901"/>
      <c r="V116" s="2901"/>
      <c r="W116" s="2901"/>
      <c r="X116" s="2901"/>
      <c r="Y116" s="2901"/>
      <c r="Z116" s="2901"/>
      <c r="AA116" s="2901"/>
      <c r="AB116" s="2901"/>
      <c r="AC116" s="2901"/>
    </row>
    <row r="117" spans="1:29" ht="15.75" thickBot="1">
      <c r="A117" s="490"/>
      <c r="B117" s="499"/>
      <c r="C117" s="526"/>
      <c r="D117" s="547"/>
      <c r="E117" s="547"/>
      <c r="F117" s="547"/>
      <c r="G117" s="547"/>
      <c r="H117" s="547"/>
      <c r="I117" s="547"/>
      <c r="J117" s="547"/>
      <c r="K117" s="547"/>
      <c r="L117" s="547"/>
      <c r="M117" s="548"/>
      <c r="N117" s="2930"/>
      <c r="O117" s="2930"/>
      <c r="P117" s="2954"/>
      <c r="Q117" s="2915"/>
      <c r="R117" s="2901"/>
      <c r="S117" s="2901"/>
      <c r="T117" s="2901"/>
      <c r="U117" s="2901"/>
      <c r="V117" s="2901"/>
      <c r="W117" s="2901"/>
      <c r="X117" s="2901"/>
      <c r="Y117" s="2901"/>
      <c r="Z117" s="2901"/>
      <c r="AA117" s="2901"/>
      <c r="AB117" s="2901"/>
      <c r="AC117" s="2901"/>
    </row>
    <row r="118" spans="1:29" ht="15" thickTop="1">
      <c r="A118" s="555"/>
      <c r="B118" s="494" t="s">
        <v>2370</v>
      </c>
      <c r="C118" s="539"/>
      <c r="D118" s="539"/>
      <c r="E118" s="539"/>
      <c r="F118" s="539"/>
      <c r="G118" s="539"/>
      <c r="H118" s="539"/>
      <c r="I118" s="539"/>
      <c r="J118" s="539"/>
      <c r="K118" s="540"/>
      <c r="L118" s="541"/>
      <c r="M118" s="542"/>
      <c r="N118" s="2929"/>
      <c r="O118" s="2929"/>
      <c r="P118" s="2954"/>
      <c r="Q118" s="2915"/>
      <c r="R118" s="2901"/>
      <c r="S118" s="2901"/>
      <c r="T118" s="2901"/>
      <c r="U118" s="2901"/>
      <c r="V118" s="2901"/>
      <c r="W118" s="2901"/>
      <c r="X118" s="2901"/>
      <c r="Y118" s="2901"/>
      <c r="Z118" s="2901"/>
      <c r="AA118" s="2901"/>
      <c r="AB118" s="2901"/>
      <c r="AC118" s="2901"/>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5"/>
      <c r="B120" s="494" t="s">
        <v>2371</v>
      </c>
      <c r="C120" s="510"/>
      <c r="D120" s="510"/>
      <c r="E120" s="510"/>
      <c r="F120" s="539"/>
      <c r="G120" s="539"/>
      <c r="H120" s="539"/>
      <c r="I120" s="539"/>
      <c r="J120" s="539"/>
      <c r="K120" s="540"/>
      <c r="L120" s="541"/>
      <c r="M120" s="542"/>
      <c r="N120" s="2929"/>
      <c r="O120" s="2929"/>
      <c r="P120" s="2954"/>
      <c r="Q120" s="2915"/>
      <c r="R120" s="2901"/>
      <c r="S120" s="2901"/>
      <c r="T120" s="2901"/>
      <c r="U120" s="2901"/>
      <c r="V120" s="2901"/>
      <c r="W120" s="2901"/>
      <c r="X120" s="2901"/>
      <c r="Y120" s="2901"/>
      <c r="Z120" s="2901"/>
      <c r="AA120" s="2901"/>
      <c r="AB120" s="2901"/>
      <c r="AC120" s="2901"/>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0"/>
      <c r="O121" s="2930"/>
      <c r="P121" s="2954"/>
      <c r="Q121" s="2915"/>
      <c r="R121" s="2901"/>
      <c r="S121" s="2901"/>
      <c r="T121" s="2901"/>
      <c r="U121" s="2901"/>
      <c r="V121" s="2901"/>
      <c r="W121" s="2901"/>
      <c r="X121" s="2901"/>
      <c r="Y121" s="2901"/>
      <c r="Z121" s="2901"/>
      <c r="AA121" s="2901"/>
      <c r="AB121" s="2901"/>
      <c r="AC121" s="2901"/>
    </row>
    <row r="122" spans="1:29" s="429" customFormat="1" ht="15" thickTop="1">
      <c r="A122" s="549"/>
      <c r="B122" s="494" t="s">
        <v>2372</v>
      </c>
      <c r="C122" s="510"/>
      <c r="D122" s="510"/>
      <c r="E122" s="510"/>
      <c r="F122" s="510"/>
      <c r="G122" s="510"/>
      <c r="H122" s="539"/>
      <c r="I122" s="539"/>
      <c r="J122" s="539"/>
      <c r="K122" s="540"/>
      <c r="L122" s="541"/>
      <c r="M122" s="542"/>
      <c r="N122" s="2931"/>
      <c r="O122" s="2931"/>
      <c r="P122" s="2955"/>
      <c r="Q122" s="2922"/>
      <c r="R122" s="2923"/>
      <c r="S122" s="2923"/>
      <c r="T122" s="2923"/>
      <c r="U122" s="2923"/>
      <c r="V122" s="2923"/>
      <c r="W122" s="2923"/>
      <c r="X122" s="2923"/>
      <c r="Y122" s="2923"/>
      <c r="Z122" s="2923"/>
      <c r="AA122" s="2923"/>
      <c r="AB122" s="2923"/>
      <c r="AC122" s="2923"/>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5"/>
      <c r="B124" s="494" t="s">
        <v>2373</v>
      </c>
      <c r="C124" s="510"/>
      <c r="D124" s="510"/>
      <c r="E124" s="539"/>
      <c r="F124" s="539"/>
      <c r="G124" s="539"/>
      <c r="H124" s="539"/>
      <c r="I124" s="539"/>
      <c r="J124" s="539"/>
      <c r="K124" s="540"/>
      <c r="L124" s="541"/>
      <c r="M124" s="542"/>
      <c r="N124" s="2929"/>
      <c r="O124" s="2929"/>
      <c r="P124" s="2954"/>
      <c r="Q124" s="2915"/>
      <c r="R124" s="2901"/>
      <c r="S124" s="2901"/>
      <c r="T124" s="2901"/>
      <c r="U124" s="2901"/>
      <c r="V124" s="2901"/>
      <c r="W124" s="2901"/>
      <c r="X124" s="2901"/>
      <c r="Y124" s="2901"/>
      <c r="Z124" s="2901"/>
      <c r="AA124" s="2901"/>
      <c r="AB124" s="2901"/>
      <c r="AC124" s="2901"/>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5"/>
      <c r="B126" s="494">
        <f>B43</f>
        <v>111</v>
      </c>
      <c r="C126" s="510"/>
      <c r="D126" s="510"/>
      <c r="E126" s="510"/>
      <c r="F126" s="510"/>
      <c r="G126" s="510"/>
      <c r="H126" s="539"/>
      <c r="I126" s="539"/>
      <c r="J126" s="539"/>
      <c r="K126" s="540"/>
      <c r="L126" s="541"/>
      <c r="M126" s="542"/>
      <c r="N126" s="2929"/>
      <c r="O126" s="2929"/>
      <c r="P126" s="2954"/>
      <c r="Q126" s="2915"/>
      <c r="R126" s="2901"/>
      <c r="S126" s="2901"/>
      <c r="T126" s="2901"/>
      <c r="U126" s="2901"/>
      <c r="V126" s="2901"/>
      <c r="W126" s="2901"/>
      <c r="X126" s="2901"/>
      <c r="Y126" s="2901"/>
      <c r="Z126" s="2901"/>
      <c r="AA126" s="2901"/>
      <c r="AB126" s="2901"/>
      <c r="AC126" s="2901"/>
    </row>
    <row r="127" spans="1:29" ht="15.75" thickBot="1">
      <c r="A127" s="490"/>
      <c r="B127" s="499"/>
      <c r="C127" s="516"/>
      <c r="D127" s="516"/>
      <c r="E127" s="516"/>
      <c r="F127" s="516"/>
      <c r="G127" s="492"/>
      <c r="H127" s="492"/>
      <c r="I127" s="492"/>
      <c r="J127" s="492"/>
      <c r="K127" s="492"/>
      <c r="L127" s="492"/>
      <c r="M127" s="493"/>
      <c r="N127" s="2930"/>
      <c r="O127" s="2930"/>
      <c r="P127" s="2954"/>
      <c r="Q127" s="2915"/>
      <c r="R127" s="2901"/>
      <c r="S127" s="2901"/>
      <c r="T127" s="2901"/>
      <c r="U127" s="2901"/>
      <c r="V127" s="2901"/>
      <c r="W127" s="2901"/>
      <c r="X127" s="2901"/>
      <c r="Y127" s="2901"/>
      <c r="Z127" s="2901"/>
      <c r="AA127" s="2901"/>
      <c r="AB127" s="2901"/>
      <c r="AC127" s="2901"/>
    </row>
    <row r="128" spans="1:29" ht="15" thickTop="1">
      <c r="A128" s="555"/>
      <c r="B128" s="494">
        <f>B44</f>
        <v>111</v>
      </c>
      <c r="C128" s="479"/>
      <c r="D128" s="479"/>
      <c r="E128" s="479"/>
      <c r="F128" s="479"/>
      <c r="G128" s="539"/>
      <c r="H128" s="539"/>
      <c r="I128" s="539"/>
      <c r="J128" s="539"/>
      <c r="K128" s="540"/>
      <c r="L128" s="541"/>
      <c r="M128" s="542"/>
      <c r="N128" s="2929"/>
      <c r="O128" s="2929"/>
      <c r="P128" s="2954"/>
      <c r="Q128" s="2915"/>
      <c r="R128" s="2901"/>
      <c r="S128" s="2901"/>
      <c r="T128" s="2901"/>
      <c r="U128" s="2901"/>
      <c r="V128" s="2901"/>
      <c r="W128" s="2901"/>
      <c r="X128" s="2901"/>
      <c r="Y128" s="2901"/>
      <c r="Z128" s="2901"/>
      <c r="AA128" s="2901"/>
      <c r="AB128" s="2901"/>
      <c r="AC128" s="2901"/>
    </row>
    <row r="129" spans="1:29" ht="15.75" thickBot="1">
      <c r="A129" s="490"/>
      <c r="B129" s="499"/>
      <c r="C129" s="526"/>
      <c r="D129" s="526"/>
      <c r="E129" s="526"/>
      <c r="F129" s="526"/>
      <c r="G129" s="492"/>
      <c r="H129" s="492"/>
      <c r="I129" s="492"/>
      <c r="J129" s="492"/>
      <c r="K129" s="492"/>
      <c r="L129" s="492"/>
      <c r="M129" s="493"/>
      <c r="N129" s="2930"/>
      <c r="O129" s="2930"/>
      <c r="P129" s="2954"/>
      <c r="Q129" s="2915"/>
      <c r="R129" s="2901"/>
      <c r="S129" s="2901"/>
      <c r="T129" s="2901"/>
      <c r="U129" s="2901"/>
      <c r="V129" s="2901"/>
      <c r="W129" s="2901"/>
      <c r="X129" s="2901"/>
      <c r="Y129" s="2901"/>
      <c r="Z129" s="2901"/>
      <c r="AA129" s="2901"/>
      <c r="AB129" s="2901"/>
      <c r="AC129" s="2901"/>
    </row>
    <row r="130" spans="1:29" s="429" customFormat="1" ht="15" thickTop="1">
      <c r="A130" s="549"/>
      <c r="B130" s="494">
        <f>B45</f>
        <v>111</v>
      </c>
      <c r="C130" s="479"/>
      <c r="D130" s="479"/>
      <c r="E130" s="479"/>
      <c r="F130" s="479"/>
      <c r="G130" s="511"/>
      <c r="H130" s="511"/>
      <c r="I130" s="511"/>
      <c r="J130" s="511"/>
      <c r="K130" s="511"/>
      <c r="L130" s="512"/>
      <c r="M130" s="513"/>
      <c r="N130" s="2931"/>
      <c r="O130" s="2931"/>
      <c r="P130" s="2955"/>
      <c r="Q130" s="2922"/>
      <c r="R130" s="2923"/>
      <c r="S130" s="2923"/>
      <c r="T130" s="2923"/>
      <c r="U130" s="2923"/>
      <c r="V130" s="2923"/>
      <c r="W130" s="2923"/>
      <c r="X130" s="2923"/>
      <c r="Y130" s="2923"/>
      <c r="Z130" s="2923"/>
      <c r="AA130" s="2923"/>
      <c r="AB130" s="2923"/>
      <c r="AC130" s="2923"/>
    </row>
    <row r="131" spans="1:29" s="429" customFormat="1" ht="15.75" thickBot="1">
      <c r="A131" s="524"/>
      <c r="B131" s="655"/>
      <c r="C131" s="526"/>
      <c r="D131" s="526"/>
      <c r="E131" s="526"/>
      <c r="F131" s="526"/>
      <c r="G131" s="547"/>
      <c r="H131" s="547"/>
      <c r="I131" s="547"/>
      <c r="J131" s="547"/>
      <c r="K131" s="547"/>
      <c r="L131" s="547"/>
      <c r="M131" s="548"/>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80" zoomScaleNormal="60" zoomScaleSheetLayoutView="80" workbookViewId="0">
      <selection activeCell="L39" sqref="L39"/>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f>F61</f>
        <v>1463</v>
      </c>
      <c r="C2" s="1019"/>
      <c r="D2" s="1019"/>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7" customFormat="1" ht="28.5" customHeight="1" thickBot="1">
      <c r="A3" s="208" t="s">
        <v>1909</v>
      </c>
      <c r="B3" s="565">
        <f>ROUND(IF(D3="",B2*10000/'数据-汇总表'!E3,B2*10000/D3),0)</f>
        <v>1055</v>
      </c>
      <c r="C3" s="208" t="s">
        <v>2326</v>
      </c>
      <c r="D3" s="1306"/>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0" t="s">
        <v>2225</v>
      </c>
      <c r="B4" s="361"/>
      <c r="C4" s="3447" t="s">
        <v>2226</v>
      </c>
      <c r="D4" s="3459"/>
      <c r="E4" s="3460" t="s">
        <v>2227</v>
      </c>
      <c r="F4" s="3461"/>
      <c r="G4" s="3447" t="s">
        <v>2228</v>
      </c>
      <c r="H4" s="3459"/>
      <c r="I4" s="3447" t="s">
        <v>2229</v>
      </c>
      <c r="J4" s="3459"/>
      <c r="K4" s="566" t="s">
        <v>2230</v>
      </c>
      <c r="L4" s="2891"/>
      <c r="M4" s="2892"/>
      <c r="N4" s="2892"/>
      <c r="O4" s="2892"/>
      <c r="P4" s="3462" t="s">
        <v>2231</v>
      </c>
      <c r="Q4" s="3463"/>
      <c r="R4" s="3468" t="s">
        <v>2227</v>
      </c>
      <c r="S4" s="3469"/>
      <c r="T4" s="3468" t="s">
        <v>2228</v>
      </c>
      <c r="U4" s="3469"/>
      <c r="V4" s="3455" t="s">
        <v>2229</v>
      </c>
      <c r="W4" s="3455"/>
      <c r="X4" s="1488"/>
      <c r="Y4" s="3468" t="s">
        <v>2231</v>
      </c>
      <c r="Z4" s="3469"/>
      <c r="AA4" s="3456" t="s">
        <v>2227</v>
      </c>
      <c r="AB4" s="3457" t="s">
        <v>2228</v>
      </c>
      <c r="AC4" s="3456" t="s">
        <v>2229</v>
      </c>
    </row>
    <row r="5" spans="1:29" ht="15">
      <c r="A5" s="363"/>
      <c r="B5" s="364"/>
      <c r="C5" s="3476" t="s">
        <v>2122</v>
      </c>
      <c r="D5" s="3477"/>
      <c r="E5" s="3483" t="str">
        <f>土地案例!A80</f>
        <v>杭钱塘工出【2021】7号</v>
      </c>
      <c r="F5" s="3484"/>
      <c r="G5" s="3476" t="str">
        <f>土地案例!A83</f>
        <v>杭钱塘工出【2021】8号</v>
      </c>
      <c r="H5" s="3477"/>
      <c r="I5" s="3476" t="str">
        <f>土地案例!A85</f>
        <v>杭钱塘工出[2021]4号</v>
      </c>
      <c r="J5" s="3477"/>
      <c r="K5" s="566"/>
      <c r="L5" s="2891"/>
      <c r="M5" s="2892"/>
      <c r="N5" s="2892"/>
      <c r="O5" s="2892"/>
      <c r="P5" s="3464"/>
      <c r="Q5" s="3465"/>
      <c r="R5" s="3470"/>
      <c r="S5" s="3471"/>
      <c r="T5" s="3470"/>
      <c r="U5" s="3471"/>
      <c r="V5" s="3455"/>
      <c r="W5" s="3455"/>
      <c r="X5" s="1488"/>
      <c r="Y5" s="3470"/>
      <c r="Z5" s="3471"/>
      <c r="AA5" s="3457"/>
      <c r="AB5" s="3457"/>
      <c r="AC5" s="3457"/>
    </row>
    <row r="6" spans="1:29" ht="15.75" thickBot="1">
      <c r="A6" s="365"/>
      <c r="B6" s="366"/>
      <c r="C6" s="3485" t="s">
        <v>2375</v>
      </c>
      <c r="D6" s="3486"/>
      <c r="E6" s="3487" t="s">
        <v>2375</v>
      </c>
      <c r="F6" s="3488"/>
      <c r="G6" s="3485" t="s">
        <v>2375</v>
      </c>
      <c r="H6" s="3486"/>
      <c r="I6" s="3485" t="s">
        <v>2375</v>
      </c>
      <c r="J6" s="3486"/>
      <c r="K6" s="566" t="s">
        <v>2127</v>
      </c>
      <c r="L6" s="2891"/>
      <c r="M6" s="2892"/>
      <c r="N6" s="2892"/>
      <c r="O6" s="2892"/>
      <c r="P6" s="3466"/>
      <c r="Q6" s="3467"/>
      <c r="R6" s="3470"/>
      <c r="S6" s="3471"/>
      <c r="T6" s="3472"/>
      <c r="U6" s="3473"/>
      <c r="V6" s="3455"/>
      <c r="W6" s="3455"/>
      <c r="X6" s="1488"/>
      <c r="Y6" s="3472"/>
      <c r="Z6" s="3473"/>
      <c r="AA6" s="3458"/>
      <c r="AB6" s="3458"/>
      <c r="AC6" s="3458"/>
    </row>
    <row r="7" spans="1:29" s="113" customFormat="1" ht="15.75" thickBot="1">
      <c r="A7" s="367" t="s">
        <v>2128</v>
      </c>
      <c r="B7" s="368"/>
      <c r="C7" s="369">
        <f>'数据-取费表'!B2</f>
        <v>44781</v>
      </c>
      <c r="D7" s="370">
        <v>100</v>
      </c>
      <c r="E7" s="371" t="str">
        <f>土地案例!K80</f>
        <v>2021-05-17</v>
      </c>
      <c r="F7" s="372">
        <f>SUMIF(65:65,YEAR(E7)&amp;"-"&amp;INT((MONTH(E7)+2)/3),66:66)</f>
        <v>97.5</v>
      </c>
      <c r="G7" s="2109" t="str">
        <f>土地案例!K83</f>
        <v>2021-05-17</v>
      </c>
      <c r="H7" s="370">
        <f>SUMIF(65:65,YEAR(G7)&amp;"-"&amp;INT((MONTH(G7)+2)/3),66:66)</f>
        <v>97.5</v>
      </c>
      <c r="I7" s="2109" t="str">
        <f>土地案例!K85</f>
        <v>2021-05-13</v>
      </c>
      <c r="J7" s="370">
        <f>SUMIF(65:65,YEAR(I7)&amp;"-"&amp;INT((MONTH(I7)+2)/3),66:66)</f>
        <v>97.5</v>
      </c>
      <c r="K7" s="567"/>
      <c r="L7" s="2893"/>
      <c r="M7" s="2894"/>
      <c r="N7" s="2894"/>
      <c r="O7" s="2894"/>
      <c r="P7" s="3478" t="s">
        <v>2129</v>
      </c>
      <c r="Q7" s="3480"/>
      <c r="R7" s="709" t="s">
        <v>17</v>
      </c>
      <c r="S7" s="710">
        <f t="shared" ref="S7:S15" si="0">F7</f>
        <v>97.5</v>
      </c>
      <c r="T7" s="709" t="s">
        <v>17</v>
      </c>
      <c r="U7" s="710">
        <f t="shared" ref="U7:U15" si="1">H7</f>
        <v>97.5</v>
      </c>
      <c r="V7" s="709" t="s">
        <v>17</v>
      </c>
      <c r="W7" s="710">
        <f t="shared" ref="W7:W15" si="2">J7</f>
        <v>97.5</v>
      </c>
      <c r="X7" s="711"/>
      <c r="Y7" s="3478" t="s">
        <v>2129</v>
      </c>
      <c r="Z7" s="3479"/>
      <c r="AA7" s="712">
        <f>D7/F7</f>
        <v>1.0256410256410255</v>
      </c>
      <c r="AB7" s="712">
        <f>D7/H7</f>
        <v>1.0256410256410255</v>
      </c>
      <c r="AC7" s="712">
        <f>D7/J7</f>
        <v>1.0256410256410255</v>
      </c>
    </row>
    <row r="8" spans="1:29" s="113" customFormat="1" ht="15.75" thickBot="1">
      <c r="A8" s="367" t="s">
        <v>2130</v>
      </c>
      <c r="B8" s="368"/>
      <c r="C8" s="373" t="s">
        <v>2131</v>
      </c>
      <c r="D8" s="370">
        <v>100</v>
      </c>
      <c r="E8" s="3238" t="s">
        <v>3524</v>
      </c>
      <c r="F8" s="372">
        <f>SUMIF(68:68,E8,69:69)-SUMIF(68:68,C8,69:69)+100</f>
        <v>100</v>
      </c>
      <c r="G8" s="3238" t="s">
        <v>3525</v>
      </c>
      <c r="H8" s="370">
        <f>SUMIF(68:68,G8,69:69)-SUMIF(68:68,C8,69:69)+100</f>
        <v>100</v>
      </c>
      <c r="I8" s="3238" t="s">
        <v>3526</v>
      </c>
      <c r="J8" s="370">
        <f>SUMIF(68:68,I8,69:69)-SUMIF(68:68,C8,69:69)+100</f>
        <v>100</v>
      </c>
      <c r="K8" s="567"/>
      <c r="L8" s="2893"/>
      <c r="M8" s="2894"/>
      <c r="N8" s="2894"/>
      <c r="O8" s="2894"/>
      <c r="P8" s="3478" t="s">
        <v>2132</v>
      </c>
      <c r="Q8" s="3479"/>
      <c r="R8" s="709" t="s">
        <v>17</v>
      </c>
      <c r="S8" s="710">
        <f t="shared" si="0"/>
        <v>100</v>
      </c>
      <c r="T8" s="709" t="s">
        <v>17</v>
      </c>
      <c r="U8" s="710">
        <f t="shared" si="1"/>
        <v>100</v>
      </c>
      <c r="V8" s="709" t="s">
        <v>17</v>
      </c>
      <c r="W8" s="710">
        <f t="shared" si="2"/>
        <v>100</v>
      </c>
      <c r="X8" s="711"/>
      <c r="Y8" s="3478" t="s">
        <v>2132</v>
      </c>
      <c r="Z8" s="3479"/>
      <c r="AA8" s="712">
        <f t="shared" ref="AA8:AA40" si="3">D8/F8</f>
        <v>1</v>
      </c>
      <c r="AB8" s="712">
        <f t="shared" ref="AB8:AB40" si="4">D8/H8</f>
        <v>1</v>
      </c>
      <c r="AC8" s="712">
        <f t="shared" ref="AC8:AC40" si="5">D8/J8</f>
        <v>1</v>
      </c>
    </row>
    <row r="9" spans="1:29" s="113" customFormat="1">
      <c r="A9" s="374" t="s">
        <v>2133</v>
      </c>
      <c r="B9" s="67" t="s">
        <v>2134</v>
      </c>
      <c r="C9" s="3239" t="s">
        <v>3527</v>
      </c>
      <c r="D9" s="130">
        <v>100</v>
      </c>
      <c r="E9" s="3239" t="s">
        <v>3527</v>
      </c>
      <c r="F9" s="130">
        <f>SUMIF(70:70,E9,71:71)-SUMIF(70:70,C9,71:71)+100</f>
        <v>100</v>
      </c>
      <c r="G9" s="3239" t="s">
        <v>3527</v>
      </c>
      <c r="H9" s="130">
        <f>SUMIF(70:70,G9,71:71)-SUMIF(70:70,C9,71:71)+100</f>
        <v>100</v>
      </c>
      <c r="I9" s="3239" t="s">
        <v>3528</v>
      </c>
      <c r="J9" s="130">
        <f>SUMIF(70:70,I9,71:71)-SUMIF(70:70,C9,71:71)+100</f>
        <v>100</v>
      </c>
      <c r="K9" s="567"/>
      <c r="L9" s="2893"/>
      <c r="M9" s="2894"/>
      <c r="N9" s="2894"/>
      <c r="O9" s="2948"/>
      <c r="P9" s="3450"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712">
        <f t="shared" si="5"/>
        <v>1</v>
      </c>
    </row>
    <row r="10" spans="1:29" s="385" customFormat="1" ht="27">
      <c r="A10" s="379"/>
      <c r="B10" s="380" t="s">
        <v>2137</v>
      </c>
      <c r="C10" s="390">
        <f>项目基本情况!I15</f>
        <v>31.29</v>
      </c>
      <c r="D10" s="131">
        <v>100</v>
      </c>
      <c r="E10" s="390">
        <v>50</v>
      </c>
      <c r="F10" s="131">
        <f>ROUND(100/'数据-取费表'!G16,0)</f>
        <v>115</v>
      </c>
      <c r="G10" s="390">
        <v>50</v>
      </c>
      <c r="H10" s="131">
        <f>ROUND(100/'数据-取费表'!G16,0)</f>
        <v>115</v>
      </c>
      <c r="I10" s="390">
        <v>50</v>
      </c>
      <c r="J10" s="131">
        <f>ROUND(100/'数据-取费表'!G16,0)</f>
        <v>115</v>
      </c>
      <c r="K10" s="627"/>
      <c r="L10" s="2895"/>
      <c r="M10" s="2896"/>
      <c r="N10" s="2896"/>
      <c r="O10" s="2949"/>
      <c r="P10" s="3450"/>
      <c r="Q10" s="1476" t="str">
        <f t="shared" si="6"/>
        <v>土地使用年限（年）</v>
      </c>
      <c r="R10" s="709" t="s">
        <v>17</v>
      </c>
      <c r="S10" s="710">
        <f t="shared" si="0"/>
        <v>115</v>
      </c>
      <c r="T10" s="709" t="s">
        <v>17</v>
      </c>
      <c r="U10" s="710">
        <f t="shared" si="1"/>
        <v>115</v>
      </c>
      <c r="V10" s="709" t="s">
        <v>17</v>
      </c>
      <c r="W10" s="710">
        <f t="shared" si="2"/>
        <v>115</v>
      </c>
      <c r="X10" s="711"/>
      <c r="Y10" s="3344"/>
      <c r="Z10" s="55" t="str">
        <f t="shared" si="7"/>
        <v>土地使用年限（年）</v>
      </c>
      <c r="AA10" s="712">
        <f t="shared" si="3"/>
        <v>0.86956521739130432</v>
      </c>
      <c r="AB10" s="712">
        <f t="shared" si="4"/>
        <v>0.86956521739130432</v>
      </c>
      <c r="AC10" s="712">
        <f t="shared" si="5"/>
        <v>0.86956521739130432</v>
      </c>
    </row>
    <row r="11" spans="1:29" ht="15">
      <c r="A11" s="386"/>
      <c r="B11" s="380" t="s">
        <v>2138</v>
      </c>
      <c r="C11" s="387">
        <f>'数据-汇总表'!I6</f>
        <v>0.81</v>
      </c>
      <c r="D11" s="131">
        <v>100</v>
      </c>
      <c r="E11" s="387">
        <v>2.2000000000000002</v>
      </c>
      <c r="F11" s="131">
        <f>LOOKUP(E11,75:75,76:76)-LOOKUP(C11,75:75,76:76)+100</f>
        <v>104</v>
      </c>
      <c r="G11" s="388">
        <v>2.2000000000000002</v>
      </c>
      <c r="H11" s="131">
        <f>LOOKUP(G11,75:75,76:76)-LOOKUP(C11,75:75,76:76)+100</f>
        <v>104</v>
      </c>
      <c r="I11" s="387">
        <v>2</v>
      </c>
      <c r="J11" s="131">
        <f>LOOKUP(I11,75:75,76:76)-LOOKUP(C11,75:75,76:76)+100</f>
        <v>104</v>
      </c>
      <c r="K11" s="628">
        <v>2</v>
      </c>
      <c r="L11" s="2897"/>
      <c r="M11" s="2892"/>
      <c r="N11" s="2892"/>
      <c r="O11" s="2950"/>
      <c r="P11" s="3450"/>
      <c r="Q11" s="1476" t="str">
        <f t="shared" si="6"/>
        <v>容积率</v>
      </c>
      <c r="R11" s="709" t="s">
        <v>17</v>
      </c>
      <c r="S11" s="710">
        <f t="shared" si="0"/>
        <v>104</v>
      </c>
      <c r="T11" s="709" t="s">
        <v>17</v>
      </c>
      <c r="U11" s="710">
        <f t="shared" si="1"/>
        <v>104</v>
      </c>
      <c r="V11" s="709" t="s">
        <v>17</v>
      </c>
      <c r="W11" s="710">
        <f t="shared" si="2"/>
        <v>104</v>
      </c>
      <c r="X11" s="711"/>
      <c r="Y11" s="3344"/>
      <c r="Z11" s="55" t="str">
        <f t="shared" si="7"/>
        <v>容积率</v>
      </c>
      <c r="AA11" s="712">
        <f t="shared" si="3"/>
        <v>0.96153846153846156</v>
      </c>
      <c r="AB11" s="712">
        <f t="shared" si="4"/>
        <v>0.96153846153846156</v>
      </c>
      <c r="AC11" s="712">
        <f t="shared" si="5"/>
        <v>0.96153846153846156</v>
      </c>
    </row>
    <row r="12" spans="1:29" s="113"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3"/>
      <c r="M12" s="2894"/>
      <c r="N12" s="2894"/>
      <c r="O12" s="2948"/>
      <c r="P12" s="3450"/>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8"/>
      <c r="M13" s="2892"/>
      <c r="N13" s="2892"/>
      <c r="O13" s="2950"/>
      <c r="P13" s="3450"/>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8"/>
      <c r="M14" s="2892"/>
      <c r="N14" s="2892"/>
      <c r="O14" s="2950"/>
      <c r="P14" s="3450"/>
      <c r="Q14" s="1476">
        <f t="shared" si="6"/>
        <v>111</v>
      </c>
      <c r="R14" s="709" t="s">
        <v>17</v>
      </c>
      <c r="S14" s="710">
        <f t="shared" si="0"/>
        <v>100</v>
      </c>
      <c r="T14" s="709" t="s">
        <v>17</v>
      </c>
      <c r="U14" s="710">
        <f t="shared" si="1"/>
        <v>100</v>
      </c>
      <c r="V14" s="709" t="s">
        <v>17</v>
      </c>
      <c r="W14" s="710">
        <f t="shared" si="2"/>
        <v>100</v>
      </c>
      <c r="X14" s="711"/>
      <c r="Y14" s="3344"/>
      <c r="Z14" s="55">
        <f t="shared" si="7"/>
        <v>111</v>
      </c>
      <c r="AA14" s="712">
        <f t="shared" si="3"/>
        <v>1</v>
      </c>
      <c r="AB14" s="712">
        <f t="shared" si="4"/>
        <v>1</v>
      </c>
      <c r="AC14" s="712">
        <f t="shared" si="5"/>
        <v>1</v>
      </c>
    </row>
    <row r="15" spans="1:29" ht="57">
      <c r="A15" s="398" t="s">
        <v>2139</v>
      </c>
      <c r="B15" s="584" t="s">
        <v>2376</v>
      </c>
      <c r="C15" s="2106" t="str">
        <f>估价对象房地状况!G15</f>
        <v>估价对象位于XX开发区，园区建设成熟度XX，产业集聚程度XX</v>
      </c>
      <c r="D15" s="399">
        <v>100</v>
      </c>
      <c r="E15" s="400"/>
      <c r="F15" s="399">
        <f>SUMIF(83:83,E16,84:84)-SUMIF(83:83,C16,84:84)+100</f>
        <v>98</v>
      </c>
      <c r="G15" s="400"/>
      <c r="H15" s="399">
        <f>SUMIF(83:83,G16,84:84)-SUMIF(83:83,C16,84:84)+100</f>
        <v>98</v>
      </c>
      <c r="I15" s="402"/>
      <c r="J15" s="399">
        <f>SUMIF(83:83,I16,84:84)-SUMIF(83:83,C16,84:84)+100</f>
        <v>100</v>
      </c>
      <c r="K15" s="628">
        <v>2</v>
      </c>
      <c r="L15" s="2898"/>
      <c r="M15" s="2892"/>
      <c r="N15" s="2892"/>
      <c r="O15" s="2950"/>
      <c r="P15" s="3451" t="s">
        <v>2140</v>
      </c>
      <c r="Q15" s="1485" t="str">
        <f t="shared" si="6"/>
        <v>产业集聚程度</v>
      </c>
      <c r="R15" s="713" t="s">
        <v>17</v>
      </c>
      <c r="S15" s="714">
        <f t="shared" si="0"/>
        <v>98</v>
      </c>
      <c r="T15" s="713" t="s">
        <v>17</v>
      </c>
      <c r="U15" s="714">
        <f t="shared" si="1"/>
        <v>98</v>
      </c>
      <c r="V15" s="713" t="s">
        <v>17</v>
      </c>
      <c r="W15" s="714">
        <f t="shared" si="2"/>
        <v>100</v>
      </c>
      <c r="X15" s="1488"/>
      <c r="Y15" s="3451" t="s">
        <v>2140</v>
      </c>
      <c r="Z15" s="1489" t="str">
        <f t="shared" si="7"/>
        <v>产业集聚程度</v>
      </c>
      <c r="AA15" s="1486">
        <f t="shared" si="3"/>
        <v>1.0204081632653061</v>
      </c>
      <c r="AB15" s="1486">
        <f t="shared" si="4"/>
        <v>1.0204081632653061</v>
      </c>
      <c r="AC15" s="1486">
        <f t="shared" si="5"/>
        <v>1</v>
      </c>
    </row>
    <row r="16" spans="1:29" ht="15">
      <c r="A16" s="386"/>
      <c r="B16" s="585"/>
      <c r="C16" s="405" t="s">
        <v>3529</v>
      </c>
      <c r="D16" s="406"/>
      <c r="E16" s="3244" t="s">
        <v>3530</v>
      </c>
      <c r="F16" s="406"/>
      <c r="G16" s="3244" t="s">
        <v>3560</v>
      </c>
      <c r="H16" s="408"/>
      <c r="I16" s="3244" t="s">
        <v>3533</v>
      </c>
      <c r="J16" s="406"/>
      <c r="K16" s="627"/>
      <c r="L16" s="2898"/>
      <c r="M16" s="2892"/>
      <c r="N16" s="2892"/>
      <c r="O16" s="2950"/>
      <c r="P16" s="3452"/>
      <c r="Q16" s="1485"/>
      <c r="R16" s="713"/>
      <c r="S16" s="714"/>
      <c r="T16" s="713"/>
      <c r="U16" s="714"/>
      <c r="V16" s="713"/>
      <c r="W16" s="714"/>
      <c r="X16" s="1488"/>
      <c r="Y16" s="3452"/>
      <c r="Z16" s="1489"/>
      <c r="AA16" s="1486">
        <v>1</v>
      </c>
      <c r="AB16" s="1486">
        <v>1</v>
      </c>
      <c r="AC16" s="1486">
        <v>1</v>
      </c>
    </row>
    <row r="17" spans="1:29" ht="85.5">
      <c r="A17" s="386"/>
      <c r="B17" s="586" t="s">
        <v>2289</v>
      </c>
      <c r="C17" s="203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2</v>
      </c>
      <c r="L17" s="2898"/>
      <c r="M17" s="2892"/>
      <c r="N17" s="2892"/>
      <c r="O17" s="2950"/>
      <c r="P17" s="3452"/>
      <c r="Q17" s="1485" t="str">
        <f>B17</f>
        <v>交通便捷度</v>
      </c>
      <c r="R17" s="713" t="s">
        <v>17</v>
      </c>
      <c r="S17" s="714">
        <f>F17</f>
        <v>100</v>
      </c>
      <c r="T17" s="713" t="s">
        <v>17</v>
      </c>
      <c r="U17" s="714">
        <f>H17</f>
        <v>100</v>
      </c>
      <c r="V17" s="713" t="s">
        <v>17</v>
      </c>
      <c r="W17" s="714">
        <f>J17</f>
        <v>100</v>
      </c>
      <c r="X17" s="1488"/>
      <c r="Y17" s="3452"/>
      <c r="Z17" s="1489" t="str">
        <f>Q17</f>
        <v>交通便捷度</v>
      </c>
      <c r="AA17" s="1486">
        <f t="shared" si="3"/>
        <v>1</v>
      </c>
      <c r="AB17" s="1486">
        <f t="shared" si="4"/>
        <v>1</v>
      </c>
      <c r="AC17" s="1486">
        <f t="shared" si="5"/>
        <v>1</v>
      </c>
    </row>
    <row r="18" spans="1:29" ht="15">
      <c r="A18" s="386"/>
      <c r="B18" s="587"/>
      <c r="C18" s="3241" t="s">
        <v>3530</v>
      </c>
      <c r="D18" s="406"/>
      <c r="E18" s="3242" t="s">
        <v>3531</v>
      </c>
      <c r="F18" s="406"/>
      <c r="G18" s="3242" t="s">
        <v>3530</v>
      </c>
      <c r="H18" s="406"/>
      <c r="I18" s="3243" t="s">
        <v>3530</v>
      </c>
      <c r="J18" s="406"/>
      <c r="K18" s="627"/>
      <c r="L18" s="2898"/>
      <c r="M18" s="2892"/>
      <c r="N18" s="2892"/>
      <c r="O18" s="2950"/>
      <c r="P18" s="3452"/>
      <c r="Q18" s="1485"/>
      <c r="R18" s="713"/>
      <c r="S18" s="714"/>
      <c r="T18" s="713"/>
      <c r="U18" s="714"/>
      <c r="V18" s="713"/>
      <c r="W18" s="714"/>
      <c r="X18" s="1488"/>
      <c r="Y18" s="3452"/>
      <c r="Z18" s="1489"/>
      <c r="AA18" s="1486">
        <v>1</v>
      </c>
      <c r="AB18" s="1486">
        <v>1</v>
      </c>
      <c r="AC18" s="1486">
        <v>1</v>
      </c>
    </row>
    <row r="19" spans="1:29" ht="15">
      <c r="A19" s="386"/>
      <c r="B19" s="586" t="s">
        <v>2328</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898"/>
      <c r="M19" s="2892"/>
      <c r="N19" s="2892"/>
      <c r="O19" s="2950"/>
      <c r="P19" s="3452"/>
      <c r="Q19" s="1485" t="str">
        <f t="shared" ref="Q19:Q33" si="8">B19</f>
        <v>区域土地利用方向</v>
      </c>
      <c r="R19" s="713" t="s">
        <v>17</v>
      </c>
      <c r="S19" s="714">
        <f>F19</f>
        <v>100</v>
      </c>
      <c r="T19" s="713" t="s">
        <v>17</v>
      </c>
      <c r="U19" s="714">
        <f>H19</f>
        <v>100</v>
      </c>
      <c r="V19" s="713" t="s">
        <v>17</v>
      </c>
      <c r="W19" s="714">
        <f>J19</f>
        <v>100</v>
      </c>
      <c r="X19" s="1488"/>
      <c r="Y19" s="3452"/>
      <c r="Z19" s="1489" t="str">
        <f>Q19</f>
        <v>区域土地利用方向</v>
      </c>
      <c r="AA19" s="1486">
        <f t="shared" si="3"/>
        <v>1</v>
      </c>
      <c r="AB19" s="1486">
        <f t="shared" si="4"/>
        <v>1</v>
      </c>
      <c r="AC19" s="1486">
        <f t="shared" si="5"/>
        <v>1</v>
      </c>
    </row>
    <row r="20" spans="1:29" ht="15">
      <c r="A20" s="363"/>
      <c r="B20" s="587"/>
      <c r="C20" s="3241" t="s">
        <v>3532</v>
      </c>
      <c r="D20" s="406"/>
      <c r="E20" s="3242" t="s">
        <v>3533</v>
      </c>
      <c r="F20" s="406"/>
      <c r="G20" s="3242" t="s">
        <v>3533</v>
      </c>
      <c r="H20" s="406"/>
      <c r="I20" s="3242" t="s">
        <v>3534</v>
      </c>
      <c r="J20" s="406"/>
      <c r="K20" s="750"/>
      <c r="L20" s="2898"/>
      <c r="M20" s="2892"/>
      <c r="N20" s="2892"/>
      <c r="O20" s="2950"/>
      <c r="P20" s="3452"/>
      <c r="Q20" s="1485"/>
      <c r="R20" s="713"/>
      <c r="S20" s="714"/>
      <c r="T20" s="713"/>
      <c r="U20" s="714"/>
      <c r="V20" s="713"/>
      <c r="W20" s="714"/>
      <c r="X20" s="1488"/>
      <c r="Y20" s="3452"/>
      <c r="Z20" s="1489"/>
      <c r="AA20" s="1486"/>
      <c r="AB20" s="1486"/>
      <c r="AC20" s="1486"/>
    </row>
    <row r="21" spans="1:29" ht="71.25">
      <c r="A21" s="363"/>
      <c r="B21" s="586" t="s">
        <v>2377</v>
      </c>
      <c r="C21" s="203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2</v>
      </c>
      <c r="L21" s="2898"/>
      <c r="M21" s="2892"/>
      <c r="N21" s="2892"/>
      <c r="O21" s="2950"/>
      <c r="P21" s="3452"/>
      <c r="Q21" s="1485" t="str">
        <f t="shared" si="8"/>
        <v>环境状况</v>
      </c>
      <c r="R21" s="713" t="s">
        <v>17</v>
      </c>
      <c r="S21" s="714">
        <f>F21</f>
        <v>100</v>
      </c>
      <c r="T21" s="713" t="s">
        <v>17</v>
      </c>
      <c r="U21" s="714">
        <f>H21</f>
        <v>100</v>
      </c>
      <c r="V21" s="713" t="s">
        <v>17</v>
      </c>
      <c r="W21" s="714">
        <f>J21</f>
        <v>100</v>
      </c>
      <c r="X21" s="1488"/>
      <c r="Y21" s="3452"/>
      <c r="Z21" s="1489" t="str">
        <f>Q21</f>
        <v>环境状况</v>
      </c>
      <c r="AA21" s="1486">
        <f t="shared" si="3"/>
        <v>1</v>
      </c>
      <c r="AB21" s="1486">
        <f t="shared" si="4"/>
        <v>1</v>
      </c>
      <c r="AC21" s="1486">
        <f t="shared" si="5"/>
        <v>1</v>
      </c>
    </row>
    <row r="22" spans="1:29" ht="15">
      <c r="A22" s="363"/>
      <c r="B22" s="587"/>
      <c r="C22" s="3241" t="s">
        <v>3532</v>
      </c>
      <c r="D22" s="406"/>
      <c r="E22" s="3244" t="s">
        <v>3532</v>
      </c>
      <c r="F22" s="406"/>
      <c r="G22" s="3244" t="s">
        <v>3534</v>
      </c>
      <c r="H22" s="406"/>
      <c r="I22" s="3241" t="s">
        <v>3532</v>
      </c>
      <c r="J22" s="406"/>
      <c r="K22" s="627"/>
      <c r="L22" s="2898"/>
      <c r="M22" s="2892"/>
      <c r="N22" s="2892"/>
      <c r="O22" s="2950"/>
      <c r="P22" s="3452"/>
      <c r="Q22" s="1485"/>
      <c r="R22" s="713"/>
      <c r="S22" s="714"/>
      <c r="T22" s="713"/>
      <c r="U22" s="714"/>
      <c r="V22" s="713"/>
      <c r="W22" s="714"/>
      <c r="X22" s="1488"/>
      <c r="Y22" s="3452"/>
      <c r="Z22" s="1489"/>
      <c r="AA22" s="1486">
        <v>1</v>
      </c>
      <c r="AB22" s="1486">
        <v>1</v>
      </c>
      <c r="AC22" s="1486">
        <v>1</v>
      </c>
    </row>
    <row r="23" spans="1:29" s="113" customFormat="1" ht="42.75">
      <c r="A23" s="604"/>
      <c r="B23" s="588" t="s">
        <v>2234</v>
      </c>
      <c r="C23" s="203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v>2</v>
      </c>
      <c r="L23" s="2893"/>
      <c r="M23" s="2894"/>
      <c r="N23" s="2894"/>
      <c r="O23" s="2948"/>
      <c r="P23" s="3452"/>
      <c r="Q23" s="1476" t="str">
        <f t="shared" si="8"/>
        <v>公共配套设施</v>
      </c>
      <c r="R23" s="709" t="s">
        <v>17</v>
      </c>
      <c r="S23" s="710">
        <f>F23</f>
        <v>100</v>
      </c>
      <c r="T23" s="709" t="s">
        <v>17</v>
      </c>
      <c r="U23" s="710">
        <f>H23</f>
        <v>100</v>
      </c>
      <c r="V23" s="709" t="s">
        <v>17</v>
      </c>
      <c r="W23" s="710">
        <f>J23</f>
        <v>100</v>
      </c>
      <c r="X23" s="711"/>
      <c r="Y23" s="3452"/>
      <c r="Z23" s="55" t="str">
        <f>Q23</f>
        <v>公共配套设施</v>
      </c>
      <c r="AA23" s="1486">
        <f>D23/F23</f>
        <v>1</v>
      </c>
      <c r="AB23" s="1486">
        <f>D23/H23</f>
        <v>1</v>
      </c>
      <c r="AC23" s="1486">
        <f>D23/J23</f>
        <v>1</v>
      </c>
    </row>
    <row r="24" spans="1:29" s="113" customFormat="1" ht="15">
      <c r="A24" s="604"/>
      <c r="B24" s="587"/>
      <c r="C24" s="3245" t="s">
        <v>3532</v>
      </c>
      <c r="D24" s="406"/>
      <c r="E24" s="3244" t="s">
        <v>3534</v>
      </c>
      <c r="F24" s="406"/>
      <c r="G24" s="3244" t="s">
        <v>3533</v>
      </c>
      <c r="H24" s="406"/>
      <c r="I24" s="3241" t="s">
        <v>3534</v>
      </c>
      <c r="J24" s="406"/>
      <c r="K24" s="627"/>
      <c r="L24" s="2893"/>
      <c r="M24" s="2894"/>
      <c r="N24" s="2894"/>
      <c r="O24" s="2948"/>
      <c r="P24" s="3452"/>
      <c r="Q24" s="1476"/>
      <c r="R24" s="709"/>
      <c r="S24" s="710"/>
      <c r="T24" s="709"/>
      <c r="U24" s="710"/>
      <c r="V24" s="709"/>
      <c r="W24" s="710"/>
      <c r="X24" s="711"/>
      <c r="Y24" s="3452"/>
      <c r="Z24" s="55"/>
      <c r="AA24" s="712">
        <v>1</v>
      </c>
      <c r="AB24" s="712">
        <v>1</v>
      </c>
      <c r="AC24" s="712">
        <v>1</v>
      </c>
    </row>
    <row r="25" spans="1:29" s="113" customFormat="1" ht="28.5">
      <c r="A25" s="604"/>
      <c r="B25" s="588" t="s">
        <v>2235</v>
      </c>
      <c r="C25" s="203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2</v>
      </c>
      <c r="L25" s="2893"/>
      <c r="M25" s="2894"/>
      <c r="N25" s="2894"/>
      <c r="O25" s="2948"/>
      <c r="P25" s="3452"/>
      <c r="Q25" s="1476" t="str">
        <f t="shared" ref="Q25" si="9">B25</f>
        <v>基础设施水平</v>
      </c>
      <c r="R25" s="709" t="s">
        <v>17</v>
      </c>
      <c r="S25" s="710">
        <f>F25</f>
        <v>100</v>
      </c>
      <c r="T25" s="709" t="s">
        <v>17</v>
      </c>
      <c r="U25" s="710">
        <f>H25</f>
        <v>100</v>
      </c>
      <c r="V25" s="709" t="s">
        <v>17</v>
      </c>
      <c r="W25" s="710">
        <f>J25</f>
        <v>100</v>
      </c>
      <c r="X25" s="711"/>
      <c r="Y25" s="3452"/>
      <c r="Z25" s="55" t="str">
        <f>Q25</f>
        <v>基础设施水平</v>
      </c>
      <c r="AA25" s="1486">
        <f>D25/F25</f>
        <v>1</v>
      </c>
      <c r="AB25" s="1486">
        <f>D25/H25</f>
        <v>1</v>
      </c>
      <c r="AC25" s="1486">
        <f>D25/J25</f>
        <v>1</v>
      </c>
    </row>
    <row r="26" spans="1:29" s="113" customFormat="1" ht="15">
      <c r="A26" s="604"/>
      <c r="B26" s="587"/>
      <c r="C26" s="3245" t="s">
        <v>3535</v>
      </c>
      <c r="D26" s="406"/>
      <c r="E26" s="3246" t="s">
        <v>3536</v>
      </c>
      <c r="F26" s="406"/>
      <c r="G26" s="3246" t="s">
        <v>3536</v>
      </c>
      <c r="H26" s="406"/>
      <c r="I26" s="3246" t="s">
        <v>3537</v>
      </c>
      <c r="J26" s="406"/>
      <c r="K26" s="627"/>
      <c r="L26" s="2893"/>
      <c r="M26" s="2894"/>
      <c r="N26" s="2894"/>
      <c r="O26" s="2948"/>
      <c r="P26" s="3452"/>
      <c r="Q26" s="1476"/>
      <c r="R26" s="709"/>
      <c r="S26" s="710"/>
      <c r="T26" s="709"/>
      <c r="U26" s="710"/>
      <c r="V26" s="709"/>
      <c r="W26" s="710"/>
      <c r="X26" s="711"/>
      <c r="Y26" s="3452"/>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8"/>
      <c r="M27" s="2892"/>
      <c r="N27" s="2892"/>
      <c r="O27" s="2950"/>
      <c r="P27" s="3452"/>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52"/>
      <c r="Z27" s="1489" t="str">
        <f t="shared" ref="Z27:Z40" si="13">Q27</f>
        <v>临街状况</v>
      </c>
      <c r="AA27" s="1486">
        <f t="shared" si="3"/>
        <v>1</v>
      </c>
      <c r="AB27" s="1486">
        <f t="shared" si="4"/>
        <v>1</v>
      </c>
      <c r="AC27" s="1486">
        <f t="shared" si="5"/>
        <v>1</v>
      </c>
    </row>
    <row r="28" spans="1:29" ht="27">
      <c r="A28" s="386"/>
      <c r="B28" s="588" t="s">
        <v>2271</v>
      </c>
      <c r="C28" s="212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8"/>
      <c r="M28" s="2892"/>
      <c r="N28" s="2892"/>
      <c r="O28" s="2950"/>
      <c r="P28" s="3452"/>
      <c r="Q28" s="1485" t="str">
        <f t="shared" si="8"/>
        <v>毗邻道路的类型与等级</v>
      </c>
      <c r="R28" s="713" t="s">
        <v>17</v>
      </c>
      <c r="S28" s="714">
        <f t="shared" si="10"/>
        <v>100</v>
      </c>
      <c r="T28" s="713" t="s">
        <v>17</v>
      </c>
      <c r="U28" s="714">
        <f t="shared" si="11"/>
        <v>100</v>
      </c>
      <c r="V28" s="713" t="s">
        <v>17</v>
      </c>
      <c r="W28" s="714">
        <f t="shared" si="12"/>
        <v>100</v>
      </c>
      <c r="X28" s="1488"/>
      <c r="Y28" s="3452"/>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8"/>
      <c r="M29" s="2892"/>
      <c r="N29" s="2892"/>
      <c r="O29" s="2950"/>
      <c r="P29" s="3452"/>
      <c r="Q29" s="1485"/>
      <c r="R29" s="713"/>
      <c r="S29" s="714"/>
      <c r="T29" s="713"/>
      <c r="U29" s="714"/>
      <c r="V29" s="713"/>
      <c r="W29" s="714"/>
      <c r="X29" s="1488"/>
      <c r="Y29" s="3452"/>
      <c r="Z29" s="1489"/>
      <c r="AA29" s="1486">
        <v>1</v>
      </c>
      <c r="AB29" s="1486">
        <v>1</v>
      </c>
      <c r="AC29" s="1486">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8"/>
      <c r="M30" s="2892"/>
      <c r="N30" s="2892"/>
      <c r="O30" s="2950"/>
      <c r="P30" s="3452"/>
      <c r="Q30" s="1485" t="str">
        <f t="shared" si="8"/>
        <v>土地级别</v>
      </c>
      <c r="R30" s="713" t="s">
        <v>17</v>
      </c>
      <c r="S30" s="714">
        <f t="shared" si="10"/>
        <v>100</v>
      </c>
      <c r="T30" s="713" t="s">
        <v>17</v>
      </c>
      <c r="U30" s="714">
        <f t="shared" si="11"/>
        <v>100</v>
      </c>
      <c r="V30" s="713" t="s">
        <v>17</v>
      </c>
      <c r="W30" s="714">
        <f t="shared" si="12"/>
        <v>100</v>
      </c>
      <c r="X30" s="1488"/>
      <c r="Y30" s="3452"/>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8"/>
      <c r="M31" s="2892"/>
      <c r="N31" s="2892"/>
      <c r="O31" s="2950"/>
      <c r="P31" s="3452"/>
      <c r="Q31" s="1485">
        <f t="shared" si="8"/>
        <v>111</v>
      </c>
      <c r="R31" s="713" t="s">
        <v>17</v>
      </c>
      <c r="S31" s="714">
        <f t="shared" si="10"/>
        <v>100</v>
      </c>
      <c r="T31" s="713" t="s">
        <v>17</v>
      </c>
      <c r="U31" s="714">
        <f t="shared" si="11"/>
        <v>100</v>
      </c>
      <c r="V31" s="713" t="s">
        <v>17</v>
      </c>
      <c r="W31" s="714">
        <f t="shared" si="12"/>
        <v>100</v>
      </c>
      <c r="X31" s="1488"/>
      <c r="Y31" s="3452"/>
      <c r="Z31" s="1489">
        <f t="shared" si="13"/>
        <v>111</v>
      </c>
      <c r="AA31" s="1486">
        <f t="shared" si="3"/>
        <v>1</v>
      </c>
      <c r="AB31" s="1486">
        <f t="shared" si="4"/>
        <v>1</v>
      </c>
      <c r="AC31" s="1486">
        <f t="shared" si="5"/>
        <v>1</v>
      </c>
    </row>
    <row r="32" spans="1:29" ht="15">
      <c r="A32" s="630"/>
      <c r="B32" s="212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8"/>
      <c r="M32" s="2892"/>
      <c r="N32" s="2892"/>
      <c r="O32" s="2950"/>
      <c r="P32" s="3453" t="s">
        <v>2145</v>
      </c>
      <c r="Q32" s="1485">
        <f t="shared" si="8"/>
        <v>111</v>
      </c>
      <c r="R32" s="713" t="s">
        <v>17</v>
      </c>
      <c r="S32" s="714">
        <f t="shared" si="10"/>
        <v>100</v>
      </c>
      <c r="T32" s="713" t="s">
        <v>17</v>
      </c>
      <c r="U32" s="714">
        <f t="shared" si="11"/>
        <v>100</v>
      </c>
      <c r="V32" s="713" t="s">
        <v>17</v>
      </c>
      <c r="W32" s="714">
        <f t="shared" si="12"/>
        <v>100</v>
      </c>
      <c r="X32" s="1488"/>
      <c r="Y32" s="3454" t="s">
        <v>2145</v>
      </c>
      <c r="Z32" s="1489">
        <f t="shared" si="13"/>
        <v>111</v>
      </c>
      <c r="AA32" s="1486">
        <f t="shared" si="3"/>
        <v>1</v>
      </c>
      <c r="AB32" s="1486">
        <f t="shared" si="4"/>
        <v>1</v>
      </c>
      <c r="AC32" s="1486">
        <f t="shared" si="5"/>
        <v>1</v>
      </c>
    </row>
    <row r="33" spans="1:31" s="429" customFormat="1" ht="15.75" thickBot="1">
      <c r="A33" s="631"/>
      <c r="B33" s="212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7"/>
      <c r="M33" s="2899"/>
      <c r="N33" s="2899"/>
      <c r="O33" s="2951"/>
      <c r="P33" s="3454"/>
      <c r="Q33" s="1485">
        <f t="shared" si="8"/>
        <v>111</v>
      </c>
      <c r="R33" s="716" t="s">
        <v>17</v>
      </c>
      <c r="S33" s="717">
        <f t="shared" si="10"/>
        <v>100</v>
      </c>
      <c r="T33" s="716" t="s">
        <v>17</v>
      </c>
      <c r="U33" s="717">
        <f t="shared" si="11"/>
        <v>100</v>
      </c>
      <c r="V33" s="716" t="s">
        <v>17</v>
      </c>
      <c r="W33" s="717">
        <f t="shared" si="12"/>
        <v>100</v>
      </c>
      <c r="X33" s="718"/>
      <c r="Y33" s="3454"/>
      <c r="Z33" s="719">
        <f t="shared" si="13"/>
        <v>111</v>
      </c>
      <c r="AA33" s="1486">
        <f t="shared" si="3"/>
        <v>1</v>
      </c>
      <c r="AB33" s="1486">
        <f t="shared" si="4"/>
        <v>1</v>
      </c>
      <c r="AC33" s="1486">
        <f t="shared" si="5"/>
        <v>1</v>
      </c>
    </row>
    <row r="34" spans="1:31" ht="15">
      <c r="A34" s="398" t="s">
        <v>2143</v>
      </c>
      <c r="B34" s="414" t="s">
        <v>2331</v>
      </c>
      <c r="C34" s="634">
        <f>'数据-基础表'!A3</f>
        <v>17188</v>
      </c>
      <c r="D34" s="425">
        <v>100</v>
      </c>
      <c r="E34" s="634">
        <f>土地案例!D80</f>
        <v>16673</v>
      </c>
      <c r="F34" s="425">
        <f>LOOKUP(E34,108:108,109:109)-LOOKUP(C34,108:108,109:109)+100</f>
        <v>100</v>
      </c>
      <c r="G34" s="634">
        <f>土地案例!D83</f>
        <v>10013</v>
      </c>
      <c r="H34" s="425">
        <f>LOOKUP(G34,108:108,109:109)-LOOKUP(C34,108:108,109:109)+100</f>
        <v>100</v>
      </c>
      <c r="I34" s="486">
        <f>土地案例!D85</f>
        <v>20050</v>
      </c>
      <c r="J34" s="425">
        <f>LOOKUP(I34,108:108,109:109)-LOOKUP(C34,108:108,109:109)+100</f>
        <v>102</v>
      </c>
      <c r="K34" s="569"/>
      <c r="L34" s="2898"/>
      <c r="M34" s="2892"/>
      <c r="N34" s="2892"/>
      <c r="O34" s="2950"/>
      <c r="P34" s="3454"/>
      <c r="Q34" s="1485" t="str">
        <f>B34</f>
        <v>宗地面积</v>
      </c>
      <c r="R34" s="713" t="s">
        <v>17</v>
      </c>
      <c r="S34" s="714">
        <f t="shared" si="10"/>
        <v>100</v>
      </c>
      <c r="T34" s="713" t="s">
        <v>17</v>
      </c>
      <c r="U34" s="714">
        <f t="shared" si="11"/>
        <v>100</v>
      </c>
      <c r="V34" s="713" t="s">
        <v>17</v>
      </c>
      <c r="W34" s="714">
        <f t="shared" si="12"/>
        <v>102</v>
      </c>
      <c r="X34" s="1488"/>
      <c r="Y34" s="3454"/>
      <c r="Z34" s="1489" t="str">
        <f t="shared" si="13"/>
        <v>宗地面积</v>
      </c>
      <c r="AA34" s="1486">
        <f t="shared" si="3"/>
        <v>1</v>
      </c>
      <c r="AB34" s="1486">
        <f t="shared" si="4"/>
        <v>1</v>
      </c>
      <c r="AC34" s="1486">
        <f t="shared" si="5"/>
        <v>0.98039215686274506</v>
      </c>
    </row>
    <row r="35" spans="1:31" ht="15">
      <c r="A35" s="430"/>
      <c r="B35" s="380" t="s">
        <v>2332</v>
      </c>
      <c r="C35" s="3247" t="s">
        <v>3538</v>
      </c>
      <c r="D35" s="393">
        <v>100</v>
      </c>
      <c r="E35" s="3247" t="s">
        <v>3538</v>
      </c>
      <c r="F35" s="393">
        <f>SUMIF(110:110,E35,111:111)-SUMIF(110:110,C35,111:111)+100</f>
        <v>100</v>
      </c>
      <c r="G35" s="3247" t="s">
        <v>3539</v>
      </c>
      <c r="H35" s="393">
        <f>SUMIF(110:110,G35,111:111)-SUMIF(110:110,C35,111:111)+100</f>
        <v>100</v>
      </c>
      <c r="I35" s="3247" t="s">
        <v>3539</v>
      </c>
      <c r="J35" s="393">
        <f>SUMIF(110:110,I35,111:111)-SUMIF(110:110,C35,111:111)+100</f>
        <v>100</v>
      </c>
      <c r="K35" s="568"/>
      <c r="L35" s="2898"/>
      <c r="M35" s="2892"/>
      <c r="N35" s="2892"/>
      <c r="O35" s="2950"/>
      <c r="P35" s="3454"/>
      <c r="Q35" s="1485" t="str">
        <f t="shared" ref="Q35:Q40" si="14">B35</f>
        <v>宗地形状</v>
      </c>
      <c r="R35" s="713" t="s">
        <v>17</v>
      </c>
      <c r="S35" s="714">
        <f t="shared" si="10"/>
        <v>100</v>
      </c>
      <c r="T35" s="713" t="s">
        <v>17</v>
      </c>
      <c r="U35" s="714">
        <f t="shared" si="11"/>
        <v>100</v>
      </c>
      <c r="V35" s="713" t="s">
        <v>17</v>
      </c>
      <c r="W35" s="714">
        <f t="shared" si="12"/>
        <v>100</v>
      </c>
      <c r="X35" s="1488"/>
      <c r="Y35" s="3454"/>
      <c r="Z35" s="1489" t="str">
        <f t="shared" si="13"/>
        <v>宗地形状</v>
      </c>
      <c r="AA35" s="1486">
        <f t="shared" si="3"/>
        <v>1</v>
      </c>
      <c r="AB35" s="1486">
        <f t="shared" si="4"/>
        <v>1</v>
      </c>
      <c r="AC35" s="1486">
        <f t="shared" si="5"/>
        <v>1</v>
      </c>
    </row>
    <row r="36" spans="1:31" s="113" customFormat="1" ht="15">
      <c r="A36" s="431"/>
      <c r="B36" s="380" t="s">
        <v>2334</v>
      </c>
      <c r="C36" s="3248" t="s">
        <v>3540</v>
      </c>
      <c r="D36" s="131">
        <v>100</v>
      </c>
      <c r="E36" s="3248" t="s">
        <v>3541</v>
      </c>
      <c r="F36" s="393">
        <f>SUMIF(112:112,E36,113:113)-SUMIF(112:112,C36,113:113)+100</f>
        <v>96</v>
      </c>
      <c r="G36" s="3248" t="s">
        <v>3542</v>
      </c>
      <c r="H36" s="393">
        <f>SUMIF(112:112,G36,113:113)-SUMIF(112:112,C36,113:113)+100</f>
        <v>96</v>
      </c>
      <c r="I36" s="3248" t="s">
        <v>3542</v>
      </c>
      <c r="J36" s="393">
        <f>SUMIF(112:112,I36,113:113)-SUMIF(112:112,C36,113:113)+100</f>
        <v>96</v>
      </c>
      <c r="K36" s="568">
        <v>2</v>
      </c>
      <c r="L36" s="2893"/>
      <c r="M36" s="2894"/>
      <c r="N36" s="2894"/>
      <c r="O36" s="2948"/>
      <c r="P36" s="3454"/>
      <c r="Q36" s="1485" t="str">
        <f t="shared" si="14"/>
        <v>宗地开发程度</v>
      </c>
      <c r="R36" s="709" t="s">
        <v>17</v>
      </c>
      <c r="S36" s="710">
        <f t="shared" si="10"/>
        <v>96</v>
      </c>
      <c r="T36" s="709" t="s">
        <v>17</v>
      </c>
      <c r="U36" s="710">
        <f t="shared" si="11"/>
        <v>96</v>
      </c>
      <c r="V36" s="709" t="s">
        <v>17</v>
      </c>
      <c r="W36" s="710">
        <f t="shared" si="12"/>
        <v>96</v>
      </c>
      <c r="X36" s="711"/>
      <c r="Y36" s="3454"/>
      <c r="Z36" s="55" t="str">
        <f t="shared" si="13"/>
        <v>宗地开发程度</v>
      </c>
      <c r="AA36" s="712">
        <f t="shared" si="3"/>
        <v>1.0416666666666667</v>
      </c>
      <c r="AB36" s="712">
        <f t="shared" si="4"/>
        <v>1.0416666666666667</v>
      </c>
      <c r="AC36" s="712">
        <f t="shared" si="5"/>
        <v>1.0416666666666667</v>
      </c>
    </row>
    <row r="37" spans="1:31" ht="15">
      <c r="A37" s="430"/>
      <c r="B37" s="380" t="s">
        <v>2335</v>
      </c>
      <c r="C37" s="3247" t="s">
        <v>3534</v>
      </c>
      <c r="D37" s="393">
        <v>100</v>
      </c>
      <c r="E37" s="3247" t="s">
        <v>3534</v>
      </c>
      <c r="F37" s="393">
        <f>SUMIF(114:114,E37,115:115)-SUMIF(114:114,C37,115:115)+100</f>
        <v>100</v>
      </c>
      <c r="G37" s="3247" t="s">
        <v>3534</v>
      </c>
      <c r="H37" s="393">
        <f>SUMIF(114:114,G37,115:115)-SUMIF(114:114,C37,115:115)+100</f>
        <v>100</v>
      </c>
      <c r="I37" s="3247" t="s">
        <v>3534</v>
      </c>
      <c r="J37" s="393">
        <f>SUMIF(114:114,I37,115:115)-SUMIF(114:114,C37,115:115)+100</f>
        <v>100</v>
      </c>
      <c r="K37" s="568"/>
      <c r="L37" s="2898"/>
      <c r="M37" s="2892"/>
      <c r="N37" s="2892"/>
      <c r="O37" s="2950"/>
      <c r="P37" s="3454" t="s">
        <v>2145</v>
      </c>
      <c r="Q37" s="1485" t="str">
        <f t="shared" si="14"/>
        <v>工程地质条件</v>
      </c>
      <c r="R37" s="713" t="s">
        <v>17</v>
      </c>
      <c r="S37" s="714">
        <f t="shared" si="10"/>
        <v>100</v>
      </c>
      <c r="T37" s="713" t="s">
        <v>17</v>
      </c>
      <c r="U37" s="714">
        <f t="shared" si="11"/>
        <v>100</v>
      </c>
      <c r="V37" s="713" t="s">
        <v>17</v>
      </c>
      <c r="W37" s="714">
        <f t="shared" si="12"/>
        <v>100</v>
      </c>
      <c r="X37" s="1488"/>
      <c r="Y37" s="3454" t="s">
        <v>2145</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8"/>
      <c r="M38" s="2892"/>
      <c r="N38" s="2892"/>
      <c r="O38" s="2950"/>
      <c r="P38" s="3454"/>
      <c r="Q38" s="1485">
        <f t="shared" si="14"/>
        <v>111</v>
      </c>
      <c r="R38" s="713" t="s">
        <v>17</v>
      </c>
      <c r="S38" s="714">
        <f t="shared" si="10"/>
        <v>100</v>
      </c>
      <c r="T38" s="713" t="s">
        <v>17</v>
      </c>
      <c r="U38" s="714">
        <f t="shared" si="11"/>
        <v>100</v>
      </c>
      <c r="V38" s="713" t="s">
        <v>17</v>
      </c>
      <c r="W38" s="714">
        <f t="shared" si="12"/>
        <v>100</v>
      </c>
      <c r="X38" s="1488"/>
      <c r="Y38" s="3454"/>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8"/>
      <c r="M39" s="2892"/>
      <c r="N39" s="2892"/>
      <c r="O39" s="2950"/>
      <c r="P39" s="3454"/>
      <c r="Q39" s="1485">
        <f t="shared" si="14"/>
        <v>111</v>
      </c>
      <c r="R39" s="713" t="s">
        <v>17</v>
      </c>
      <c r="S39" s="714">
        <f t="shared" si="10"/>
        <v>100</v>
      </c>
      <c r="T39" s="713" t="s">
        <v>17</v>
      </c>
      <c r="U39" s="714">
        <f t="shared" si="11"/>
        <v>100</v>
      </c>
      <c r="V39" s="713" t="s">
        <v>17</v>
      </c>
      <c r="W39" s="714">
        <f t="shared" si="12"/>
        <v>100</v>
      </c>
      <c r="X39" s="1488"/>
      <c r="Y39" s="3454"/>
      <c r="Z39" s="1489">
        <f t="shared" si="13"/>
        <v>111</v>
      </c>
      <c r="AA39" s="1486">
        <f t="shared" si="3"/>
        <v>1</v>
      </c>
      <c r="AB39" s="1486">
        <f t="shared" si="4"/>
        <v>1</v>
      </c>
      <c r="AC39" s="1486">
        <f t="shared" si="5"/>
        <v>1</v>
      </c>
    </row>
    <row r="40" spans="1:31" s="429" customFormat="1" ht="15.75" thickBot="1">
      <c r="A40" s="426"/>
      <c r="B40" s="1248">
        <v>111</v>
      </c>
      <c r="C40" s="2115"/>
      <c r="D40" s="132">
        <v>100</v>
      </c>
      <c r="E40" s="629"/>
      <c r="F40" s="396">
        <f>SUMIF(120:120,E40,121:121)-SUMIF(120:120,C40,121:121)+100</f>
        <v>100</v>
      </c>
      <c r="G40" s="629"/>
      <c r="H40" s="396">
        <f>SUMIF(120:120,G40,121:121)-SUMIF(120:120,C40,121:121)+100</f>
        <v>100</v>
      </c>
      <c r="I40" s="505"/>
      <c r="J40" s="396">
        <f>SUMIF(120:120,I40,121:121)-SUMIF(120:120,C40,121:121)+100</f>
        <v>100</v>
      </c>
      <c r="K40" s="636"/>
      <c r="L40" s="2897"/>
      <c r="M40" s="2899"/>
      <c r="N40" s="2899"/>
      <c r="O40" s="2951"/>
      <c r="P40" s="3454"/>
      <c r="Q40" s="1485">
        <f t="shared" si="14"/>
        <v>111</v>
      </c>
      <c r="R40" s="716" t="s">
        <v>17</v>
      </c>
      <c r="S40" s="717">
        <f t="shared" si="10"/>
        <v>100</v>
      </c>
      <c r="T40" s="716" t="s">
        <v>17</v>
      </c>
      <c r="U40" s="717">
        <f t="shared" si="11"/>
        <v>100</v>
      </c>
      <c r="V40" s="716" t="s">
        <v>17</v>
      </c>
      <c r="W40" s="717">
        <f t="shared" si="12"/>
        <v>100</v>
      </c>
      <c r="X40" s="718"/>
      <c r="Y40" s="3454"/>
      <c r="Z40" s="719">
        <f t="shared" si="13"/>
        <v>111</v>
      </c>
      <c r="AA40" s="1486">
        <f t="shared" si="3"/>
        <v>1</v>
      </c>
      <c r="AB40" s="1486">
        <f t="shared" si="4"/>
        <v>1</v>
      </c>
      <c r="AC40" s="1486">
        <f t="shared" si="5"/>
        <v>1</v>
      </c>
    </row>
    <row r="41" spans="1:31" ht="15">
      <c r="A41" s="437" t="s">
        <v>2300</v>
      </c>
      <c r="B41" s="2116" t="s">
        <v>3517</v>
      </c>
      <c r="C41" s="637" t="s">
        <v>1</v>
      </c>
      <c r="D41" s="439"/>
      <c r="E41" s="440">
        <f>土地案例!R80</f>
        <v>946</v>
      </c>
      <c r="F41" s="441"/>
      <c r="G41" s="442">
        <f>土地案例!R83</f>
        <v>946</v>
      </c>
      <c r="H41" s="443"/>
      <c r="I41" s="440">
        <f>土地案例!R85</f>
        <v>945</v>
      </c>
      <c r="J41" s="443"/>
      <c r="K41" s="722"/>
      <c r="L41" s="2900"/>
      <c r="M41" s="2892"/>
      <c r="N41" s="2892"/>
      <c r="O41" s="2901"/>
      <c r="P41" s="3450" t="str">
        <f>A41</f>
        <v>成交单价</v>
      </c>
      <c r="Q41" s="3450"/>
      <c r="R41" s="3455">
        <f>E41</f>
        <v>946</v>
      </c>
      <c r="S41" s="3455"/>
      <c r="T41" s="3455">
        <f>G41</f>
        <v>946</v>
      </c>
      <c r="U41" s="3455"/>
      <c r="V41" s="3455">
        <f>I41</f>
        <v>945</v>
      </c>
      <c r="W41" s="3455"/>
      <c r="X41" s="698"/>
      <c r="Y41" s="720"/>
      <c r="Z41" s="698"/>
      <c r="AA41" s="698"/>
      <c r="AB41" s="698"/>
      <c r="AC41" s="698"/>
    </row>
    <row r="42" spans="1:31" ht="15.75" thickBot="1">
      <c r="A42" s="444" t="s">
        <v>2249</v>
      </c>
      <c r="B42" s="638"/>
      <c r="C42" s="447">
        <f>R43</f>
        <v>851</v>
      </c>
      <c r="D42" s="2486" t="s">
        <v>2637</v>
      </c>
      <c r="E42" s="447">
        <f>R42</f>
        <v>862</v>
      </c>
      <c r="F42" s="2487"/>
      <c r="G42" s="446">
        <f>T42</f>
        <v>862</v>
      </c>
      <c r="H42" s="2487"/>
      <c r="I42" s="447">
        <f>V42</f>
        <v>828</v>
      </c>
      <c r="J42" s="2487"/>
      <c r="K42" s="2489">
        <f>F42+H42+J42</f>
        <v>0</v>
      </c>
      <c r="L42" s="2900"/>
      <c r="M42" s="2892"/>
      <c r="N42" s="2892"/>
      <c r="O42" s="2901"/>
      <c r="P42" s="3450" t="str">
        <f>A42</f>
        <v>比较价值（元/平方米）</v>
      </c>
      <c r="Q42" s="3450"/>
      <c r="R42" s="3443">
        <f>ROUND(PRODUCT(R41,AA7:AA40),0)</f>
        <v>862</v>
      </c>
      <c r="S42" s="3443"/>
      <c r="T42" s="3443">
        <f>ROUND(PRODUCT(T41,AB7:AB40),0)</f>
        <v>862</v>
      </c>
      <c r="U42" s="3443"/>
      <c r="V42" s="3443">
        <f>ROUND(PRODUCT(V41,AC7:AC40),0)</f>
        <v>828</v>
      </c>
      <c r="W42" s="3443"/>
      <c r="X42" s="698"/>
      <c r="Y42" s="698"/>
      <c r="Z42" s="698"/>
      <c r="AA42" s="698"/>
      <c r="AB42" s="698"/>
      <c r="AC42" s="698"/>
    </row>
    <row r="43" spans="1:31" ht="15.75" thickBot="1">
      <c r="A43" s="448" t="s">
        <v>2250</v>
      </c>
      <c r="B43" s="449"/>
      <c r="C43" s="450">
        <f>R43</f>
        <v>851</v>
      </c>
      <c r="D43" s="450"/>
      <c r="E43" s="450"/>
      <c r="F43" s="450"/>
      <c r="G43" s="450"/>
      <c r="H43" s="450"/>
      <c r="I43" s="450"/>
      <c r="J43" s="450"/>
      <c r="K43" s="723"/>
      <c r="L43" s="2900"/>
      <c r="M43" s="2892"/>
      <c r="N43" s="2892"/>
      <c r="O43" s="2901"/>
      <c r="P43" s="3444" t="str">
        <f>A43</f>
        <v>估价对象XX用房的比较价值（楼面单价，元/平方米）</v>
      </c>
      <c r="Q43" s="3445"/>
      <c r="R43" s="3446">
        <f>ROUND(IF(D42="简单平均",AVERAGE(R42:W42),R42*F42+T42*H42+V42*J42),0)</f>
        <v>851</v>
      </c>
      <c r="S43" s="3446"/>
      <c r="T43" s="3446"/>
      <c r="U43" s="3446"/>
      <c r="V43" s="3446"/>
      <c r="W43" s="3446"/>
      <c r="X43" s="698"/>
      <c r="Y43" s="698"/>
      <c r="Z43" s="698"/>
      <c r="AA43" s="698"/>
      <c r="AB43" s="698"/>
      <c r="AC43" s="698"/>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3" t="s">
        <v>2251</v>
      </c>
      <c r="D46" s="454"/>
      <c r="E46" s="455">
        <f>IF(E41&lt;E42,E42/E41-1,E41/E42-1)</f>
        <v>9.7447795823665917E-2</v>
      </c>
      <c r="F46" s="456" t="str">
        <f>IF(OR(E46&gt;=0.3,E46&lt;=-0.3),"超过30%","")</f>
        <v/>
      </c>
      <c r="G46" s="455">
        <f>IF(G41&lt;G42,G42/G41-1,G41/G42-1)</f>
        <v>9.7447795823665917E-2</v>
      </c>
      <c r="H46" s="456" t="str">
        <f>IF(OR(G46&gt;=0.3,G46&lt;=-0.3),"超过30%","")</f>
        <v/>
      </c>
      <c r="I46" s="455">
        <f>IF(I41&lt;I42,I42/I41-1,I41/I42-1)</f>
        <v>0.14130434782608692</v>
      </c>
      <c r="J46" s="456" t="str">
        <f>IF(OR(I46&gt;=0.3,I46&lt;=-0.3),"超过30%","")</f>
        <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3" t="s">
        <v>2252</v>
      </c>
      <c r="D47" s="457"/>
      <c r="E47" s="455">
        <f>IF(E42&lt;G42,G42/E42-1,E42/G42-1)</f>
        <v>0</v>
      </c>
      <c r="F47" s="456" t="str">
        <f>IF(OR(E47&gt;=0.2,E47&lt;=-0.2),"超过20%","")</f>
        <v/>
      </c>
      <c r="G47" s="455">
        <f>IF(G42&lt;I42,I42/G42-1,G42/I42-1)</f>
        <v>4.106280193236711E-2</v>
      </c>
      <c r="H47" s="456" t="str">
        <f>IF(OR(G47&gt;=0.2,G47&lt;=-0.2),"超过20%","")</f>
        <v/>
      </c>
      <c r="I47" s="455">
        <f>IF(I42&lt;E42,E42/I42-1,I42/E42-1)</f>
        <v>4.106280193236711E-2</v>
      </c>
      <c r="J47" s="456" t="str">
        <f>IF(OR(I47&gt;=0.2,I47&lt;=-0.2),"超过20%","")</f>
        <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8" customFormat="1" ht="13.5" customHeight="1">
      <c r="A48" s="2904"/>
      <c r="B48" s="2904"/>
      <c r="C48" s="453" t="s">
        <v>2253</v>
      </c>
      <c r="D48" s="457"/>
      <c r="E48" s="455">
        <f>IF(E41&lt;G41,G41/E41-1,E41/G41-1)</f>
        <v>0</v>
      </c>
      <c r="F48" s="456" t="str">
        <f>IF(OR(E48&gt;=0.3,E48&lt;=-0.3),"超过30%","")</f>
        <v/>
      </c>
      <c r="G48" s="455">
        <f>IF(G41&lt;I41,I41/G41-1,G41/I41-1)</f>
        <v>1.0582010582009804E-3</v>
      </c>
      <c r="H48" s="456" t="str">
        <f>IF(OR(G48&gt;=0.3,G48&lt;=-0.3),"超过30%","")</f>
        <v/>
      </c>
      <c r="I48" s="455">
        <f>IF(I41&lt;E41,E41/I41-1,I41/E41-1)</f>
        <v>1.0582010582009804E-3</v>
      </c>
      <c r="J48" s="456" t="str">
        <f>IF(OR(I48&gt;=0.3,I48&lt;=-0.3),"超过30%","")</f>
        <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8" customFormat="1" ht="15" thickBot="1">
      <c r="A49" s="2904"/>
      <c r="B49" s="2907"/>
      <c r="C49" s="701"/>
      <c r="D49" s="699"/>
      <c r="E49" s="699"/>
      <c r="F49" s="699"/>
      <c r="G49" s="699"/>
      <c r="H49" s="699"/>
      <c r="I49" s="699"/>
      <c r="J49" s="699"/>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39" t="s">
        <v>2337</v>
      </c>
      <c r="B50" s="640" t="s">
        <v>2338</v>
      </c>
      <c r="C50" s="2117" t="s">
        <v>2339</v>
      </c>
      <c r="D50" s="2118" t="s">
        <v>2340</v>
      </c>
      <c r="E50" s="641" t="s">
        <v>2341</v>
      </c>
      <c r="F50" s="642" t="s">
        <v>2342</v>
      </c>
      <c r="G50" s="3447" t="s">
        <v>2343</v>
      </c>
      <c r="H50" s="3448"/>
      <c r="I50" s="1489" t="s">
        <v>2378</v>
      </c>
      <c r="J50" s="1489">
        <f>项目基本情况!F35</f>
        <v>0</v>
      </c>
      <c r="K50" s="2120" t="s">
        <v>2345</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7" customFormat="1">
      <c r="A51" s="643" t="s">
        <v>2346</v>
      </c>
      <c r="B51" s="644">
        <f>C43</f>
        <v>851</v>
      </c>
      <c r="C51" s="645">
        <v>1</v>
      </c>
      <c r="D51" s="1055">
        <v>1</v>
      </c>
      <c r="E51" s="645">
        <f>'数据-汇总表'!E8+'数据-汇总表'!E9</f>
        <v>13867.57</v>
      </c>
      <c r="F51" s="646">
        <f t="shared" ref="F51:F60" si="15">ROUND(B51*E51/10000,0)</f>
        <v>1180</v>
      </c>
      <c r="G51" s="3449"/>
      <c r="H51" s="3450"/>
      <c r="I51" s="859">
        <v>1</v>
      </c>
      <c r="J51" s="859">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7" customFormat="1">
      <c r="A52" s="648" t="s">
        <v>2347</v>
      </c>
      <c r="B52" s="223">
        <f>ROUND($C$43*C52*D52,0)</f>
        <v>0</v>
      </c>
      <c r="C52" s="175">
        <f t="shared" ref="C52:C60" si="16">IF($C$50="北京市系数",I52,J52)</f>
        <v>0</v>
      </c>
      <c r="D52" s="1056">
        <v>0.25</v>
      </c>
      <c r="E52" s="649"/>
      <c r="F52" s="646">
        <f t="shared" si="15"/>
        <v>0</v>
      </c>
      <c r="G52" s="3225" t="s">
        <v>2348</v>
      </c>
      <c r="H52" s="998">
        <f>项目基本情况!B37</f>
        <v>0</v>
      </c>
      <c r="I52" s="859">
        <f>SUMIF(修正!A57:A68,H52,修正!B57:B68)</f>
        <v>0</v>
      </c>
      <c r="J52" s="860"/>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7" customFormat="1">
      <c r="A53" s="648" t="s">
        <v>2349</v>
      </c>
      <c r="B53" s="223">
        <f t="shared" ref="B53:B60" si="17">ROUND($C$43*C53*D53,0)</f>
        <v>0</v>
      </c>
      <c r="C53" s="175">
        <f t="shared" si="16"/>
        <v>0</v>
      </c>
      <c r="D53" s="1056">
        <v>0.25</v>
      </c>
      <c r="E53" s="649"/>
      <c r="F53" s="646">
        <f t="shared" si="15"/>
        <v>0</v>
      </c>
      <c r="G53" s="3226"/>
      <c r="H53" s="998">
        <f>项目基本情况!B37</f>
        <v>0</v>
      </c>
      <c r="I53" s="859">
        <f>SUMIF(修正!A57:A68,H53,修正!C57:C68)</f>
        <v>0</v>
      </c>
      <c r="J53" s="860"/>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7" customFormat="1">
      <c r="A54" s="648" t="s">
        <v>2350</v>
      </c>
      <c r="B54" s="223">
        <f t="shared" si="17"/>
        <v>0</v>
      </c>
      <c r="C54" s="175">
        <f t="shared" si="16"/>
        <v>0</v>
      </c>
      <c r="D54" s="1056">
        <v>0.25</v>
      </c>
      <c r="E54" s="649"/>
      <c r="F54" s="646">
        <f t="shared" si="15"/>
        <v>0</v>
      </c>
      <c r="G54" s="3226"/>
      <c r="H54" s="998">
        <f>项目基本情况!B37</f>
        <v>0</v>
      </c>
      <c r="I54" s="859">
        <f>SUMIF(修正!A57:A68,H54,修正!D57:D68)</f>
        <v>0</v>
      </c>
      <c r="J54" s="860"/>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7" customFormat="1" hidden="1">
      <c r="A55" s="648"/>
      <c r="B55" s="223"/>
      <c r="C55" s="175"/>
      <c r="D55" s="1056"/>
      <c r="E55" s="649"/>
      <c r="F55" s="646"/>
      <c r="G55" s="3227"/>
      <c r="H55" s="998"/>
      <c r="I55" s="859"/>
      <c r="J55" s="860"/>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7" customFormat="1">
      <c r="A56" s="648" t="s">
        <v>2351</v>
      </c>
      <c r="B56" s="223">
        <f t="shared" si="17"/>
        <v>0</v>
      </c>
      <c r="C56" s="175">
        <f t="shared" si="16"/>
        <v>0</v>
      </c>
      <c r="D56" s="1056">
        <v>0.25</v>
      </c>
      <c r="E56" s="222">
        <f>'数据-汇总表'!E11</f>
        <v>0</v>
      </c>
      <c r="F56" s="646">
        <f t="shared" si="15"/>
        <v>0</v>
      </c>
      <c r="G56" s="2121" t="s">
        <v>2352</v>
      </c>
      <c r="H56" s="998">
        <f>项目基本情况!C37</f>
        <v>0</v>
      </c>
      <c r="I56" s="859">
        <f>SUMIF(修正!A57:A68,H56,修正!E57:E68)</f>
        <v>0</v>
      </c>
      <c r="J56" s="860"/>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7" customFormat="1">
      <c r="A57" s="648" t="s">
        <v>2353</v>
      </c>
      <c r="B57" s="223">
        <f t="shared" si="17"/>
        <v>0</v>
      </c>
      <c r="C57" s="175">
        <f t="shared" si="16"/>
        <v>0</v>
      </c>
      <c r="D57" s="1056">
        <v>0.25</v>
      </c>
      <c r="E57" s="222">
        <f>'数据-汇总表'!E12</f>
        <v>0</v>
      </c>
      <c r="F57" s="646">
        <f t="shared" si="15"/>
        <v>0</v>
      </c>
      <c r="G57" s="1003" t="s">
        <v>2354</v>
      </c>
      <c r="H57" s="998">
        <f>IF(G57="商业",项目基本情况!B37,IF(G57="办公",项目基本情况!C37,IF(G57="住宅",项目基本情况!D37,项目基本情况!E37)))</f>
        <v>0</v>
      </c>
      <c r="I57" s="859">
        <f>SUMIF(修正!A57:A68,H57,修正!F57:F68)</f>
        <v>0</v>
      </c>
      <c r="J57" s="860"/>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7" customFormat="1">
      <c r="A58" s="648" t="s">
        <v>2355</v>
      </c>
      <c r="B58" s="223">
        <f t="shared" si="17"/>
        <v>0</v>
      </c>
      <c r="C58" s="175">
        <f t="shared" si="16"/>
        <v>0</v>
      </c>
      <c r="D58" s="1056">
        <v>0.25</v>
      </c>
      <c r="E58" s="222">
        <f>'数据-汇总表'!E13</f>
        <v>0</v>
      </c>
      <c r="F58" s="646">
        <f t="shared" si="15"/>
        <v>0</v>
      </c>
      <c r="G58" s="1003" t="s">
        <v>2356</v>
      </c>
      <c r="H58" s="998">
        <f>IF(G58="商业",项目基本情况!B37,IF(G58="办公",项目基本情况!C37,IF(G58="住宅",项目基本情况!D37,项目基本情况!E37)))</f>
        <v>0</v>
      </c>
      <c r="I58" s="859">
        <f>SUMIF(修正!A57:A68,H58,修正!G57:G68)</f>
        <v>0</v>
      </c>
      <c r="J58" s="860"/>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7" customFormat="1">
      <c r="A59" s="648" t="s">
        <v>2357</v>
      </c>
      <c r="B59" s="223">
        <f t="shared" si="17"/>
        <v>0</v>
      </c>
      <c r="C59" s="175">
        <f t="shared" si="16"/>
        <v>0</v>
      </c>
      <c r="D59" s="1056">
        <v>0.25</v>
      </c>
      <c r="E59" s="222">
        <f>'数据-汇总表'!E14</f>
        <v>0</v>
      </c>
      <c r="F59" s="646">
        <f t="shared" si="15"/>
        <v>0</v>
      </c>
      <c r="G59" s="2121" t="s">
        <v>2348</v>
      </c>
      <c r="H59" s="998">
        <f>项目基本情况!B37</f>
        <v>0</v>
      </c>
      <c r="I59" s="859">
        <f>SUMIF(修正!A57:A68,H59,修正!G57:G68)</f>
        <v>0</v>
      </c>
      <c r="J59" s="860"/>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7" customFormat="1" ht="15" thickBot="1">
      <c r="A60" s="648" t="s">
        <v>2358</v>
      </c>
      <c r="B60" s="223">
        <f t="shared" si="17"/>
        <v>0</v>
      </c>
      <c r="C60" s="175">
        <f t="shared" si="16"/>
        <v>0</v>
      </c>
      <c r="D60" s="1056">
        <v>0.25</v>
      </c>
      <c r="E60" s="222">
        <f>'数据-汇总表'!E15</f>
        <v>0</v>
      </c>
      <c r="F60" s="646">
        <f t="shared" si="15"/>
        <v>0</v>
      </c>
      <c r="G60" s="2122" t="s">
        <v>2352</v>
      </c>
      <c r="H60" s="1008">
        <f>项目基本情况!C37</f>
        <v>0</v>
      </c>
      <c r="I60" s="859">
        <f>SUMIF(修正!A57:A68,H60,修正!G57:G68)</f>
        <v>0</v>
      </c>
      <c r="J60" s="860"/>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7" customFormat="1" ht="15" thickBot="1">
      <c r="A61" s="650" t="s">
        <v>2359</v>
      </c>
      <c r="B61" s="651" t="s">
        <v>28</v>
      </c>
      <c r="C61" s="651" t="s">
        <v>29</v>
      </c>
      <c r="D61" s="651" t="s">
        <v>816</v>
      </c>
      <c r="E61" s="651">
        <f>IF(B41="楼面地价",SUM(E51:E60),'数据-汇总表'!D3)</f>
        <v>17188</v>
      </c>
      <c r="F61" s="652">
        <f>IF(B41="楼面地价",SUM(F51:F60),ROUND(C43*E61/10000,0))</f>
        <v>1463</v>
      </c>
      <c r="G61" s="1050"/>
      <c r="H61" s="1050"/>
      <c r="I61" s="1050"/>
      <c r="J61" s="1050"/>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8"/>
      <c r="B62" s="1040"/>
      <c r="C62" s="1042"/>
      <c r="D62" s="1038"/>
      <c r="E62" s="1038"/>
      <c r="F62" s="1038"/>
      <c r="G62" s="1038"/>
      <c r="H62" s="1038"/>
      <c r="I62" s="1038"/>
      <c r="J62" s="1038"/>
      <c r="K62" s="999"/>
      <c r="L62" s="1000"/>
      <c r="M62" s="1038"/>
      <c r="N62" s="1038"/>
      <c r="O62" s="1038"/>
      <c r="P62" s="2901"/>
      <c r="Q62" s="2901"/>
      <c r="R62" s="2901"/>
      <c r="S62" s="2901"/>
      <c r="T62" s="2901"/>
      <c r="U62" s="2901"/>
      <c r="V62" s="2901"/>
      <c r="W62" s="2901"/>
      <c r="X62" s="2901"/>
      <c r="Y62" s="2901"/>
      <c r="Z62" s="2901"/>
      <c r="AA62" s="2901"/>
      <c r="AB62" s="2901"/>
      <c r="AC62" s="2901"/>
      <c r="AD62" s="2901"/>
      <c r="AE62" s="2901"/>
    </row>
    <row r="63" spans="1:31">
      <c r="A63" s="1038"/>
      <c r="B63" s="1040"/>
      <c r="C63" s="700" t="str">
        <f>YEAR(C7)&amp;"-"&amp;MONTH(C7)&amp;"-1"</f>
        <v>2022-8-1</v>
      </c>
      <c r="D63" s="700">
        <f>EDATE(C63,-3)</f>
        <v>44682</v>
      </c>
      <c r="E63" s="700">
        <f>EDATE(D63,-3)</f>
        <v>44593</v>
      </c>
      <c r="F63" s="700">
        <f t="shared" ref="F63:O63" si="18">EDATE(E63,-3)</f>
        <v>44501</v>
      </c>
      <c r="G63" s="700">
        <f t="shared" si="18"/>
        <v>44409</v>
      </c>
      <c r="H63" s="700">
        <f t="shared" si="18"/>
        <v>44317</v>
      </c>
      <c r="I63" s="700">
        <f t="shared" si="18"/>
        <v>44228</v>
      </c>
      <c r="J63" s="700">
        <f t="shared" si="18"/>
        <v>44136</v>
      </c>
      <c r="K63" s="700">
        <f t="shared" si="18"/>
        <v>44044</v>
      </c>
      <c r="L63" s="700">
        <f t="shared" si="18"/>
        <v>43952</v>
      </c>
      <c r="M63" s="700">
        <f t="shared" si="18"/>
        <v>43862</v>
      </c>
      <c r="N63" s="700">
        <f t="shared" si="18"/>
        <v>43770</v>
      </c>
      <c r="O63" s="700">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2" t="s">
        <v>2254</v>
      </c>
      <c r="B64" s="698"/>
      <c r="C64" s="703"/>
      <c r="D64" s="703"/>
      <c r="E64" s="703"/>
      <c r="F64" s="704"/>
      <c r="G64" s="704"/>
      <c r="H64" s="703"/>
      <c r="I64" s="703"/>
      <c r="J64" s="703"/>
      <c r="K64" s="705"/>
      <c r="L64" s="706"/>
      <c r="M64" s="703"/>
      <c r="N64" s="703"/>
      <c r="O64" s="1051"/>
      <c r="P64" s="2945"/>
      <c r="Q64" s="2915"/>
      <c r="R64" s="2901"/>
      <c r="S64" s="2901"/>
      <c r="T64" s="2901"/>
      <c r="U64" s="2901"/>
      <c r="V64" s="2901"/>
      <c r="W64" s="2901"/>
      <c r="X64" s="2901"/>
      <c r="Y64" s="2901"/>
      <c r="Z64" s="2901"/>
      <c r="AA64" s="2901"/>
      <c r="AB64" s="2901"/>
      <c r="AC64" s="2901"/>
      <c r="AD64" s="2901"/>
      <c r="AE64" s="2901"/>
    </row>
    <row r="65" spans="1:31" s="464" customFormat="1" ht="15">
      <c r="A65" s="2123" t="s">
        <v>2360</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28" t="s">
        <v>2379</v>
      </c>
      <c r="B66" s="293" t="str">
        <f>"北京市平均增长率"&amp;TEXT(基准地价修正!P24,"0.00%")</f>
        <v>北京市平均增长率0.00%</v>
      </c>
      <c r="C66" s="559">
        <v>100</v>
      </c>
      <c r="D66" s="551">
        <v>99.5</v>
      </c>
      <c r="E66" s="551">
        <v>99</v>
      </c>
      <c r="F66" s="551">
        <v>98.5</v>
      </c>
      <c r="G66" s="551">
        <v>98</v>
      </c>
      <c r="H66" s="551">
        <v>97.5</v>
      </c>
      <c r="I66" s="551">
        <v>97</v>
      </c>
      <c r="J66" s="551">
        <v>96.5</v>
      </c>
      <c r="K66" s="551">
        <v>96</v>
      </c>
      <c r="L66" s="551">
        <v>95.5</v>
      </c>
      <c r="M66" s="551">
        <v>95</v>
      </c>
      <c r="N66" s="551">
        <v>94.5</v>
      </c>
      <c r="O66" s="551">
        <v>94</v>
      </c>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1" t="s">
        <v>2165</v>
      </c>
      <c r="B67" s="472"/>
      <c r="C67" s="473"/>
      <c r="D67" s="474"/>
      <c r="E67" s="474"/>
      <c r="F67" s="474"/>
      <c r="G67" s="474"/>
      <c r="H67" s="474"/>
      <c r="I67" s="474"/>
      <c r="J67" s="474"/>
      <c r="K67" s="474"/>
      <c r="L67" s="474"/>
      <c r="M67" s="475"/>
      <c r="N67" s="475"/>
      <c r="O67" s="476"/>
      <c r="P67" s="2915"/>
      <c r="Q67" s="2915"/>
      <c r="R67" s="2835"/>
      <c r="S67" s="2835"/>
      <c r="T67" s="2835"/>
      <c r="U67" s="2835"/>
      <c r="V67" s="2835"/>
      <c r="W67" s="2835"/>
      <c r="X67" s="2835"/>
      <c r="Y67" s="2835"/>
      <c r="Z67" s="2835"/>
      <c r="AA67" s="2835"/>
      <c r="AB67" s="2835"/>
      <c r="AC67" s="2835"/>
      <c r="AD67" s="2835"/>
      <c r="AE67" s="2835"/>
    </row>
    <row r="68" spans="1:31" s="113" customFormat="1" ht="15">
      <c r="A68" s="477" t="s">
        <v>2130</v>
      </c>
      <c r="B68" s="466"/>
      <c r="C68" s="478" t="s">
        <v>2232</v>
      </c>
      <c r="D68" s="479"/>
      <c r="E68" s="479"/>
      <c r="F68" s="479"/>
      <c r="G68" s="479"/>
      <c r="H68" s="479"/>
      <c r="I68" s="479"/>
      <c r="J68" s="479"/>
      <c r="K68" s="479"/>
      <c r="L68" s="480"/>
      <c r="M68" s="481"/>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7"/>
      <c r="B69" s="466"/>
      <c r="C69" s="594">
        <v>100</v>
      </c>
      <c r="D69" s="468"/>
      <c r="E69" s="468"/>
      <c r="F69" s="468"/>
      <c r="G69" s="468"/>
      <c r="H69" s="468"/>
      <c r="I69" s="468"/>
      <c r="J69" s="468"/>
      <c r="K69" s="468"/>
      <c r="L69" s="468"/>
      <c r="M69" s="470"/>
      <c r="N69" s="2928"/>
      <c r="O69" s="2928"/>
      <c r="P69" s="2915"/>
      <c r="Q69" s="2915"/>
      <c r="R69" s="2835"/>
      <c r="S69" s="2835"/>
      <c r="T69" s="2835"/>
      <c r="U69" s="2835"/>
      <c r="V69" s="2835"/>
      <c r="W69" s="2835"/>
      <c r="X69" s="2835"/>
      <c r="Y69" s="2835"/>
      <c r="Z69" s="2835"/>
      <c r="AA69" s="2835"/>
      <c r="AB69" s="2835"/>
      <c r="AC69" s="2835"/>
      <c r="AD69" s="2835"/>
      <c r="AE69" s="2835"/>
    </row>
    <row r="70" spans="1:31">
      <c r="A70" s="483" t="s">
        <v>2168</v>
      </c>
      <c r="B70" s="484" t="s">
        <v>2134</v>
      </c>
      <c r="C70" s="486"/>
      <c r="D70" s="486"/>
      <c r="E70" s="486"/>
      <c r="F70" s="486"/>
      <c r="G70" s="486"/>
      <c r="H70" s="486"/>
      <c r="I70" s="486"/>
      <c r="J70" s="486"/>
      <c r="K70" s="487"/>
      <c r="L70" s="488"/>
      <c r="M70" s="489"/>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0"/>
      <c r="B71" s="491"/>
      <c r="C71" s="492"/>
      <c r="D71" s="492"/>
      <c r="E71" s="492"/>
      <c r="F71" s="492"/>
      <c r="G71" s="492"/>
      <c r="H71" s="492"/>
      <c r="I71" s="492"/>
      <c r="J71" s="492"/>
      <c r="K71" s="492"/>
      <c r="L71" s="492"/>
      <c r="M71" s="493"/>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0"/>
      <c r="B72" s="494" t="s">
        <v>2137</v>
      </c>
      <c r="C72" s="495"/>
      <c r="D72" s="495"/>
      <c r="E72" s="495"/>
      <c r="F72" s="495"/>
      <c r="G72" s="495"/>
      <c r="H72" s="495"/>
      <c r="I72" s="495"/>
      <c r="J72" s="495"/>
      <c r="K72" s="496"/>
      <c r="L72" s="497"/>
      <c r="M72" s="498"/>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0"/>
      <c r="B73" s="499"/>
      <c r="C73" s="500"/>
      <c r="D73" s="500"/>
      <c r="E73" s="500"/>
      <c r="F73" s="500"/>
      <c r="G73" s="500"/>
      <c r="H73" s="500"/>
      <c r="I73" s="500"/>
      <c r="J73" s="500"/>
      <c r="K73" s="500"/>
      <c r="L73" s="500"/>
      <c r="M73" s="501"/>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0"/>
      <c r="B74" s="502" t="s">
        <v>2138</v>
      </c>
      <c r="C74" s="503" t="str">
        <f>C75&amp;"（含）"&amp;"-"&amp;D75</f>
        <v>0（含）-1</v>
      </c>
      <c r="D74" s="503" t="str">
        <f t="shared" ref="D74:L74" si="20">D75&amp;"（含）"&amp;"-"&amp;E75</f>
        <v>1（含）-2</v>
      </c>
      <c r="E74" s="503" t="str">
        <f t="shared" si="20"/>
        <v>2（含）-3</v>
      </c>
      <c r="F74" s="503" t="str">
        <f t="shared" si="20"/>
        <v>3（含）-4</v>
      </c>
      <c r="G74" s="503" t="str">
        <f t="shared" si="20"/>
        <v>4（含）-5</v>
      </c>
      <c r="H74" s="503" t="str">
        <f t="shared" si="20"/>
        <v>5（含）-</v>
      </c>
      <c r="I74" s="503" t="str">
        <f t="shared" si="20"/>
        <v>（含）-</v>
      </c>
      <c r="J74" s="503" t="str">
        <f t="shared" si="20"/>
        <v>（含）-</v>
      </c>
      <c r="K74" s="503" t="str">
        <f t="shared" si="20"/>
        <v>（含）-</v>
      </c>
      <c r="L74" s="503" t="str">
        <f t="shared" si="20"/>
        <v>（含）-</v>
      </c>
      <c r="M74" s="406"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0"/>
      <c r="B75" s="504"/>
      <c r="C75" s="505">
        <v>0</v>
      </c>
      <c r="D75" s="505">
        <v>1</v>
      </c>
      <c r="E75" s="505">
        <v>2</v>
      </c>
      <c r="F75" s="505">
        <v>3</v>
      </c>
      <c r="G75" s="505">
        <v>4</v>
      </c>
      <c r="H75" s="505">
        <v>5</v>
      </c>
      <c r="I75" s="505"/>
      <c r="J75" s="505"/>
      <c r="K75" s="506"/>
      <c r="L75" s="507"/>
      <c r="M75" s="508"/>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0"/>
      <c r="B76" s="491"/>
      <c r="C76" s="500">
        <v>100</v>
      </c>
      <c r="D76" s="500">
        <f>IF($B$41="单位面积地价",C76+$K11,C76-$K11)</f>
        <v>102</v>
      </c>
      <c r="E76" s="500">
        <f t="shared" ref="E76:M76" si="21">IF($B$41="单位面积地价",D76+$K11,D76-$K11)</f>
        <v>104</v>
      </c>
      <c r="F76" s="500">
        <f t="shared" si="21"/>
        <v>106</v>
      </c>
      <c r="G76" s="500">
        <f t="shared" si="21"/>
        <v>108</v>
      </c>
      <c r="H76" s="500">
        <f t="shared" si="21"/>
        <v>110</v>
      </c>
      <c r="I76" s="500">
        <f t="shared" si="21"/>
        <v>112</v>
      </c>
      <c r="J76" s="500">
        <f t="shared" si="21"/>
        <v>114</v>
      </c>
      <c r="K76" s="500">
        <f t="shared" si="21"/>
        <v>116</v>
      </c>
      <c r="L76" s="500">
        <f t="shared" si="21"/>
        <v>118</v>
      </c>
      <c r="M76" s="500">
        <f t="shared" si="21"/>
        <v>120</v>
      </c>
      <c r="N76" s="2930"/>
      <c r="O76" s="2930"/>
      <c r="P76" s="2954"/>
      <c r="Q76" s="2915"/>
      <c r="R76" s="2901"/>
      <c r="S76" s="2901"/>
      <c r="T76" s="2901"/>
      <c r="U76" s="2901"/>
      <c r="V76" s="2901"/>
      <c r="W76" s="2901"/>
      <c r="X76" s="2901"/>
      <c r="Y76" s="2901"/>
      <c r="Z76" s="2901"/>
      <c r="AA76" s="2901"/>
      <c r="AB76" s="2901"/>
      <c r="AC76" s="2901"/>
      <c r="AD76" s="2901"/>
      <c r="AE76" s="2901"/>
    </row>
    <row r="77" spans="1:31" s="429" customFormat="1" ht="15.75" thickTop="1">
      <c r="A77" s="509"/>
      <c r="B77" s="494">
        <f>B12</f>
        <v>111</v>
      </c>
      <c r="C77" s="510"/>
      <c r="D77" s="510"/>
      <c r="E77" s="510"/>
      <c r="F77" s="510"/>
      <c r="G77" s="510"/>
      <c r="H77" s="511"/>
      <c r="I77" s="511"/>
      <c r="J77" s="511"/>
      <c r="K77" s="511"/>
      <c r="L77" s="512"/>
      <c r="M77" s="513"/>
      <c r="N77" s="2931"/>
      <c r="O77" s="2931"/>
      <c r="P77" s="2955"/>
      <c r="Q77" s="2922"/>
      <c r="R77" s="2923"/>
      <c r="S77" s="2923"/>
      <c r="T77" s="2923"/>
      <c r="U77" s="2923"/>
      <c r="V77" s="2923"/>
      <c r="W77" s="2923"/>
      <c r="X77" s="2923"/>
      <c r="Y77" s="2923"/>
      <c r="Z77" s="2923"/>
      <c r="AA77" s="2923"/>
      <c r="AB77" s="2923"/>
      <c r="AC77" s="2923"/>
      <c r="AD77" s="2923"/>
      <c r="AE77" s="2923"/>
    </row>
    <row r="78" spans="1:31" s="429" customFormat="1" ht="15.75" thickBot="1">
      <c r="A78" s="509"/>
      <c r="B78" s="499"/>
      <c r="C78" s="516"/>
      <c r="D78" s="492"/>
      <c r="E78" s="492"/>
      <c r="F78" s="492"/>
      <c r="G78" s="492"/>
      <c r="H78" s="492"/>
      <c r="I78" s="492"/>
      <c r="J78" s="492"/>
      <c r="K78" s="492"/>
      <c r="L78" s="492"/>
      <c r="M78" s="493"/>
      <c r="N78" s="2930"/>
      <c r="O78" s="2930"/>
      <c r="P78" s="2955"/>
      <c r="Q78" s="2922"/>
      <c r="R78" s="2923"/>
      <c r="S78" s="2923"/>
      <c r="T78" s="2923"/>
      <c r="U78" s="2923"/>
      <c r="V78" s="2923"/>
      <c r="W78" s="2923"/>
      <c r="X78" s="2923"/>
      <c r="Y78" s="2923"/>
      <c r="Z78" s="2923"/>
      <c r="AA78" s="2923"/>
      <c r="AB78" s="2923"/>
      <c r="AC78" s="2923"/>
      <c r="AD78" s="2923"/>
      <c r="AE78" s="2923"/>
    </row>
    <row r="79" spans="1:31" s="429" customFormat="1" ht="15.75" thickTop="1">
      <c r="A79" s="509"/>
      <c r="B79" s="494">
        <f>B13</f>
        <v>111</v>
      </c>
      <c r="C79" s="510"/>
      <c r="D79" s="510"/>
      <c r="E79" s="510"/>
      <c r="F79" s="510"/>
      <c r="G79" s="510"/>
      <c r="H79" s="511"/>
      <c r="I79" s="511"/>
      <c r="J79" s="511"/>
      <c r="K79" s="511"/>
      <c r="L79" s="512"/>
      <c r="M79" s="513"/>
      <c r="N79" s="2931"/>
      <c r="O79" s="2931"/>
      <c r="P79" s="2899"/>
      <c r="Q79" s="2925"/>
      <c r="R79" s="2923"/>
      <c r="S79" s="2923"/>
      <c r="T79" s="2923"/>
      <c r="U79" s="2923"/>
      <c r="V79" s="2923"/>
      <c r="W79" s="2923"/>
      <c r="X79" s="2923"/>
      <c r="Y79" s="2923"/>
      <c r="Z79" s="2923"/>
      <c r="AA79" s="2923"/>
      <c r="AB79" s="2923"/>
      <c r="AC79" s="2923"/>
      <c r="AD79" s="2923"/>
      <c r="AE79" s="2923"/>
    </row>
    <row r="80" spans="1:31" s="429" customFormat="1" ht="15.75" thickBot="1">
      <c r="A80" s="509"/>
      <c r="B80" s="499"/>
      <c r="C80" s="516"/>
      <c r="D80" s="516"/>
      <c r="E80" s="516"/>
      <c r="F80" s="516"/>
      <c r="G80" s="516"/>
      <c r="H80" s="518"/>
      <c r="I80" s="518"/>
      <c r="J80" s="518"/>
      <c r="K80" s="518"/>
      <c r="L80" s="518"/>
      <c r="M80" s="519"/>
      <c r="N80" s="2931"/>
      <c r="O80" s="2931"/>
      <c r="P80" s="2955"/>
      <c r="Q80" s="2922"/>
      <c r="R80" s="2923"/>
      <c r="S80" s="2923"/>
      <c r="T80" s="2923"/>
      <c r="U80" s="2923"/>
      <c r="V80" s="2923"/>
      <c r="W80" s="2923"/>
      <c r="X80" s="2923"/>
      <c r="Y80" s="2923"/>
      <c r="Z80" s="2923"/>
      <c r="AA80" s="2923"/>
      <c r="AB80" s="2923"/>
      <c r="AC80" s="2923"/>
      <c r="AD80" s="2923"/>
      <c r="AE80" s="2923"/>
    </row>
    <row r="81" spans="1:31" s="429" customFormat="1" ht="15.75" thickTop="1">
      <c r="A81" s="509"/>
      <c r="B81" s="502">
        <f>B14</f>
        <v>111</v>
      </c>
      <c r="C81" s="479"/>
      <c r="D81" s="479"/>
      <c r="E81" s="479"/>
      <c r="F81" s="479"/>
      <c r="G81" s="479"/>
      <c r="H81" s="520"/>
      <c r="I81" s="520"/>
      <c r="J81" s="520"/>
      <c r="K81" s="520"/>
      <c r="L81" s="521"/>
      <c r="M81" s="522"/>
      <c r="N81" s="2931"/>
      <c r="O81" s="2931"/>
      <c r="P81" s="2960"/>
      <c r="Q81" s="2922"/>
      <c r="R81" s="2923"/>
      <c r="S81" s="2923"/>
      <c r="T81" s="2923"/>
      <c r="U81" s="2923"/>
      <c r="V81" s="2923"/>
      <c r="W81" s="2923"/>
      <c r="X81" s="2923"/>
      <c r="Y81" s="2923"/>
      <c r="Z81" s="2923"/>
      <c r="AA81" s="2923"/>
      <c r="AB81" s="2923"/>
      <c r="AC81" s="2923"/>
      <c r="AD81" s="2923"/>
      <c r="AE81" s="2923"/>
    </row>
    <row r="82" spans="1:31" s="429" customFormat="1" ht="15.75" thickBot="1">
      <c r="A82" s="524"/>
      <c r="B82" s="525"/>
      <c r="C82" s="526"/>
      <c r="D82" s="526"/>
      <c r="E82" s="526"/>
      <c r="F82" s="526"/>
      <c r="G82" s="526"/>
      <c r="H82" s="527"/>
      <c r="I82" s="527"/>
      <c r="J82" s="527"/>
      <c r="K82" s="527"/>
      <c r="L82" s="527"/>
      <c r="M82" s="528"/>
      <c r="N82" s="2931"/>
      <c r="O82" s="2931"/>
      <c r="P82" s="2955"/>
      <c r="Q82" s="2922"/>
      <c r="R82" s="2923"/>
      <c r="S82" s="2923"/>
      <c r="T82" s="2923"/>
      <c r="U82" s="2923"/>
      <c r="V82" s="2923"/>
      <c r="W82" s="2923"/>
      <c r="X82" s="2923"/>
      <c r="Y82" s="2923"/>
      <c r="Z82" s="2923"/>
      <c r="AA82" s="2923"/>
      <c r="AB82" s="2923"/>
      <c r="AC82" s="2923"/>
      <c r="AD82" s="2923"/>
      <c r="AE82" s="2923"/>
    </row>
    <row r="83" spans="1:31">
      <c r="A83" s="483" t="s">
        <v>2139</v>
      </c>
      <c r="B83" s="484" t="s">
        <v>2285</v>
      </c>
      <c r="C83" s="529" t="s">
        <v>2177</v>
      </c>
      <c r="D83" s="529" t="s">
        <v>2178</v>
      </c>
      <c r="E83" s="529" t="s">
        <v>2179</v>
      </c>
      <c r="F83" s="529" t="s">
        <v>2180</v>
      </c>
      <c r="G83" s="529" t="s">
        <v>2181</v>
      </c>
      <c r="H83" s="485"/>
      <c r="I83" s="485"/>
      <c r="J83" s="485"/>
      <c r="K83" s="530"/>
      <c r="L83" s="531"/>
      <c r="M83" s="532"/>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0"/>
      <c r="B84" s="499"/>
      <c r="C84" s="500">
        <v>100</v>
      </c>
      <c r="D84" s="500">
        <f>C84-$K15</f>
        <v>98</v>
      </c>
      <c r="E84" s="500">
        <f>D84-$K15</f>
        <v>96</v>
      </c>
      <c r="F84" s="500">
        <f>E84-$K15</f>
        <v>94</v>
      </c>
      <c r="G84" s="500">
        <f>F84-$K15</f>
        <v>92</v>
      </c>
      <c r="H84" s="500"/>
      <c r="I84" s="500"/>
      <c r="J84" s="500"/>
      <c r="K84" s="500"/>
      <c r="L84" s="500"/>
      <c r="M84" s="501"/>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0"/>
      <c r="B85" s="494" t="s">
        <v>2182</v>
      </c>
      <c r="C85" s="534" t="s">
        <v>2177</v>
      </c>
      <c r="D85" s="534" t="s">
        <v>2178</v>
      </c>
      <c r="E85" s="534" t="s">
        <v>2179</v>
      </c>
      <c r="F85" s="534" t="s">
        <v>2180</v>
      </c>
      <c r="G85" s="534" t="s">
        <v>2181</v>
      </c>
      <c r="H85" s="495"/>
      <c r="I85" s="495"/>
      <c r="J85" s="495"/>
      <c r="K85" s="496"/>
      <c r="L85" s="497"/>
      <c r="M85" s="498"/>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0"/>
      <c r="B86" s="499"/>
      <c r="C86" s="500">
        <v>100</v>
      </c>
      <c r="D86" s="500">
        <f>C86-$K17</f>
        <v>98</v>
      </c>
      <c r="E86" s="500">
        <f>D86-$K17</f>
        <v>96</v>
      </c>
      <c r="F86" s="500">
        <f>E86-$K17</f>
        <v>94</v>
      </c>
      <c r="G86" s="500">
        <f>F86-$K17</f>
        <v>92</v>
      </c>
      <c r="H86" s="500"/>
      <c r="I86" s="500"/>
      <c r="J86" s="500"/>
      <c r="K86" s="500"/>
      <c r="L86" s="500"/>
      <c r="M86" s="501"/>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5"/>
      <c r="B87" s="494" t="s">
        <v>2363</v>
      </c>
      <c r="C87" s="529" t="s">
        <v>2177</v>
      </c>
      <c r="D87" s="529" t="s">
        <v>2178</v>
      </c>
      <c r="E87" s="529" t="s">
        <v>2179</v>
      </c>
      <c r="F87" s="529" t="s">
        <v>2180</v>
      </c>
      <c r="G87" s="529" t="s">
        <v>2181</v>
      </c>
      <c r="H87" s="534"/>
      <c r="I87" s="534"/>
      <c r="J87" s="534"/>
      <c r="K87" s="534"/>
      <c r="L87" s="653"/>
      <c r="M87" s="577"/>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5"/>
      <c r="B88" s="499"/>
      <c r="C88" s="538">
        <v>100</v>
      </c>
      <c r="D88" s="500">
        <f>C88-$K19</f>
        <v>98</v>
      </c>
      <c r="E88" s="500">
        <f>D88-$K19</f>
        <v>96</v>
      </c>
      <c r="F88" s="500">
        <f>E88-$K19</f>
        <v>94</v>
      </c>
      <c r="G88" s="500">
        <f>F88-$K19</f>
        <v>92</v>
      </c>
      <c r="H88" s="500"/>
      <c r="I88" s="500"/>
      <c r="J88" s="500"/>
      <c r="K88" s="500"/>
      <c r="L88" s="500"/>
      <c r="M88" s="501"/>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5"/>
      <c r="B89" s="494" t="s">
        <v>2364</v>
      </c>
      <c r="C89" s="529" t="s">
        <v>2177</v>
      </c>
      <c r="D89" s="529" t="s">
        <v>2178</v>
      </c>
      <c r="E89" s="529" t="s">
        <v>2179</v>
      </c>
      <c r="F89" s="529" t="s">
        <v>2180</v>
      </c>
      <c r="G89" s="529" t="s">
        <v>2181</v>
      </c>
      <c r="H89" s="534"/>
      <c r="I89" s="534"/>
      <c r="J89" s="534"/>
      <c r="K89" s="534"/>
      <c r="L89" s="534"/>
      <c r="M89" s="577"/>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5"/>
      <c r="B90" s="499"/>
      <c r="C90" s="500">
        <v>100</v>
      </c>
      <c r="D90" s="500">
        <f>C90-$K21</f>
        <v>98</v>
      </c>
      <c r="E90" s="500">
        <f>D90-$K21</f>
        <v>96</v>
      </c>
      <c r="F90" s="500">
        <f>E90-$K21</f>
        <v>94</v>
      </c>
      <c r="G90" s="500">
        <f>F90-$K21</f>
        <v>92</v>
      </c>
      <c r="H90" s="500"/>
      <c r="I90" s="500"/>
      <c r="J90" s="500"/>
      <c r="K90" s="500"/>
      <c r="L90" s="500"/>
      <c r="M90" s="501"/>
      <c r="N90" s="2930"/>
      <c r="O90" s="2930"/>
      <c r="P90" s="2954"/>
      <c r="Q90" s="2915"/>
      <c r="R90" s="2835"/>
      <c r="S90" s="2835"/>
      <c r="T90" s="2835"/>
      <c r="U90" s="2835"/>
      <c r="V90" s="2835"/>
      <c r="W90" s="2835"/>
      <c r="X90" s="2835"/>
      <c r="Y90" s="2835"/>
      <c r="Z90" s="2835"/>
      <c r="AA90" s="2835"/>
      <c r="AB90" s="2835"/>
      <c r="AC90" s="2835"/>
      <c r="AD90" s="2835"/>
      <c r="AE90" s="2835"/>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1"/>
      <c r="O91" s="2931"/>
      <c r="P91" s="2955"/>
      <c r="Q91" s="2922"/>
      <c r="R91" s="2923"/>
      <c r="S91" s="2923"/>
      <c r="T91" s="2923"/>
      <c r="U91" s="2923"/>
      <c r="V91" s="2923"/>
      <c r="W91" s="2923"/>
      <c r="X91" s="2923"/>
      <c r="Y91" s="2923"/>
      <c r="Z91" s="2923"/>
      <c r="AA91" s="2923"/>
      <c r="AB91" s="2923"/>
      <c r="AC91" s="2923"/>
      <c r="AD91" s="2923"/>
      <c r="AE91" s="2923"/>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31"/>
      <c r="O92" s="2931"/>
      <c r="P92" s="2955"/>
      <c r="Q92" s="2922"/>
      <c r="R92" s="2923"/>
      <c r="S92" s="2923"/>
      <c r="T92" s="2923"/>
      <c r="U92" s="2923"/>
      <c r="V92" s="2923"/>
      <c r="W92" s="2923"/>
      <c r="X92" s="2923"/>
      <c r="Y92" s="2923"/>
      <c r="Z92" s="2923"/>
      <c r="AA92" s="2923"/>
      <c r="AB92" s="2923"/>
      <c r="AC92" s="2923"/>
      <c r="AD92" s="2923"/>
      <c r="AE92" s="2923"/>
    </row>
    <row r="93" spans="1:31" s="429" customFormat="1" ht="15.75" thickTop="1">
      <c r="A93" s="509"/>
      <c r="B93" s="502" t="s">
        <v>2380</v>
      </c>
      <c r="C93" s="615" t="s">
        <v>2255</v>
      </c>
      <c r="D93" s="615" t="s">
        <v>2256</v>
      </c>
      <c r="E93" s="615" t="s">
        <v>2257</v>
      </c>
      <c r="F93" s="615" t="s">
        <v>2258</v>
      </c>
      <c r="G93" s="615" t="s">
        <v>2259</v>
      </c>
      <c r="H93" s="556"/>
      <c r="I93" s="556"/>
      <c r="J93" s="556"/>
      <c r="K93" s="556"/>
      <c r="L93" s="556"/>
      <c r="M93" s="558"/>
      <c r="N93" s="2931"/>
      <c r="O93" s="2931"/>
      <c r="P93" s="2955"/>
      <c r="Q93" s="2922"/>
      <c r="R93" s="2923"/>
      <c r="S93" s="2923"/>
      <c r="T93" s="2923"/>
      <c r="U93" s="2923"/>
      <c r="V93" s="2923"/>
      <c r="W93" s="2923"/>
      <c r="X93" s="2923"/>
      <c r="Y93" s="2923"/>
      <c r="Z93" s="2923"/>
      <c r="AA93" s="2923"/>
      <c r="AB93" s="2923"/>
      <c r="AC93" s="2923"/>
      <c r="AD93" s="2923"/>
      <c r="AE93" s="2923"/>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46"/>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0"/>
      <c r="B97" s="494" t="s">
        <v>2271</v>
      </c>
      <c r="C97" s="510"/>
      <c r="D97" s="510"/>
      <c r="E97" s="510"/>
      <c r="F97" s="510"/>
      <c r="G97" s="510"/>
      <c r="H97" s="539"/>
      <c r="I97" s="539"/>
      <c r="J97" s="539"/>
      <c r="K97" s="540"/>
      <c r="L97" s="541"/>
      <c r="M97" s="542"/>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0"/>
      <c r="B99" s="494" t="s">
        <v>2330</v>
      </c>
      <c r="C99" s="539"/>
      <c r="D99" s="539"/>
      <c r="E99" s="539"/>
      <c r="F99" s="539"/>
      <c r="G99" s="539"/>
      <c r="H99" s="539"/>
      <c r="I99" s="539"/>
      <c r="J99" s="539"/>
      <c r="K99" s="540"/>
      <c r="L99" s="541"/>
      <c r="M99" s="542"/>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0"/>
      <c r="B101" s="502">
        <f>B31</f>
        <v>111</v>
      </c>
      <c r="C101" s="510"/>
      <c r="D101" s="510"/>
      <c r="E101" s="510"/>
      <c r="F101" s="510"/>
      <c r="G101" s="543"/>
      <c r="H101" s="543"/>
      <c r="I101" s="543"/>
      <c r="J101" s="543"/>
      <c r="K101" s="544"/>
      <c r="L101" s="545"/>
      <c r="M101" s="546"/>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0"/>
      <c r="B102" s="525"/>
      <c r="C102" s="516"/>
      <c r="D102" s="492"/>
      <c r="E102" s="492"/>
      <c r="F102" s="492"/>
      <c r="G102" s="547"/>
      <c r="H102" s="547"/>
      <c r="I102" s="547"/>
      <c r="J102" s="547"/>
      <c r="K102" s="547"/>
      <c r="L102" s="547"/>
      <c r="M102" s="548"/>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0"/>
      <c r="B103" s="494">
        <f>B32</f>
        <v>111</v>
      </c>
      <c r="C103" s="510"/>
      <c r="D103" s="510"/>
      <c r="E103" s="510"/>
      <c r="F103" s="510"/>
      <c r="G103" s="539"/>
      <c r="H103" s="539"/>
      <c r="I103" s="539"/>
      <c r="J103" s="539"/>
      <c r="K103" s="540"/>
      <c r="L103" s="541"/>
      <c r="M103" s="542"/>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0"/>
      <c r="B104" s="499"/>
      <c r="C104" s="516"/>
      <c r="D104" s="516"/>
      <c r="E104" s="516"/>
      <c r="F104" s="516"/>
      <c r="G104" s="492"/>
      <c r="H104" s="492"/>
      <c r="I104" s="492"/>
      <c r="J104" s="492"/>
      <c r="K104" s="492"/>
      <c r="L104" s="492"/>
      <c r="M104" s="493"/>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29" customFormat="1" ht="15" thickTop="1">
      <c r="A105" s="549"/>
      <c r="B105" s="550">
        <f>B33</f>
        <v>111</v>
      </c>
      <c r="C105" s="479"/>
      <c r="D105" s="479"/>
      <c r="E105" s="479"/>
      <c r="F105" s="479"/>
      <c r="G105" s="551"/>
      <c r="H105" s="551"/>
      <c r="I105" s="551"/>
      <c r="J105" s="552"/>
      <c r="K105" s="552"/>
      <c r="L105" s="553"/>
      <c r="M105" s="554"/>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29" customFormat="1" ht="15.75" thickBot="1">
      <c r="A106" s="509"/>
      <c r="B106" s="502"/>
      <c r="C106" s="526"/>
      <c r="D106" s="526"/>
      <c r="E106" s="526"/>
      <c r="F106" s="526"/>
      <c r="G106" s="632"/>
      <c r="H106" s="632"/>
      <c r="I106" s="632"/>
      <c r="J106" s="632"/>
      <c r="K106" s="632"/>
      <c r="L106" s="632"/>
      <c r="M106" s="654"/>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ht="28.5">
      <c r="A107" s="483" t="s">
        <v>2143</v>
      </c>
      <c r="B107" s="484" t="s">
        <v>2369</v>
      </c>
      <c r="C107" s="485" t="str">
        <f t="shared" ref="C107:L107" si="25">C108&amp;"(含)"&amp;"-"&amp;D108</f>
        <v>0(含)-10000</v>
      </c>
      <c r="D107" s="485" t="str">
        <f t="shared" si="25"/>
        <v>10000(含)-20000</v>
      </c>
      <c r="E107" s="485" t="str">
        <f t="shared" si="25"/>
        <v>20000(含)-30000</v>
      </c>
      <c r="F107" s="485" t="str">
        <f t="shared" si="25"/>
        <v>30000(含)-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0"/>
      <c r="B108" s="502"/>
      <c r="C108" s="551">
        <v>0</v>
      </c>
      <c r="D108" s="551">
        <v>10000</v>
      </c>
      <c r="E108" s="551">
        <v>20000</v>
      </c>
      <c r="F108" s="551">
        <v>30000</v>
      </c>
      <c r="G108" s="551"/>
      <c r="H108" s="551"/>
      <c r="I108" s="551"/>
      <c r="J108" s="552"/>
      <c r="K108" s="552"/>
      <c r="L108" s="553"/>
      <c r="M108" s="554"/>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0"/>
      <c r="B109" s="499"/>
      <c r="C109" s="526">
        <v>100</v>
      </c>
      <c r="D109" s="547">
        <v>102</v>
      </c>
      <c r="E109" s="547">
        <v>104</v>
      </c>
      <c r="F109" s="547">
        <v>106</v>
      </c>
      <c r="G109" s="547"/>
      <c r="H109" s="547"/>
      <c r="I109" s="547"/>
      <c r="J109" s="547"/>
      <c r="K109" s="547"/>
      <c r="L109" s="547"/>
      <c r="M109" s="548"/>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5"/>
      <c r="B110" s="494" t="s">
        <v>2370</v>
      </c>
      <c r="C110" s="539"/>
      <c r="D110" s="539"/>
      <c r="E110" s="539"/>
      <c r="F110" s="539"/>
      <c r="G110" s="539"/>
      <c r="H110" s="539"/>
      <c r="I110" s="539"/>
      <c r="J110" s="539"/>
      <c r="K110" s="540"/>
      <c r="L110" s="541"/>
      <c r="M110" s="542"/>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29" customFormat="1" ht="15" thickTop="1">
      <c r="A112" s="549"/>
      <c r="B112" s="494" t="s">
        <v>2372</v>
      </c>
      <c r="C112" s="3249" t="s">
        <v>3537</v>
      </c>
      <c r="D112" s="3249" t="s">
        <v>3543</v>
      </c>
      <c r="E112" s="3249" t="s">
        <v>3544</v>
      </c>
      <c r="F112" s="3249" t="s">
        <v>3541</v>
      </c>
      <c r="G112" s="510"/>
      <c r="H112" s="539"/>
      <c r="I112" s="539"/>
      <c r="J112" s="539"/>
      <c r="K112" s="540"/>
      <c r="L112" s="541"/>
      <c r="M112" s="542"/>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29" customFormat="1" ht="15.75" thickBot="1">
      <c r="A113" s="509"/>
      <c r="B113" s="499"/>
      <c r="C113" s="500">
        <v>100</v>
      </c>
      <c r="D113" s="500">
        <f t="shared" ref="D113:M113" si="27">C113-$K36</f>
        <v>98</v>
      </c>
      <c r="E113" s="500">
        <f t="shared" si="27"/>
        <v>96</v>
      </c>
      <c r="F113" s="500">
        <f t="shared" si="27"/>
        <v>94</v>
      </c>
      <c r="G113" s="500">
        <f t="shared" si="27"/>
        <v>92</v>
      </c>
      <c r="H113" s="500">
        <f t="shared" si="27"/>
        <v>90</v>
      </c>
      <c r="I113" s="500">
        <f t="shared" si="27"/>
        <v>88</v>
      </c>
      <c r="J113" s="500">
        <f t="shared" si="27"/>
        <v>86</v>
      </c>
      <c r="K113" s="500">
        <f t="shared" si="27"/>
        <v>84</v>
      </c>
      <c r="L113" s="500">
        <f t="shared" si="27"/>
        <v>82</v>
      </c>
      <c r="M113" s="501">
        <f t="shared" si="27"/>
        <v>80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5"/>
      <c r="B114" s="494" t="s">
        <v>2373</v>
      </c>
      <c r="C114" s="510"/>
      <c r="D114" s="510"/>
      <c r="E114" s="539"/>
      <c r="F114" s="539"/>
      <c r="G114" s="539"/>
      <c r="H114" s="539"/>
      <c r="I114" s="539"/>
      <c r="J114" s="539"/>
      <c r="K114" s="540"/>
      <c r="L114" s="541"/>
      <c r="M114" s="542"/>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5"/>
      <c r="B116" s="494">
        <f>B38</f>
        <v>111</v>
      </c>
      <c r="C116" s="510"/>
      <c r="D116" s="510"/>
      <c r="E116" s="510"/>
      <c r="F116" s="510"/>
      <c r="G116" s="510"/>
      <c r="H116" s="539"/>
      <c r="I116" s="539"/>
      <c r="J116" s="539"/>
      <c r="K116" s="540"/>
      <c r="L116" s="541"/>
      <c r="M116" s="542"/>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0"/>
      <c r="B117" s="499"/>
      <c r="C117" s="516"/>
      <c r="D117" s="492"/>
      <c r="E117" s="492"/>
      <c r="F117" s="492"/>
      <c r="G117" s="492"/>
      <c r="H117" s="492"/>
      <c r="I117" s="492"/>
      <c r="J117" s="492"/>
      <c r="K117" s="492"/>
      <c r="L117" s="492"/>
      <c r="M117" s="493"/>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5"/>
      <c r="B118" s="494">
        <f>B39</f>
        <v>111</v>
      </c>
      <c r="C118" s="510"/>
      <c r="D118" s="510"/>
      <c r="E118" s="510"/>
      <c r="F118" s="510"/>
      <c r="G118" s="539"/>
      <c r="H118" s="539"/>
      <c r="I118" s="539"/>
      <c r="J118" s="539"/>
      <c r="K118" s="540"/>
      <c r="L118" s="541"/>
      <c r="M118" s="542"/>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0"/>
      <c r="B119" s="499"/>
      <c r="C119" s="516"/>
      <c r="D119" s="516"/>
      <c r="E119" s="516"/>
      <c r="F119" s="516"/>
      <c r="G119" s="492"/>
      <c r="H119" s="492"/>
      <c r="I119" s="492"/>
      <c r="J119" s="492"/>
      <c r="K119" s="492"/>
      <c r="L119" s="492"/>
      <c r="M119" s="493"/>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29" customFormat="1" ht="15" thickTop="1">
      <c r="A120" s="549"/>
      <c r="B120" s="494">
        <f>B40</f>
        <v>111</v>
      </c>
      <c r="C120" s="479"/>
      <c r="D120" s="479"/>
      <c r="E120" s="479"/>
      <c r="F120" s="479"/>
      <c r="G120" s="511"/>
      <c r="H120" s="511"/>
      <c r="I120" s="511"/>
      <c r="J120" s="511"/>
      <c r="K120" s="511"/>
      <c r="L120" s="512"/>
      <c r="M120" s="513"/>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29" customFormat="1" ht="15.75" thickBot="1">
      <c r="A121" s="524"/>
      <c r="B121" s="655"/>
      <c r="C121" s="526"/>
      <c r="D121" s="526"/>
      <c r="E121" s="526"/>
      <c r="F121" s="526"/>
      <c r="G121" s="547"/>
      <c r="H121" s="547"/>
      <c r="I121" s="547"/>
      <c r="J121" s="547"/>
      <c r="K121" s="547"/>
      <c r="L121" s="547"/>
      <c r="M121" s="548"/>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9" sqref="A5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t="s">
        <v>6</v>
      </c>
      <c r="D1" s="1495" t="s">
        <v>70</v>
      </c>
      <c r="E1" s="1496" t="s">
        <v>1111</v>
      </c>
      <c r="F1" s="1173">
        <f ca="1">J53</f>
        <v>31.29</v>
      </c>
      <c r="G1" s="1511">
        <f>MATCH(C1,'数据-取费表'!A6:A16,0)+5</f>
        <v>6</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8714</v>
      </c>
      <c r="C2" s="1520" t="s">
        <v>1240</v>
      </c>
      <c r="D2" s="1520"/>
      <c r="E2" s="1521"/>
      <c r="F2" s="1522"/>
      <c r="G2" s="2882"/>
      <c r="H2" s="2871"/>
      <c r="I2" s="2871"/>
      <c r="J2" s="2871"/>
      <c r="K2" s="2872"/>
      <c r="L2" s="2871"/>
      <c r="M2" s="2871"/>
    </row>
    <row r="3" spans="1:37" ht="18" customHeight="1" thickBot="1">
      <c r="A3" s="1523" t="s">
        <v>1241</v>
      </c>
      <c r="B3" s="1524">
        <f ca="1">IF(ISERROR(B2*10000/F43),0,ROUND(B2*10000/F43,0))</f>
        <v>6284</v>
      </c>
      <c r="C3" s="1520" t="s">
        <v>1242</v>
      </c>
      <c r="D3" s="1520"/>
      <c r="E3" s="1521"/>
      <c r="F3" s="1522"/>
      <c r="G3" s="2882"/>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684</v>
      </c>
      <c r="D5" s="1497" t="s">
        <v>1126</v>
      </c>
      <c r="E5" s="1183"/>
      <c r="F5" s="1184"/>
      <c r="G5" s="1517"/>
      <c r="H5" s="304">
        <v>1</v>
      </c>
      <c r="I5" s="305" t="s">
        <v>1125</v>
      </c>
      <c r="J5" s="1182">
        <f ca="1">J6+J10+J12</f>
        <v>0</v>
      </c>
      <c r="K5" s="1497" t="s">
        <v>1126</v>
      </c>
      <c r="L5" s="1183"/>
      <c r="M5" s="1184"/>
    </row>
    <row r="6" spans="1:37" ht="18" customHeight="1">
      <c r="A6" s="1181" t="s">
        <v>822</v>
      </c>
      <c r="B6" s="3491" t="s">
        <v>1127</v>
      </c>
      <c r="C6" s="1186">
        <f ca="1">ROUND(F6*F8*F7*(1-F9)/10000,0)</f>
        <v>683</v>
      </c>
      <c r="D6" s="159" t="s">
        <v>2607</v>
      </c>
      <c r="E6" s="307" t="s">
        <v>1129</v>
      </c>
      <c r="F6" s="308">
        <f ca="1">INDIRECT("'数据-取费表'!u"&amp;$G$1)</f>
        <v>1.5</v>
      </c>
      <c r="G6" s="1517"/>
      <c r="H6" s="1181" t="s">
        <v>822</v>
      </c>
      <c r="I6" s="3491" t="s">
        <v>1127</v>
      </c>
      <c r="J6" s="306">
        <f ca="1">ROUND(M6*M8*M7*(1-M9)/10000,0)</f>
        <v>0</v>
      </c>
      <c r="K6" s="159" t="s">
        <v>2606</v>
      </c>
      <c r="L6" s="307" t="s">
        <v>1129</v>
      </c>
      <c r="M6" s="308">
        <f ca="1">INDIRECT("'数据-取费表'!z"&amp;$G$1)</f>
        <v>0</v>
      </c>
    </row>
    <row r="7" spans="1:37" ht="18" customHeight="1">
      <c r="A7" s="1185"/>
      <c r="B7" s="3492"/>
      <c r="C7" s="1187"/>
      <c r="D7" s="312"/>
      <c r="E7" s="1188" t="s">
        <v>1130</v>
      </c>
      <c r="F7" s="308">
        <f ca="1">IF(INDIRECT("'数据-取费表'!ah"&amp;$G$1)="",INDIRECT("'数据-取费表'!k"&amp;$G$1),INDIRECT("'数据-取费表'!ah"&amp;$G$1))</f>
        <v>13867.57</v>
      </c>
      <c r="G7" s="1517"/>
      <c r="H7" s="309"/>
      <c r="I7" s="3492"/>
      <c r="J7" s="311"/>
      <c r="K7" s="312"/>
      <c r="L7" s="307" t="s">
        <v>1130</v>
      </c>
      <c r="M7" s="308">
        <f ca="1">F7</f>
        <v>13867.57</v>
      </c>
    </row>
    <row r="8" spans="1:37" ht="18" customHeight="1">
      <c r="A8" s="309"/>
      <c r="B8" s="3492"/>
      <c r="C8" s="311"/>
      <c r="D8" s="312"/>
      <c r="E8" s="307" t="s">
        <v>1131</v>
      </c>
      <c r="F8" s="308">
        <f ca="1">INDIRECT("'数据-取费表'!ai"&amp;$G$1)</f>
        <v>365</v>
      </c>
      <c r="G8" s="1517"/>
      <c r="H8" s="309"/>
      <c r="I8" s="3492"/>
      <c r="J8" s="311"/>
      <c r="K8" s="312"/>
      <c r="L8" s="307" t="s">
        <v>1131</v>
      </c>
      <c r="M8" s="308">
        <f ca="1">INDIRECT("'数据-取费表'!ai"&amp;$G$1)</f>
        <v>365</v>
      </c>
    </row>
    <row r="9" spans="1:37" ht="18" customHeight="1">
      <c r="A9" s="309"/>
      <c r="B9" s="3493"/>
      <c r="C9" s="311"/>
      <c r="D9" s="312"/>
      <c r="E9" s="307" t="s">
        <v>1132</v>
      </c>
      <c r="F9" s="317">
        <f ca="1">INDIRECT("'数据-取费表'!w"&amp;$G$1)</f>
        <v>0.1</v>
      </c>
      <c r="G9" s="1517"/>
      <c r="H9" s="309"/>
      <c r="I9" s="3493"/>
      <c r="J9" s="311"/>
      <c r="K9" s="312"/>
      <c r="L9" s="318" t="s">
        <v>1132</v>
      </c>
      <c r="M9" s="319">
        <f ca="1">INDIRECT("'数据-取费表'!ab"&amp;$G$1)</f>
        <v>0</v>
      </c>
    </row>
    <row r="10" spans="1:37" ht="18" customHeight="1">
      <c r="A10" s="1181" t="s">
        <v>826</v>
      </c>
      <c r="B10" s="1498" t="s">
        <v>1133</v>
      </c>
      <c r="C10" s="321">
        <f ca="1">ROUND(IF(F10="押一",C6/12*F11,IF(F10="押二",C6/12*2*F11,IF(F10="押三",C6/12*3*F11,C11*F11))),0)</f>
        <v>1</v>
      </c>
      <c r="D10" s="1499" t="s">
        <v>2615</v>
      </c>
      <c r="E10" s="318" t="s">
        <v>1134</v>
      </c>
      <c r="F10" s="1228" t="s">
        <v>3545</v>
      </c>
      <c r="G10" s="1517"/>
      <c r="H10" s="1181" t="s">
        <v>826</v>
      </c>
      <c r="I10" s="1498" t="s">
        <v>1133</v>
      </c>
      <c r="J10" s="306">
        <f ca="1">ROUND(IF(M10="押一",J6/12*M11,IF(M10="押二",J6/12*2*M11,IF(M10="押三",J6/12*3*M11,J11*M11))),0)</f>
        <v>0</v>
      </c>
      <c r="K10" s="1499" t="s">
        <v>2614</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3454</v>
      </c>
      <c r="D13" s="1193" t="s">
        <v>1139</v>
      </c>
      <c r="E13" s="1193" t="s">
        <v>1140</v>
      </c>
      <c r="F13" s="1194">
        <f ca="1">INDIRECT("'数据-取费表'!y"&amp;$G$1)</f>
        <v>0.75</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3467</v>
      </c>
      <c r="D14" s="1478" t="s">
        <v>1142</v>
      </c>
      <c r="E14" s="1475"/>
      <c r="F14" s="324"/>
      <c r="G14" s="1517"/>
      <c r="H14" s="1093" t="s">
        <v>822</v>
      </c>
      <c r="I14" s="307" t="s">
        <v>1143</v>
      </c>
      <c r="J14" s="24">
        <f ca="1">C29</f>
        <v>4605</v>
      </c>
      <c r="K14" s="15"/>
      <c r="L14" s="896"/>
      <c r="M14" s="897"/>
    </row>
    <row r="15" spans="1:37" s="1530" customFormat="1" ht="18" customHeight="1" thickBot="1">
      <c r="A15" s="1093" t="s">
        <v>823</v>
      </c>
      <c r="B15" s="307" t="s">
        <v>1144</v>
      </c>
      <c r="C15" s="24">
        <f ca="1">ROUND(C14*F15,0)</f>
        <v>104</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93</v>
      </c>
      <c r="K16" s="1199" t="s">
        <v>1149</v>
      </c>
      <c r="L16" s="1200"/>
      <c r="M16" s="1184"/>
    </row>
    <row r="17" spans="1:37" s="1530" customFormat="1" ht="18" customHeight="1">
      <c r="A17" s="1093" t="s">
        <v>1114</v>
      </c>
      <c r="B17" s="307" t="s">
        <v>1150</v>
      </c>
      <c r="C17" s="24">
        <f ca="1">ROUND(F17*(F43+INDIRECT("'数据-取费表'!S"&amp;$G$1))/10000,0)</f>
        <v>277</v>
      </c>
      <c r="D17" s="307" t="s">
        <v>1151</v>
      </c>
      <c r="E17" s="307" t="s">
        <v>1152</v>
      </c>
      <c r="F17" s="26">
        <f>'数据-取费表'!B35</f>
        <v>200</v>
      </c>
      <c r="G17" s="1529"/>
      <c r="H17" s="1093" t="s">
        <v>822</v>
      </c>
      <c r="I17" s="307" t="s">
        <v>1153</v>
      </c>
      <c r="J17" s="2482">
        <f ca="1">ROUND(IF(AND(项目基本情况!B11="自然人",项目基本情况!B10="北京市"),J6*M17/(1+'数据-取费表'!C42),J18+J19+J20),0)</f>
        <v>47</v>
      </c>
      <c r="K17" s="1478" t="s">
        <v>1154</v>
      </c>
      <c r="L17" s="1477" t="s">
        <v>1155</v>
      </c>
      <c r="M17" s="2481"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52</v>
      </c>
      <c r="D18" s="307" t="s">
        <v>1145</v>
      </c>
      <c r="E18" s="307" t="s">
        <v>1146</v>
      </c>
      <c r="F18" s="327">
        <f>'数据-取费表'!B36</f>
        <v>1.4999999999999999E-2</v>
      </c>
      <c r="G18" s="1529"/>
      <c r="H18" s="1093" t="s">
        <v>821</v>
      </c>
      <c r="I18" s="307" t="s">
        <v>1157</v>
      </c>
      <c r="J18" s="24">
        <f ca="1">ROUND(J6*M18/(1+'数据-取费表'!C42),2)</f>
        <v>0</v>
      </c>
      <c r="K18" s="1477" t="s">
        <v>1158</v>
      </c>
      <c r="L18" s="307" t="s">
        <v>1146</v>
      </c>
      <c r="M18" s="327">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3900</v>
      </c>
      <c r="D19" s="135" t="s">
        <v>1160</v>
      </c>
      <c r="E19" s="1493"/>
      <c r="F19" s="26"/>
      <c r="G19" s="1517"/>
      <c r="H19" s="1093" t="s">
        <v>823</v>
      </c>
      <c r="I19" s="307" t="s">
        <v>1161</v>
      </c>
      <c r="J19" s="24">
        <f ca="1">IF(K19="按租金收入计税",ROUND(J6*M19/(1+'数据-取费表'!C42),2),ROUND(C29*M19*0.7,2))</f>
        <v>38.68</v>
      </c>
      <c r="K19" s="1503" t="s">
        <v>1162</v>
      </c>
      <c r="L19" s="307" t="s">
        <v>1146</v>
      </c>
      <c r="M19" s="327">
        <f>IF(K19="按租金收入计税",'数据-取费表'!B51,'数据-取费表'!B50)</f>
        <v>1.2E-2</v>
      </c>
    </row>
    <row r="20" spans="1:37" s="1530" customFormat="1" ht="18" customHeight="1">
      <c r="A20" s="1093" t="s">
        <v>826</v>
      </c>
      <c r="B20" s="307" t="s">
        <v>1163</v>
      </c>
      <c r="C20" s="24">
        <f ca="1">ROUND(C19*F20,0)</f>
        <v>78</v>
      </c>
      <c r="D20" s="328" t="s">
        <v>1164</v>
      </c>
      <c r="E20" s="307" t="s">
        <v>1146</v>
      </c>
      <c r="F20" s="327">
        <f>'数据-取费表'!B37</f>
        <v>0.02</v>
      </c>
      <c r="G20" s="1529"/>
      <c r="H20" s="1093" t="s">
        <v>1113</v>
      </c>
      <c r="I20" s="159" t="s">
        <v>1165</v>
      </c>
      <c r="J20" s="25">
        <f ca="1">ROUND(M20*M21/10000,2)</f>
        <v>8.59</v>
      </c>
      <c r="K20" s="329" t="s">
        <v>1166</v>
      </c>
      <c r="L20" s="307" t="s">
        <v>1167</v>
      </c>
      <c r="M20" s="330">
        <f>'数据-取费表'!B52</f>
        <v>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18</v>
      </c>
      <c r="D21" s="328" t="s">
        <v>1169</v>
      </c>
      <c r="E21" s="307" t="s">
        <v>1170</v>
      </c>
      <c r="F21" s="327">
        <f>'数据-取费表'!B38</f>
        <v>0.02</v>
      </c>
      <c r="G21" s="1529"/>
      <c r="H21" s="331"/>
      <c r="I21" s="316"/>
      <c r="J21" s="29"/>
      <c r="K21" s="332"/>
      <c r="L21" s="307" t="s">
        <v>1171</v>
      </c>
      <c r="M21" s="308">
        <f ca="1">INDIRECT("'数据-取费表'!r"&amp;$G$1)</f>
        <v>17188</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单利计息。建造成本、管理费用、销售费用产生的利息。</v>
      </c>
      <c r="E22" s="1493"/>
      <c r="F22" s="26"/>
      <c r="G22" s="1517"/>
      <c r="H22" s="1093" t="s">
        <v>826</v>
      </c>
      <c r="I22" s="307" t="s">
        <v>1173</v>
      </c>
      <c r="J22" s="24">
        <f ca="1">ROUND(J14*M22,1)</f>
        <v>46.1</v>
      </c>
      <c r="K22" s="1477" t="s">
        <v>1174</v>
      </c>
      <c r="L22" s="307" t="s">
        <v>1146</v>
      </c>
      <c r="M22" s="333">
        <f ca="1">INDIRECT("'数据-取费表'!Ak"&amp;$G$1)</f>
        <v>0.01</v>
      </c>
    </row>
    <row r="23" spans="1:37" s="1530" customFormat="1" ht="18" customHeight="1">
      <c r="A23" s="1093" t="s">
        <v>821</v>
      </c>
      <c r="B23" s="307" t="s">
        <v>1175</v>
      </c>
      <c r="C23" s="24">
        <f ca="1">IF('数据-取费表'!B22&lt;=1,ROUND(C19*F24*F23/2,0)+ROUND(C20*F24*F23/2,0),ROUND(C19*(POWER((1+F24),F23/2)-1),0)+ROUND(C20*(POWER((1+F24),F23/2)-1),0))</f>
        <v>84</v>
      </c>
      <c r="D23" s="334" t="str">
        <f>IF(F23&lt;=1,"(建造成本+管理费用)×利率×(建设周期÷2)","(建造成本+管理费用)×((1+利率)^(建设周期÷2)-1)")</f>
        <v>(建造成本+管理费用)×利率×(建设周期÷2)</v>
      </c>
      <c r="E23" s="307" t="s">
        <v>1176</v>
      </c>
      <c r="F23" s="330">
        <f>'数据-取费表'!B20</f>
        <v>1</v>
      </c>
      <c r="G23" s="1529"/>
      <c r="H23" s="1093" t="s">
        <v>862</v>
      </c>
      <c r="I23" s="307" t="s">
        <v>1177</v>
      </c>
      <c r="J23" s="24">
        <f ca="1">ROUND(J13*M23,1)</f>
        <v>0</v>
      </c>
      <c r="K23" s="1477" t="s">
        <v>1178</v>
      </c>
      <c r="L23" s="307" t="s">
        <v>1179</v>
      </c>
      <c r="M23" s="335">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29"/>
      <c r="H24" s="1201" t="s">
        <v>1117</v>
      </c>
      <c r="I24" s="1202" t="s">
        <v>1163</v>
      </c>
      <c r="J24" s="1203">
        <f ca="1">ROUND(J5*M24,1)</f>
        <v>0</v>
      </c>
      <c r="K24" s="1204" t="s">
        <v>1183</v>
      </c>
      <c r="L24" s="1202" t="s">
        <v>1179</v>
      </c>
      <c r="M24" s="1198">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4"/>
      <c r="D25" s="135" t="s">
        <v>1186</v>
      </c>
      <c r="E25" s="1493"/>
      <c r="F25" s="26"/>
      <c r="G25" s="1517"/>
      <c r="H25" s="1191" t="s">
        <v>818</v>
      </c>
      <c r="I25" s="1206" t="s">
        <v>1187</v>
      </c>
      <c r="J25" s="315">
        <f ca="1">J5-J16</f>
        <v>-93</v>
      </c>
      <c r="K25" s="1207" t="s">
        <v>1188</v>
      </c>
      <c r="L25" s="1208"/>
      <c r="M25" s="1209"/>
    </row>
    <row r="26" spans="1:37">
      <c r="A26" s="1093" t="s">
        <v>821</v>
      </c>
      <c r="B26" s="307" t="s">
        <v>1189</v>
      </c>
      <c r="C26" s="24">
        <f ca="1">ROUND((C19+C20)*F26,0)</f>
        <v>199</v>
      </c>
      <c r="D26" s="328" t="s">
        <v>1190</v>
      </c>
      <c r="E26" s="318" t="s">
        <v>1191</v>
      </c>
      <c r="F26" s="317">
        <f ca="1">INDIRECT("'数据-取费表'!q"&amp;$G$1)</f>
        <v>0.05</v>
      </c>
      <c r="G26" s="1517"/>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4">
        <f ca="1">ROUND(F21*F26,4)</f>
        <v>1E-3</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5.33E-2</v>
      </c>
      <c r="D28" s="328" t="s">
        <v>1200</v>
      </c>
      <c r="E28" s="307" t="s">
        <v>1146</v>
      </c>
      <c r="F28" s="327">
        <f>'数据-取费表'!B41</f>
        <v>5.6000000000000001E-2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4605</v>
      </c>
      <c r="D29" s="1204"/>
      <c r="E29" s="1202"/>
      <c r="F29" s="1205"/>
      <c r="G29" s="1529"/>
      <c r="H29" s="339" t="s">
        <v>820</v>
      </c>
      <c r="I29" s="340" t="s">
        <v>1203</v>
      </c>
      <c r="J29" s="341">
        <f ca="1">ROUND(J26/(1+F40)^F41,0)</f>
        <v>0</v>
      </c>
      <c r="K29" s="342" t="s">
        <v>1204</v>
      </c>
      <c r="L29" s="343"/>
      <c r="M29" s="344">
        <f ca="1">INDIRECT("'数据-取费表'!k"&amp;$G$1)</f>
        <v>13867.57</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186</v>
      </c>
      <c r="D30" s="1199" t="s">
        <v>1149</v>
      </c>
      <c r="E30" s="1200"/>
      <c r="F30" s="1184"/>
      <c r="G30" s="1517"/>
      <c r="H30" s="2873"/>
      <c r="I30" s="1531"/>
      <c r="J30" s="1532"/>
      <c r="K30" s="2648"/>
      <c r="L30" s="2874"/>
      <c r="M30" s="2875"/>
    </row>
    <row r="31" spans="1:37" ht="18" customHeight="1">
      <c r="A31" s="1093" t="s">
        <v>822</v>
      </c>
      <c r="B31" s="307" t="s">
        <v>1153</v>
      </c>
      <c r="C31" s="2482">
        <f ca="1">ROUND(IF(AND(项目基本情况!B11="自然人",项目基本情况!B10="北京市"),C6*F31/(1+'数据-取费表'!C42),C32+C33+C34),0)</f>
        <v>123</v>
      </c>
      <c r="D31" s="1478" t="s">
        <v>1154</v>
      </c>
      <c r="E31" s="1477" t="s">
        <v>1205</v>
      </c>
      <c r="F31" s="2481" t="str">
        <f>IF(项目基本情况!B11="企业","——",IF('数据-取费表'!B10="住宅",IF(F6*F7*F8/12/(1+'数据-取费表'!F30)&gt;100000,4%,2.5%),IF(F6*F7*F8/12/(1+'数据-取费表'!F30)&gt;100000,12%,7%)))</f>
        <v>——</v>
      </c>
      <c r="G31" s="1517"/>
      <c r="H31" s="2986" t="s">
        <v>2810</v>
      </c>
      <c r="I31" s="1531"/>
      <c r="J31" s="1532"/>
      <c r="K31" s="2648"/>
      <c r="L31" s="2874"/>
      <c r="M31" s="2875"/>
    </row>
    <row r="32" spans="1:37" ht="18" customHeight="1">
      <c r="A32" s="1093" t="s">
        <v>821</v>
      </c>
      <c r="B32" s="307" t="s">
        <v>1157</v>
      </c>
      <c r="C32" s="24">
        <f ca="1">IF(项目基本情况!B11="自然人","——",ROUND(C6*F32/(1+'数据-取费表'!C42),2))</f>
        <v>36.43</v>
      </c>
      <c r="D32" s="1477" t="s">
        <v>1158</v>
      </c>
      <c r="E32" s="307" t="s">
        <v>1146</v>
      </c>
      <c r="F32" s="336">
        <f>'数据-取费表'!B41</f>
        <v>5.6000000000000001E-2</v>
      </c>
      <c r="G32" s="1517"/>
      <c r="H32" s="2873"/>
      <c r="I32" s="1531"/>
      <c r="J32" s="1532"/>
      <c r="K32" s="2648"/>
      <c r="L32" s="2874"/>
      <c r="M32" s="2875"/>
    </row>
    <row r="33" spans="1:18" ht="18" customHeight="1">
      <c r="A33" s="1093" t="s">
        <v>823</v>
      </c>
      <c r="B33" s="307" t="s">
        <v>1161</v>
      </c>
      <c r="C33" s="24">
        <f ca="1">IF(项目基本情况!B11="自然人","——",IF(D33="按租金收入计税",ROUND(C6*F33/(1+'数据-取费表'!C42),2),IF(D33="按房产原值计税",ROUND(C29*F33*0.7,2),INDIRECT("'数据-取费表'!Aj"&amp;$G$1))))</f>
        <v>78.06</v>
      </c>
      <c r="D33" s="1503" t="s">
        <v>3546</v>
      </c>
      <c r="E33" s="307" t="s">
        <v>1146</v>
      </c>
      <c r="F33" s="327">
        <f>IF(D33="按票据","——",IF(D33="按租金收入计税",'数据-取费表'!B51,'数据-取费表'!B50))</f>
        <v>0.12</v>
      </c>
      <c r="G33" s="1517"/>
      <c r="H33" s="2876"/>
      <c r="I33" s="1531"/>
      <c r="J33" s="1532"/>
      <c r="K33" s="2877"/>
      <c r="L33" s="2876"/>
      <c r="M33" s="2876"/>
    </row>
    <row r="34" spans="1:18" ht="18" customHeight="1">
      <c r="A34" s="1181" t="s">
        <v>1113</v>
      </c>
      <c r="B34" s="159" t="s">
        <v>1165</v>
      </c>
      <c r="C34" s="25">
        <f ca="1">IF(项目基本情况!B11="自然人","——",ROUND(F34*F35/10000,2))</f>
        <v>8.59</v>
      </c>
      <c r="D34" s="329" t="s">
        <v>1166</v>
      </c>
      <c r="E34" s="307" t="s">
        <v>1167</v>
      </c>
      <c r="F34" s="330">
        <f>'数据-取费表'!B52</f>
        <v>5</v>
      </c>
      <c r="G34" s="1517"/>
      <c r="H34" s="2873"/>
      <c r="I34" s="1531"/>
      <c r="J34" s="1532"/>
      <c r="K34" s="2878"/>
      <c r="L34" s="2879"/>
      <c r="M34" s="2879"/>
    </row>
    <row r="35" spans="1:18" ht="18" customHeight="1">
      <c r="A35" s="1215"/>
      <c r="B35" s="1213"/>
      <c r="C35" s="29"/>
      <c r="D35" s="332"/>
      <c r="E35" s="307" t="s">
        <v>1171</v>
      </c>
      <c r="F35" s="308">
        <f ca="1">INDIRECT("'数据-取费表'!r"&amp;$G$1)</f>
        <v>17188</v>
      </c>
      <c r="G35" s="1517"/>
      <c r="H35" s="2873"/>
      <c r="I35" s="1531"/>
      <c r="J35" s="1532"/>
      <c r="K35" s="2877"/>
      <c r="L35" s="2876"/>
      <c r="M35" s="2876"/>
    </row>
    <row r="36" spans="1:18" ht="18" customHeight="1">
      <c r="A36" s="1214" t="s">
        <v>826</v>
      </c>
      <c r="B36" s="307" t="s">
        <v>1173</v>
      </c>
      <c r="C36" s="24">
        <f ca="1">ROUND(C29*F36,1)</f>
        <v>46.1</v>
      </c>
      <c r="D36" s="1477" t="s">
        <v>1206</v>
      </c>
      <c r="E36" s="307" t="s">
        <v>1146</v>
      </c>
      <c r="F36" s="333">
        <f ca="1">INDIRECT("'数据-取费表'!Ak"&amp;$G$1)</f>
        <v>0.01</v>
      </c>
      <c r="G36" s="1517"/>
      <c r="H36" s="2876"/>
      <c r="I36" s="1531"/>
      <c r="J36" s="1532"/>
      <c r="K36" s="2717"/>
      <c r="L36" s="2876"/>
      <c r="M36" s="2876"/>
    </row>
    <row r="37" spans="1:18" ht="18" customHeight="1">
      <c r="A37" s="1093" t="s">
        <v>862</v>
      </c>
      <c r="B37" s="307" t="s">
        <v>1177</v>
      </c>
      <c r="C37" s="24">
        <f ca="1">ROUND(C13*F37,1)</f>
        <v>3.5</v>
      </c>
      <c r="D37" s="1477" t="s">
        <v>1178</v>
      </c>
      <c r="E37" s="307" t="s">
        <v>1179</v>
      </c>
      <c r="F37" s="335">
        <f ca="1">INDIRECT("'数据-取费表'!Al"&amp;$G$1)</f>
        <v>1E-3</v>
      </c>
      <c r="G37" s="1517"/>
      <c r="H37" s="2876"/>
      <c r="I37" s="1531"/>
      <c r="J37" s="1532"/>
      <c r="K37" s="2717"/>
      <c r="L37" s="2876"/>
      <c r="M37" s="2876"/>
    </row>
    <row r="38" spans="1:18" ht="18" customHeight="1" thickBot="1">
      <c r="A38" s="1201" t="s">
        <v>1117</v>
      </c>
      <c r="B38" s="1202" t="s">
        <v>1163</v>
      </c>
      <c r="C38" s="1203">
        <f ca="1">ROUND(C5*F38,1)</f>
        <v>13.7</v>
      </c>
      <c r="D38" s="1204" t="s">
        <v>1183</v>
      </c>
      <c r="E38" s="1202" t="s">
        <v>1179</v>
      </c>
      <c r="F38" s="1198">
        <f ca="1">INDIRECT("'数据-取费表'!Am"&amp;$G$1)</f>
        <v>0.02</v>
      </c>
      <c r="G38" s="1517"/>
      <c r="H38" s="2876"/>
      <c r="I38" s="1531"/>
      <c r="J38" s="1532"/>
      <c r="K38" s="2880"/>
      <c r="L38" s="2876"/>
      <c r="M38" s="2876"/>
    </row>
    <row r="39" spans="1:18" ht="24.6" customHeight="1" thickTop="1">
      <c r="A39" s="1191" t="s">
        <v>818</v>
      </c>
      <c r="B39" s="1206" t="s">
        <v>1207</v>
      </c>
      <c r="C39" s="315">
        <f ca="1">C5-C30</f>
        <v>498</v>
      </c>
      <c r="D39" s="1207" t="s">
        <v>1208</v>
      </c>
      <c r="E39" s="1208"/>
      <c r="F39" s="1209"/>
      <c r="G39" s="1517"/>
      <c r="H39" s="2876">
        <f ca="1">C39/C5</f>
        <v>0.72807017543859653</v>
      </c>
      <c r="I39" s="1531"/>
      <c r="J39" s="1532"/>
      <c r="K39" s="2880"/>
      <c r="L39" s="2876"/>
      <c r="M39" s="2876"/>
    </row>
    <row r="40" spans="1:18" ht="18" customHeight="1">
      <c r="A40" s="304" t="s">
        <v>819</v>
      </c>
      <c r="B40" s="305" t="s">
        <v>1209</v>
      </c>
      <c r="C40" s="306">
        <f ca="1">ROUND(C39*(1-((1+F42)/(1+F40))^F41)/(F40-F42),0)</f>
        <v>8714</v>
      </c>
      <c r="D40" s="329" t="s">
        <v>1193</v>
      </c>
      <c r="E40" s="307" t="s">
        <v>1194</v>
      </c>
      <c r="F40" s="317">
        <f ca="1">INDIRECT("'数据-取费表'!I"&amp;$G$1)</f>
        <v>0.06</v>
      </c>
      <c r="G40" s="1517"/>
      <c r="H40" s="1594"/>
      <c r="I40" s="1531"/>
      <c r="J40" s="1532"/>
      <c r="K40" s="2880"/>
      <c r="L40" s="1594"/>
      <c r="M40" s="1594"/>
    </row>
    <row r="41" spans="1:18" ht="18" customHeight="1">
      <c r="A41" s="309"/>
      <c r="B41" s="310"/>
      <c r="C41" s="311"/>
      <c r="D41" s="337" t="s">
        <v>1210</v>
      </c>
      <c r="E41" s="307" t="s">
        <v>1198</v>
      </c>
      <c r="F41" s="338">
        <f ca="1">IF(INDIRECT("'数据-取费表'!af"&amp;$G$1)=0,INDIRECT("'数据-取费表'!ae"&amp;$G$1),INDIRECT("'数据-取费表'!af"&amp;$G$1))</f>
        <v>31.29</v>
      </c>
      <c r="G41" s="1517"/>
      <c r="H41" s="1304"/>
      <c r="I41" s="1531"/>
      <c r="J41" s="1532"/>
      <c r="K41" s="2717"/>
      <c r="L41" s="1304"/>
      <c r="M41" s="1304"/>
    </row>
    <row r="42" spans="1:18" ht="18" customHeight="1">
      <c r="A42" s="313"/>
      <c r="B42" s="314"/>
      <c r="C42" s="315"/>
      <c r="D42" s="332"/>
      <c r="E42" s="307" t="s">
        <v>1201</v>
      </c>
      <c r="F42" s="317">
        <f ca="1">INDIRECT("'数据-取费表'!v"&amp;$G$1)</f>
        <v>0.02</v>
      </c>
      <c r="G42" s="1517"/>
      <c r="H42" s="1304"/>
      <c r="I42" s="1531"/>
      <c r="J42" s="1532"/>
      <c r="K42" s="2717"/>
      <c r="L42" s="1304"/>
      <c r="M42" s="1304"/>
    </row>
    <row r="43" spans="1:18" ht="18" customHeight="1" thickBot="1">
      <c r="A43" s="339" t="s">
        <v>820</v>
      </c>
      <c r="B43" s="340" t="s">
        <v>1211</v>
      </c>
      <c r="C43" s="341">
        <f ca="1">ROUND(C40*10000/F43,0)</f>
        <v>6284</v>
      </c>
      <c r="D43" s="342" t="s">
        <v>1212</v>
      </c>
      <c r="E43" s="343" t="s">
        <v>1213</v>
      </c>
      <c r="F43" s="344">
        <f ca="1">INDIRECT("'数据-取费表'!k"&amp;$G$1)</f>
        <v>13867.57</v>
      </c>
      <c r="G43" s="1517"/>
      <c r="H43" s="1304"/>
      <c r="I43" s="1304"/>
      <c r="J43" s="1304"/>
      <c r="K43" s="2717"/>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1" t="s">
        <v>1243</v>
      </c>
      <c r="P45" s="1594"/>
      <c r="Q45" s="1594"/>
      <c r="R45" s="1594"/>
    </row>
    <row r="46" spans="1:18" s="1517" customFormat="1" ht="13.5" thickBot="1">
      <c r="A46" s="1537" t="s">
        <v>1244</v>
      </c>
      <c r="C46" s="1538">
        <f ca="1">C68-C40</f>
        <v>-14933</v>
      </c>
      <c r="D46" s="1539" t="str">
        <f>C2</f>
        <v>万元</v>
      </c>
      <c r="E46" s="1533"/>
      <c r="F46" s="1533"/>
      <c r="I46" s="1540" t="s">
        <v>1245</v>
      </c>
      <c r="J46" s="1541"/>
      <c r="K46" s="1542"/>
      <c r="L46" s="1543" t="str">
        <f ca="1">IF(M47="住宅",0,IF(L48&gt;J51,L60,J60))</f>
        <v>0</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t="s">
        <v>3547</v>
      </c>
      <c r="K47" s="1549" t="s">
        <v>1251</v>
      </c>
      <c r="L47" s="1550">
        <f ca="1">INDIRECT("'数据-取费表'!d"&amp;$G$1)</f>
        <v>50</v>
      </c>
      <c r="M47" s="1513" t="str">
        <f>IF(ISNUMBER(FIND("住宅",C1)),"住宅","非住宅")</f>
        <v>非住宅</v>
      </c>
      <c r="O47" s="1551" t="s">
        <v>827</v>
      </c>
      <c r="P47" s="1552" t="s">
        <v>1252</v>
      </c>
      <c r="Q47" s="1553">
        <f ca="1">C40+J29</f>
        <v>8714</v>
      </c>
      <c r="R47" s="1553" t="s">
        <v>1253</v>
      </c>
    </row>
    <row r="48" spans="1:18" s="1517" customFormat="1" ht="28.5" thickBot="1">
      <c r="A48" s="1222" t="s">
        <v>863</v>
      </c>
      <c r="B48" s="305" t="s">
        <v>1125</v>
      </c>
      <c r="C48" s="1492">
        <f ca="1">C49+C53+C55</f>
        <v>0</v>
      </c>
      <c r="D48" s="1224"/>
      <c r="E48" s="1225"/>
      <c r="F48" s="1073"/>
      <c r="G48" s="730"/>
      <c r="H48" s="731"/>
      <c r="I48" s="1554" t="s">
        <v>1254</v>
      </c>
      <c r="J48" s="1555" t="s">
        <v>3548</v>
      </c>
      <c r="K48" s="1556" t="s">
        <v>1255</v>
      </c>
      <c r="L48" s="1557">
        <f ca="1">INDIRECT("'数据-取费表'!f"&amp;$G$1)</f>
        <v>31.29</v>
      </c>
      <c r="O48" s="1551" t="s">
        <v>828</v>
      </c>
      <c r="P48" s="1552" t="s">
        <v>1256</v>
      </c>
      <c r="Q48" s="1553" t="str">
        <f ca="1">J60</f>
        <v>0</v>
      </c>
      <c r="R48" s="1553" t="s">
        <v>1257</v>
      </c>
    </row>
    <row r="49" spans="1:18" s="1517" customFormat="1" ht="13.5" thickBot="1">
      <c r="A49" s="1086" t="s">
        <v>864</v>
      </c>
      <c r="B49" s="1504" t="s">
        <v>1214</v>
      </c>
      <c r="C49" s="1226">
        <f ca="1">ROUND(F49*F51*F50*(1-F52)/10000,0)</f>
        <v>0</v>
      </c>
      <c r="D49" s="1166" t="s">
        <v>2608</v>
      </c>
      <c r="E49" s="1505" t="s">
        <v>1215</v>
      </c>
      <c r="F49" s="1171"/>
      <c r="G49" s="1558"/>
      <c r="H49" s="731"/>
      <c r="I49" s="1554" t="s">
        <v>1258</v>
      </c>
      <c r="J49" s="1559">
        <v>2004</v>
      </c>
      <c r="K49" s="1556" t="s">
        <v>1259</v>
      </c>
      <c r="L49" s="1560"/>
      <c r="O49" s="1561" t="s">
        <v>829</v>
      </c>
      <c r="P49" s="1552" t="s">
        <v>1260</v>
      </c>
      <c r="Q49" s="1553">
        <f ca="1">C29</f>
        <v>4605</v>
      </c>
      <c r="R49" s="1553" t="s">
        <v>1253</v>
      </c>
    </row>
    <row r="50" spans="1:18" s="1517" customFormat="1" ht="13.5" thickBot="1">
      <c r="A50" s="1087"/>
      <c r="B50" s="1090"/>
      <c r="C50" s="1230"/>
      <c r="D50" s="1064"/>
      <c r="E50" s="1167" t="s">
        <v>1130</v>
      </c>
      <c r="F50" s="1168">
        <f ca="1">F7</f>
        <v>13867.57</v>
      </c>
      <c r="H50" s="731"/>
      <c r="I50" s="1554" t="s">
        <v>1261</v>
      </c>
      <c r="J50" s="1562">
        <f>SUMPRODUCT((I63:I65=J47)*(J62:L62=J48)*(J63:L65))</f>
        <v>60</v>
      </c>
      <c r="K50" s="1556" t="s">
        <v>1262</v>
      </c>
      <c r="L50" s="1560"/>
      <c r="M50" s="1563"/>
      <c r="O50" s="1561" t="s">
        <v>830</v>
      </c>
      <c r="P50" s="1552" t="s">
        <v>1263</v>
      </c>
      <c r="Q50" s="1564" t="e">
        <f ca="1">J58</f>
        <v>#VALUE!</v>
      </c>
      <c r="R50" s="1553"/>
    </row>
    <row r="51" spans="1:18" s="1517" customFormat="1" ht="13.5" thickBot="1">
      <c r="A51" s="1088"/>
      <c r="B51" s="1090"/>
      <c r="C51" s="1091"/>
      <c r="D51" s="1064"/>
      <c r="E51" s="1092" t="s">
        <v>1131</v>
      </c>
      <c r="F51" s="308">
        <f ca="1">F8</f>
        <v>365</v>
      </c>
      <c r="I51" s="1565" t="s">
        <v>1264</v>
      </c>
      <c r="J51" s="1566">
        <f>IF(J49="",J50,J49+J50-YEAR('数据-取费表'!B2))</f>
        <v>42</v>
      </c>
      <c r="K51" s="1567" t="s">
        <v>1265</v>
      </c>
      <c r="L51" s="1568">
        <f ca="1">ROUND(-PV(INDIRECT("'数据-取费表'!h"&amp;$G$1),J51,(C39-C13*C76),0),0)</f>
        <v>3886</v>
      </c>
      <c r="M51" s="1569"/>
      <c r="O51" s="1561" t="s">
        <v>831</v>
      </c>
      <c r="P51" s="1552" t="s">
        <v>1266</v>
      </c>
      <c r="Q51" s="1564">
        <f>J52</f>
        <v>0.08</v>
      </c>
      <c r="R51" s="1553"/>
    </row>
    <row r="52" spans="1:18" s="1517" customFormat="1" ht="13.5" thickBot="1">
      <c r="A52" s="1088"/>
      <c r="B52" s="1090"/>
      <c r="C52" s="1091"/>
      <c r="D52" s="1064"/>
      <c r="E52" s="1092" t="s">
        <v>1132</v>
      </c>
      <c r="F52" s="1165"/>
      <c r="I52" s="1570" t="s">
        <v>1267</v>
      </c>
      <c r="J52" s="1571">
        <v>0.08</v>
      </c>
      <c r="K52" s="1570" t="s">
        <v>1268</v>
      </c>
      <c r="L52" s="1571"/>
      <c r="O52" s="1561" t="s">
        <v>832</v>
      </c>
      <c r="P52" s="1552" t="s">
        <v>1269</v>
      </c>
      <c r="Q52" s="1553">
        <f ca="1">J53</f>
        <v>31.29</v>
      </c>
      <c r="R52" s="1553" t="s">
        <v>1270</v>
      </c>
    </row>
    <row r="53" spans="1:18" s="1517" customFormat="1" ht="24.75" thickBot="1">
      <c r="A53" s="1266" t="s">
        <v>865</v>
      </c>
      <c r="B53" s="1506" t="s">
        <v>1133</v>
      </c>
      <c r="C53" s="321">
        <f ca="1">ROUND(IF(F53="押一",C49/12*F11,IF(F53="押二",C49/12*2*F11,IF(F53="押三",C49/12*3*F11,C54*F11))),0)</f>
        <v>0</v>
      </c>
      <c r="D53" s="1499" t="s">
        <v>2614</v>
      </c>
      <c r="E53" s="318" t="s">
        <v>1134</v>
      </c>
      <c r="F53" s="1228"/>
      <c r="I53" s="1572" t="s">
        <v>1271</v>
      </c>
      <c r="J53" s="2334">
        <f ca="1">IF(M47="住宅",IF(D1="——",MAX(J51,L48),MAX(J51,L48-'数据-取费表'!B24)),IF(D1="——",MIN(J51,L48),MIN(J51,L48-'数据-取费表'!B24)))</f>
        <v>31.29</v>
      </c>
      <c r="K53" s="3489" t="s">
        <v>1272</v>
      </c>
      <c r="L53" s="3490"/>
      <c r="O53" s="1551" t="s">
        <v>833</v>
      </c>
      <c r="P53" s="1552" t="s">
        <v>1273</v>
      </c>
      <c r="Q53" s="1553">
        <f ca="1">Q47+Q48</f>
        <v>8714</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#VALUE!</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3454</v>
      </c>
      <c r="D56" s="1580"/>
      <c r="E56" s="1581"/>
      <c r="F56" s="1573"/>
      <c r="I56" s="1582" t="s">
        <v>1278</v>
      </c>
      <c r="J56" s="1583" t="s">
        <v>3519</v>
      </c>
      <c r="K56" s="1554" t="s">
        <v>1279</v>
      </c>
      <c r="L56" s="1557" t="str">
        <f ca="1">IF(L48&lt;J51,"——",L48-J53)</f>
        <v>——</v>
      </c>
      <c r="O56" s="1551" t="s">
        <v>827</v>
      </c>
      <c r="P56" s="1552" t="s">
        <v>1252</v>
      </c>
      <c r="Q56" s="1553">
        <f ca="1">C40+J29</f>
        <v>8714</v>
      </c>
      <c r="R56" s="1553" t="s">
        <v>1253</v>
      </c>
    </row>
    <row r="57" spans="1:18" s="1517" customFormat="1" ht="24.75" thickBot="1">
      <c r="A57" s="1584"/>
      <c r="B57" s="1061" t="s">
        <v>1202</v>
      </c>
      <c r="C57" s="243">
        <f ca="1">C29</f>
        <v>4605</v>
      </c>
      <c r="D57" s="1585"/>
      <c r="E57" s="1586"/>
      <c r="F57" s="1587"/>
      <c r="I57" s="1588" t="s">
        <v>1280</v>
      </c>
      <c r="J57" s="1589" t="str">
        <f ca="1">IF(OR(M47="住宅",J51&lt;L48,J56="是"),"——",J51-L48)</f>
        <v>——</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9" t="s">
        <v>1148</v>
      </c>
      <c r="C58" s="321">
        <f ca="1">ROUND(C59+C64+C65+C66,0)</f>
        <v>445</v>
      </c>
      <c r="D58" s="1071" t="s">
        <v>1149</v>
      </c>
      <c r="E58" s="1072"/>
      <c r="F58" s="1073"/>
      <c r="I58" s="1588" t="s">
        <v>1284</v>
      </c>
      <c r="J58" s="1590" t="e">
        <f ca="1">IF(J55&lt;0.4,0.4,J55)</f>
        <v>#VALUE!</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2">
        <f ca="1">ROUND(IF(AND(项目基本情况!B11="自然人",项目基本情况!B10="北京市"),C49*F59/(1+'数据-取费表'!C42),C60+C61+C62),0)</f>
        <v>395</v>
      </c>
      <c r="D59" s="1074" t="s">
        <v>1154</v>
      </c>
      <c r="E59" s="1075" t="s">
        <v>1155</v>
      </c>
      <c r="F59" s="2481" t="str">
        <f>IF(项目基本情况!B11="企业","——",IF('数据-取费表'!B10="住宅",IF(F49*F50*F51/12/(1+'数据-取费表'!F30)&gt;100000,4%,2.5%),IF(F49*F50*F51/12/(1+'数据-取费表'!F30)&gt;100000,12%,7%)))</f>
        <v>——</v>
      </c>
      <c r="I59" s="1588" t="s">
        <v>1287</v>
      </c>
      <c r="J59" s="1589" t="str">
        <f ca="1">IF(OR(M47="住宅",J51&lt;L48,J56="是"),"——",ROUND(C29*J58,0))</f>
        <v>——</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1" t="s">
        <v>1289</v>
      </c>
      <c r="J60" s="1592" t="str">
        <f ca="1">IF(OR(M47="住宅",J51&lt;L48,J56="是"),"0",ROUND(J59/(1+J52)^J53,0))</f>
        <v>0</v>
      </c>
      <c r="K60" s="1593" t="s">
        <v>1290</v>
      </c>
      <c r="L60" s="1592">
        <f ca="1">IF(OR(M47="住宅",L48&lt;J51),0,ROUND(L57*(L58/L59-1),0))</f>
        <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IF(项目基本情况!B11="自然人","——",IF(D61="按租金收入计税",ROUND(C49*F61/(1+'数据-取费表'!C42),2),IF(D61="按房产原值计税",ROUND(C57*F61*0.7,2),INDIRECT("'数据-取费表'!Aj"&amp;$G$1))))</f>
        <v>386.82</v>
      </c>
      <c r="D61" s="1503" t="s">
        <v>1162</v>
      </c>
      <c r="E61" s="1061"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3" t="s">
        <v>1219</v>
      </c>
      <c r="B62" s="1060" t="s">
        <v>1220</v>
      </c>
      <c r="C62" s="25">
        <f ca="1">IF(项目基本情况!B11="自然人","——",ROUND(F62*F63/10000,2))</f>
        <v>8.59</v>
      </c>
      <c r="D62" s="1076" t="s">
        <v>1221</v>
      </c>
      <c r="E62" s="1061" t="s">
        <v>1222</v>
      </c>
      <c r="F62" s="330">
        <f t="shared" si="0"/>
        <v>5</v>
      </c>
      <c r="I62" s="1595" t="s">
        <v>1294</v>
      </c>
      <c r="J62" s="1596" t="s">
        <v>1295</v>
      </c>
      <c r="K62" s="1596" t="s">
        <v>1296</v>
      </c>
      <c r="L62" s="1596" t="s">
        <v>1297</v>
      </c>
      <c r="M62" s="1597" t="s">
        <v>1298</v>
      </c>
      <c r="O62" s="1551" t="s">
        <v>833</v>
      </c>
      <c r="P62" s="1552" t="s">
        <v>1299</v>
      </c>
      <c r="Q62" s="1553">
        <f ca="1">Q56+Q57</f>
        <v>8714</v>
      </c>
      <c r="R62" s="1553" t="s">
        <v>834</v>
      </c>
    </row>
    <row r="63" spans="1:18" s="1517" customFormat="1" ht="13.5" thickBot="1">
      <c r="A63" s="331"/>
      <c r="B63" s="1067"/>
      <c r="C63" s="29"/>
      <c r="D63" s="1077"/>
      <c r="E63" s="1061" t="s">
        <v>1223</v>
      </c>
      <c r="F63" s="308">
        <f t="shared" ca="1" si="0"/>
        <v>17188</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ROUND(C57*F64,1)</f>
        <v>46.1</v>
      </c>
      <c r="D64" s="1075" t="s">
        <v>1226</v>
      </c>
      <c r="E64" s="1061" t="s">
        <v>1218</v>
      </c>
      <c r="F64" s="333">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ROUND(C56*F65,1)</f>
        <v>3.5</v>
      </c>
      <c r="D65" s="1075" t="s">
        <v>1178</v>
      </c>
      <c r="E65" s="1061" t="s">
        <v>1179</v>
      </c>
      <c r="F65" s="335">
        <f t="shared" ca="1" si="0"/>
        <v>1E-3</v>
      </c>
      <c r="I65" s="1595" t="s">
        <v>1303</v>
      </c>
      <c r="J65" s="1596">
        <v>40</v>
      </c>
      <c r="K65" s="1596">
        <v>30</v>
      </c>
      <c r="L65" s="1596">
        <v>50</v>
      </c>
      <c r="M65" s="1598">
        <v>0.02</v>
      </c>
      <c r="O65" s="1551" t="s">
        <v>827</v>
      </c>
      <c r="P65" s="1552" t="s">
        <v>1304</v>
      </c>
      <c r="Q65" s="1553">
        <f ca="1">C40+J29</f>
        <v>8714</v>
      </c>
      <c r="R65" s="1553" t="s">
        <v>1253</v>
      </c>
    </row>
    <row r="66" spans="1:18" s="1517" customFormat="1" ht="16.5" thickBot="1">
      <c r="A66" s="1093" t="s">
        <v>1228</v>
      </c>
      <c r="B66" s="1061" t="s">
        <v>1163</v>
      </c>
      <c r="C66" s="24">
        <f ca="1">ROUND(C48*F66,1)</f>
        <v>0</v>
      </c>
      <c r="D66" s="1075" t="s">
        <v>1229</v>
      </c>
      <c r="E66" s="1061" t="s">
        <v>1146</v>
      </c>
      <c r="F66" s="317">
        <f t="shared" ca="1" si="0"/>
        <v>0.02</v>
      </c>
      <c r="O66" s="1551" t="s">
        <v>828</v>
      </c>
      <c r="P66" s="1552" t="s">
        <v>1282</v>
      </c>
      <c r="Q66" s="1553">
        <f ca="1">L60</f>
        <v>0</v>
      </c>
      <c r="R66" s="1553" t="s">
        <v>1305</v>
      </c>
    </row>
    <row r="67" spans="1:18" s="1517" customFormat="1" ht="16.5" thickBot="1">
      <c r="A67" s="1068" t="s">
        <v>818</v>
      </c>
      <c r="B67" s="1078" t="s">
        <v>1187</v>
      </c>
      <c r="C67" s="321">
        <f ca="1">C48-C58</f>
        <v>-445</v>
      </c>
      <c r="D67" s="1074" t="s">
        <v>1188</v>
      </c>
      <c r="E67" s="1079"/>
      <c r="F67" s="1080"/>
      <c r="O67" s="1561" t="s">
        <v>829</v>
      </c>
      <c r="P67" s="1552" t="s">
        <v>1286</v>
      </c>
      <c r="Q67" s="1599">
        <f ca="1">L51</f>
        <v>3886</v>
      </c>
      <c r="R67" s="1553" t="s">
        <v>1306</v>
      </c>
    </row>
    <row r="68" spans="1:18" s="1517" customFormat="1" ht="16.5" thickBot="1">
      <c r="A68" s="1058" t="s">
        <v>819</v>
      </c>
      <c r="B68" s="1059" t="s">
        <v>1209</v>
      </c>
      <c r="C68" s="306">
        <f ca="1">ROUND(C67*(1-((1+F70)/(1+F68))^F69)/(F68-F70),0)</f>
        <v>-6219</v>
      </c>
      <c r="D68" s="1076" t="s">
        <v>1193</v>
      </c>
      <c r="E68" s="1061" t="s">
        <v>1194</v>
      </c>
      <c r="F68" s="317">
        <f ca="1">F40</f>
        <v>0.06</v>
      </c>
      <c r="O68" s="1561" t="s">
        <v>830</v>
      </c>
      <c r="P68" s="1600" t="s">
        <v>1307</v>
      </c>
      <c r="Q68" s="1553">
        <f ca="1">ROUND(Q69-Q70*Q71,0)</f>
        <v>239</v>
      </c>
      <c r="R68" s="1553" t="s">
        <v>838</v>
      </c>
    </row>
    <row r="69" spans="1:18" s="1517" customFormat="1" ht="13.5" thickBot="1">
      <c r="A69" s="1062"/>
      <c r="B69" s="1063"/>
      <c r="C69" s="311"/>
      <c r="D69" s="1081" t="s">
        <v>1197</v>
      </c>
      <c r="E69" s="1061" t="s">
        <v>1198</v>
      </c>
      <c r="F69" s="338">
        <f ca="1">F41</f>
        <v>31.29</v>
      </c>
      <c r="O69" s="1561" t="s">
        <v>835</v>
      </c>
      <c r="P69" s="1600" t="s">
        <v>1308</v>
      </c>
      <c r="Q69" s="1553">
        <f ca="1">C39</f>
        <v>498</v>
      </c>
      <c r="R69" s="1553" t="s">
        <v>1253</v>
      </c>
    </row>
    <row r="70" spans="1:18" s="1517" customFormat="1" ht="13.5" thickBot="1">
      <c r="A70" s="1065"/>
      <c r="B70" s="1066"/>
      <c r="C70" s="315"/>
      <c r="D70" s="1077"/>
      <c r="E70" s="1061" t="s">
        <v>1201</v>
      </c>
      <c r="F70" s="1165"/>
      <c r="O70" s="1561" t="s">
        <v>836</v>
      </c>
      <c r="P70" s="1600" t="s">
        <v>1309</v>
      </c>
      <c r="Q70" s="1553">
        <f ca="1">C13</f>
        <v>3454</v>
      </c>
      <c r="R70" s="1553" t="s">
        <v>1253</v>
      </c>
    </row>
    <row r="71" spans="1:18" s="1517" customFormat="1" ht="13.5" thickBot="1">
      <c r="A71" s="1082" t="s">
        <v>820</v>
      </c>
      <c r="B71" s="1083" t="s">
        <v>1211</v>
      </c>
      <c r="C71" s="341">
        <f ca="1">ROUND(C68*10000/F71,0)</f>
        <v>-4485</v>
      </c>
      <c r="D71" s="1084" t="s">
        <v>1212</v>
      </c>
      <c r="E71" s="1085" t="s">
        <v>1213</v>
      </c>
      <c r="F71" s="344">
        <f ca="1">F43</f>
        <v>13867.57</v>
      </c>
      <c r="O71" s="1561" t="s">
        <v>837</v>
      </c>
      <c r="P71" s="1600" t="s">
        <v>1310</v>
      </c>
      <c r="Q71" s="1564">
        <f ca="1">C76</f>
        <v>7.4999999999999997E-2</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259</v>
      </c>
      <c r="D75" s="1517"/>
      <c r="E75" s="1517"/>
      <c r="F75" s="1517"/>
      <c r="K75" s="1535"/>
      <c r="L75" s="1517"/>
      <c r="O75" s="1551" t="s">
        <v>833</v>
      </c>
      <c r="P75" s="1552" t="s">
        <v>1273</v>
      </c>
      <c r="Q75" s="1553">
        <f ca="1">Q65+Q66</f>
        <v>8714</v>
      </c>
      <c r="R75" s="1553" t="s">
        <v>834</v>
      </c>
    </row>
    <row r="76" spans="1:18">
      <c r="B76" s="347" t="s">
        <v>1231</v>
      </c>
      <c r="C76" s="348">
        <f ca="1">INDIRECT("'数据-取费表'!j"&amp;$G$1)</f>
        <v>7.4999999999999997E-2</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0.48</v>
      </c>
    </row>
    <row r="80" spans="1:18">
      <c r="B80" s="345" t="s">
        <v>1235</v>
      </c>
      <c r="C80" s="279">
        <f ca="1">ROUND(C75/C39,3)</f>
        <v>0.52</v>
      </c>
    </row>
    <row r="81" spans="2:3">
      <c r="B81" s="275" t="s">
        <v>1236</v>
      </c>
      <c r="C81" s="243"/>
    </row>
    <row r="82" spans="2:3">
      <c r="B82" s="278" t="s">
        <v>1237</v>
      </c>
      <c r="C82" s="280">
        <f ca="1">1-C83</f>
        <v>0.60399999999999998</v>
      </c>
    </row>
    <row r="83" spans="2:3">
      <c r="B83" s="278" t="s">
        <v>1238</v>
      </c>
      <c r="C83" s="279">
        <f ca="1">ROUND(C13/C40,3)</f>
        <v>0.39600000000000002</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v>
      </c>
      <c r="G1" s="1511">
        <f>MATCH(C1,'数据-取费表'!A6:A16,0)+5</f>
        <v>7</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2"/>
      <c r="H2" s="2871"/>
      <c r="I2" s="2871"/>
      <c r="J2" s="2871"/>
      <c r="K2" s="2872"/>
      <c r="L2" s="2871"/>
      <c r="M2" s="2871"/>
    </row>
    <row r="3" spans="1:37" ht="18" customHeight="1" thickBot="1">
      <c r="A3" s="1523" t="s">
        <v>1317</v>
      </c>
      <c r="B3" s="1524">
        <f ca="1">IF(ISERROR(D2/F43),0,ROUND(D2/F43,0))</f>
        <v>0</v>
      </c>
      <c r="C3" s="1520" t="s">
        <v>1318</v>
      </c>
      <c r="D3" s="1520"/>
      <c r="E3" s="1521"/>
      <c r="F3" s="1522"/>
      <c r="G3" s="2882"/>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91" t="s">
        <v>1127</v>
      </c>
      <c r="C6" s="1186">
        <f ca="1">ROUND(F6*F8*F7*(1-F9),0)</f>
        <v>0</v>
      </c>
      <c r="D6" s="159" t="s">
        <v>2604</v>
      </c>
      <c r="E6" s="307" t="s">
        <v>1129</v>
      </c>
      <c r="F6" s="308">
        <f ca="1">INDIRECT("'数据-取费表'!u"&amp;$G$1)</f>
        <v>0</v>
      </c>
      <c r="G6" s="1517"/>
      <c r="H6" s="1181" t="s">
        <v>822</v>
      </c>
      <c r="I6" s="3491" t="s">
        <v>1127</v>
      </c>
      <c r="J6" s="306">
        <f ca="1">ROUND(M6*M8*M7*(1-M9),0)</f>
        <v>0</v>
      </c>
      <c r="K6" s="1509" t="s">
        <v>2605</v>
      </c>
      <c r="L6" s="307" t="s">
        <v>1129</v>
      </c>
      <c r="M6" s="308">
        <f ca="1">INDIRECT("'数据-取费表'!z"&amp;$G$1)</f>
        <v>0</v>
      </c>
    </row>
    <row r="7" spans="1:37" ht="18" customHeight="1">
      <c r="A7" s="1185"/>
      <c r="B7" s="3492"/>
      <c r="C7" s="1187"/>
      <c r="D7" s="312"/>
      <c r="E7" s="1188" t="s">
        <v>1130</v>
      </c>
      <c r="F7" s="308">
        <f ca="1">IF(INDIRECT("'数据-取费表'!ah"&amp;$G$1)="",INDIRECT("'数据-取费表'!k"&amp;$G$1),INDIRECT("'数据-取费表'!ah"&amp;$G$1))</f>
        <v>0</v>
      </c>
      <c r="G7" s="1517"/>
      <c r="H7" s="309"/>
      <c r="I7" s="3492"/>
      <c r="J7" s="311"/>
      <c r="K7" s="312"/>
      <c r="L7" s="307" t="s">
        <v>1130</v>
      </c>
      <c r="M7" s="308">
        <f ca="1">F7</f>
        <v>0</v>
      </c>
    </row>
    <row r="8" spans="1:37" ht="18" customHeight="1">
      <c r="A8" s="309"/>
      <c r="B8" s="3492"/>
      <c r="C8" s="311"/>
      <c r="D8" s="312"/>
      <c r="E8" s="307" t="s">
        <v>1131</v>
      </c>
      <c r="F8" s="308">
        <f ca="1">INDIRECT("'数据-取费表'!ai"&amp;$G$1)</f>
        <v>0</v>
      </c>
      <c r="G8" s="1517"/>
      <c r="H8" s="309"/>
      <c r="I8" s="3492"/>
      <c r="J8" s="311"/>
      <c r="K8" s="312"/>
      <c r="L8" s="307" t="s">
        <v>1131</v>
      </c>
      <c r="M8" s="308">
        <f ca="1">INDIRECT("'数据-取费表'!ai"&amp;$G$1)</f>
        <v>0</v>
      </c>
    </row>
    <row r="9" spans="1:37" ht="18" customHeight="1">
      <c r="A9" s="309"/>
      <c r="B9" s="3493"/>
      <c r="C9" s="311"/>
      <c r="D9" s="312"/>
      <c r="E9" s="307" t="s">
        <v>1132</v>
      </c>
      <c r="F9" s="317">
        <f ca="1">INDIRECT("'数据-取费表'!w"&amp;$G$1)</f>
        <v>0</v>
      </c>
      <c r="G9" s="1517"/>
      <c r="H9" s="309"/>
      <c r="I9" s="3493"/>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2614</v>
      </c>
      <c r="E10" s="318" t="s">
        <v>1134</v>
      </c>
      <c r="F10" s="1228"/>
      <c r="G10" s="1517"/>
      <c r="H10" s="1181" t="s">
        <v>826</v>
      </c>
      <c r="I10" s="1498" t="s">
        <v>1133</v>
      </c>
      <c r="J10" s="306">
        <f ca="1">ROUND(IF(M10="押一",J6/12*M11,IF(M10="押二",J6/12*2*M11,IF(M10="押三",J6/12*3*M11,J11*M11))),0)</f>
        <v>0</v>
      </c>
      <c r="K10" s="1510" t="s">
        <v>2616</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ROUND(F17*(F43+INDIRECT("'数据-取费表'!S"&amp;$G$1)),0)</f>
        <v>0</v>
      </c>
      <c r="D17" s="307" t="s">
        <v>1151</v>
      </c>
      <c r="E17" s="307" t="s">
        <v>1152</v>
      </c>
      <c r="F17" s="26">
        <f>'数据-取费表'!B35</f>
        <v>200</v>
      </c>
      <c r="G17" s="1529"/>
      <c r="H17" s="1093" t="s">
        <v>822</v>
      </c>
      <c r="I17" s="307" t="s">
        <v>1153</v>
      </c>
      <c r="J17" s="2482">
        <f ca="1">ROUND(IF(AND(项目基本情况!B11="自然人",项目基本情况!B10="北京市"),J6*M17/(1+'数据-取费表'!C42),J18+J19+J20),0)</f>
        <v>0</v>
      </c>
      <c r="K17" s="1478" t="s">
        <v>1154</v>
      </c>
      <c r="L17" s="1477" t="s">
        <v>1155</v>
      </c>
      <c r="M17" s="2481"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ROUND(J6*M18/(1+'数据-取费表'!C42),0)</f>
        <v>0</v>
      </c>
      <c r="K18" s="1477" t="s">
        <v>1158</v>
      </c>
      <c r="L18" s="307" t="s">
        <v>1146</v>
      </c>
      <c r="M18" s="327">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ROUND(M20*M21,0)</f>
        <v>0</v>
      </c>
      <c r="K20" s="329" t="s">
        <v>1166</v>
      </c>
      <c r="L20" s="307" t="s">
        <v>1167</v>
      </c>
      <c r="M20" s="330">
        <f>'数据-取费表'!B52</f>
        <v>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单利计息。建造成本、管理费用、销售费用产生的利息。</v>
      </c>
      <c r="E22" s="1493"/>
      <c r="F22" s="26"/>
      <c r="G22" s="1517"/>
      <c r="H22" s="1093" t="s">
        <v>826</v>
      </c>
      <c r="I22" s="307" t="s">
        <v>1173</v>
      </c>
      <c r="J22" s="24">
        <f ca="1">ROUND(J14*M22,0)</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29"/>
      <c r="H23" s="1093" t="s">
        <v>862</v>
      </c>
      <c r="I23" s="307" t="s">
        <v>1177</v>
      </c>
      <c r="J23" s="24">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5.33E-2</v>
      </c>
      <c r="D28" s="328" t="s">
        <v>1200</v>
      </c>
      <c r="E28" s="307" t="s">
        <v>1146</v>
      </c>
      <c r="F28" s="327">
        <f>'数据-取费表'!B41</f>
        <v>5.6000000000000001E-2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3"/>
      <c r="I30" s="1531"/>
      <c r="J30" s="1532"/>
      <c r="K30" s="2648"/>
      <c r="L30" s="2874"/>
      <c r="M30" s="2875"/>
    </row>
    <row r="31" spans="1:37" ht="18" customHeight="1">
      <c r="A31" s="1093" t="s">
        <v>822</v>
      </c>
      <c r="B31" s="307" t="s">
        <v>1153</v>
      </c>
      <c r="C31" s="2482">
        <f ca="1">ROUND(IF(AND(项目基本情况!B11="自然人",项目基本情况!B10="北京市"),C6*F31/(1+'数据-取费表'!C42),C32+C33+C34),0)</f>
        <v>0</v>
      </c>
      <c r="D31" s="1478" t="s">
        <v>1154</v>
      </c>
      <c r="E31" s="1477" t="s">
        <v>1205</v>
      </c>
      <c r="F31" s="2481" t="str">
        <f>IF(项目基本情况!B11="企业","——",IF('数据-取费表'!B10="住宅",IF(F6*F7*F8/12/(1+'数据-取费表'!F30)&gt;100000,4%,2.5%),IF(F6*F7*F8/12/(1+'数据-取费表'!F30)&gt;100000,12%,7%)))</f>
        <v>——</v>
      </c>
      <c r="G31" s="1517"/>
      <c r="H31" s="2986" t="s">
        <v>2810</v>
      </c>
      <c r="I31" s="1531"/>
      <c r="J31" s="1532"/>
      <c r="K31" s="2648"/>
      <c r="L31" s="2874"/>
      <c r="M31" s="2875"/>
    </row>
    <row r="32" spans="1:37" ht="18" customHeight="1">
      <c r="A32" s="1093" t="s">
        <v>821</v>
      </c>
      <c r="B32" s="307" t="s">
        <v>1157</v>
      </c>
      <c r="C32" s="24">
        <f ca="1">IF(项目基本情况!B11="自然人","——",ROUND(C6*F32/(1+'数据-取费表'!C42),0))</f>
        <v>0</v>
      </c>
      <c r="D32" s="1477" t="s">
        <v>1158</v>
      </c>
      <c r="E32" s="307" t="s">
        <v>1146</v>
      </c>
      <c r="F32" s="336">
        <f>'数据-取费表'!B41</f>
        <v>5.6000000000000001E-2</v>
      </c>
      <c r="G32" s="1517"/>
      <c r="H32" s="2873"/>
      <c r="I32" s="1531"/>
      <c r="J32" s="1532"/>
      <c r="K32" s="2648"/>
      <c r="L32" s="2874"/>
      <c r="M32" s="2875"/>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6"/>
      <c r="I33" s="1531"/>
      <c r="J33" s="1532"/>
      <c r="K33" s="2877"/>
      <c r="L33" s="2876"/>
      <c r="M33" s="2876"/>
    </row>
    <row r="34" spans="1:18" ht="18" customHeight="1">
      <c r="A34" s="1181" t="s">
        <v>1113</v>
      </c>
      <c r="B34" s="159" t="s">
        <v>1165</v>
      </c>
      <c r="C34" s="25">
        <f ca="1">IF(项目基本情况!B11="自然人","——",ROUND(F34*F35,))</f>
        <v>0</v>
      </c>
      <c r="D34" s="329" t="s">
        <v>1166</v>
      </c>
      <c r="E34" s="307" t="s">
        <v>1167</v>
      </c>
      <c r="F34" s="330">
        <f>'数据-取费表'!B52</f>
        <v>5</v>
      </c>
      <c r="G34" s="1517"/>
      <c r="H34" s="2873"/>
      <c r="I34" s="1531"/>
      <c r="J34" s="1532"/>
      <c r="K34" s="2878"/>
      <c r="L34" s="2879"/>
      <c r="M34" s="2879"/>
    </row>
    <row r="35" spans="1:18" ht="18" customHeight="1">
      <c r="A35" s="1215"/>
      <c r="B35" s="1213"/>
      <c r="C35" s="29"/>
      <c r="D35" s="332"/>
      <c r="E35" s="307" t="s">
        <v>1171</v>
      </c>
      <c r="F35" s="308">
        <f ca="1">INDIRECT("'数据-取费表'!r"&amp;$G$1)</f>
        <v>0</v>
      </c>
      <c r="G35" s="1517"/>
      <c r="H35" s="2873"/>
      <c r="I35" s="1531"/>
      <c r="J35" s="1532"/>
      <c r="K35" s="2877"/>
      <c r="L35" s="2876"/>
      <c r="M35" s="2876"/>
    </row>
    <row r="36" spans="1:18" ht="18" customHeight="1">
      <c r="A36" s="1214" t="s">
        <v>826</v>
      </c>
      <c r="B36" s="307" t="s">
        <v>1173</v>
      </c>
      <c r="C36" s="24">
        <f ca="1">ROUND(C29*F36,0)</f>
        <v>0</v>
      </c>
      <c r="D36" s="1477" t="s">
        <v>1206</v>
      </c>
      <c r="E36" s="307" t="s">
        <v>1146</v>
      </c>
      <c r="F36" s="333">
        <f ca="1">INDIRECT("'数据-取费表'!Ak"&amp;$G$1)</f>
        <v>0</v>
      </c>
      <c r="G36" s="1517"/>
      <c r="H36" s="2876"/>
      <c r="I36" s="1531"/>
      <c r="J36" s="1532"/>
      <c r="K36" s="2717"/>
      <c r="L36" s="2876"/>
      <c r="M36" s="2876"/>
    </row>
    <row r="37" spans="1:18" ht="18" customHeight="1">
      <c r="A37" s="1093" t="s">
        <v>862</v>
      </c>
      <c r="B37" s="307" t="s">
        <v>1177</v>
      </c>
      <c r="C37" s="24">
        <f ca="1">ROUND(C13*F37,0)</f>
        <v>0</v>
      </c>
      <c r="D37" s="1477" t="s">
        <v>1178</v>
      </c>
      <c r="E37" s="307" t="s">
        <v>1179</v>
      </c>
      <c r="F37" s="335">
        <f ca="1">INDIRECT("'数据-取费表'!Al"&amp;$G$1)</f>
        <v>0</v>
      </c>
      <c r="G37" s="1517"/>
      <c r="H37" s="2876"/>
      <c r="I37" s="1531"/>
      <c r="J37" s="1532"/>
      <c r="K37" s="2717"/>
      <c r="L37" s="2876"/>
      <c r="M37" s="2876"/>
    </row>
    <row r="38" spans="1:18" ht="18" customHeight="1" thickBot="1">
      <c r="A38" s="1201" t="s">
        <v>1117</v>
      </c>
      <c r="B38" s="1202" t="s">
        <v>1163</v>
      </c>
      <c r="C38" s="1203">
        <f ca="1">ROUND(C5*F38,1)</f>
        <v>0</v>
      </c>
      <c r="D38" s="1204" t="s">
        <v>1183</v>
      </c>
      <c r="E38" s="1202" t="s">
        <v>1179</v>
      </c>
      <c r="F38" s="1198">
        <f ca="1">INDIRECT("'数据-取费表'!Am"&amp;$G$1)</f>
        <v>0</v>
      </c>
      <c r="G38" s="1517"/>
      <c r="H38" s="2876"/>
      <c r="I38" s="1531"/>
      <c r="J38" s="1532"/>
      <c r="K38" s="2880"/>
      <c r="L38" s="2876"/>
      <c r="M38" s="2876"/>
    </row>
    <row r="39" spans="1:18" ht="24.6" customHeight="1" thickTop="1">
      <c r="A39" s="1191" t="s">
        <v>818</v>
      </c>
      <c r="B39" s="1206" t="s">
        <v>1207</v>
      </c>
      <c r="C39" s="315">
        <f ca="1">C5-C30</f>
        <v>0</v>
      </c>
      <c r="D39" s="1207" t="s">
        <v>1208</v>
      </c>
      <c r="E39" s="1208"/>
      <c r="F39" s="1209"/>
      <c r="G39" s="1517"/>
      <c r="H39" s="2876"/>
      <c r="I39" s="1531"/>
      <c r="J39" s="1532"/>
      <c r="K39" s="2880"/>
      <c r="L39" s="2876"/>
      <c r="M39" s="2876"/>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0"/>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7"/>
      <c r="L41" s="1304"/>
      <c r="M41" s="1304"/>
    </row>
    <row r="42" spans="1:18" ht="18" customHeight="1">
      <c r="A42" s="313"/>
      <c r="B42" s="314"/>
      <c r="C42" s="315"/>
      <c r="D42" s="332"/>
      <c r="E42" s="307" t="s">
        <v>1201</v>
      </c>
      <c r="F42" s="317">
        <f ca="1">INDIRECT("'数据-取费表'!v"&amp;$G$1)</f>
        <v>0</v>
      </c>
      <c r="G42" s="1517"/>
      <c r="H42" s="1304"/>
      <c r="I42" s="1531"/>
      <c r="J42" s="1532"/>
      <c r="K42" s="2717"/>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7"/>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v>
      </c>
      <c r="R52" s="1553" t="s">
        <v>1270</v>
      </c>
    </row>
    <row r="53" spans="1:18" s="1517" customFormat="1" ht="30.75" customHeight="1" thickBot="1">
      <c r="A53" s="1223" t="s">
        <v>865</v>
      </c>
      <c r="B53" s="328" t="s">
        <v>1133</v>
      </c>
      <c r="C53" s="321">
        <f ca="1">ROUND(IF(F53="押一",C49/12*F11,IF(F53="押二",C49/12*2*F11,IF(F53="押三",C49/12*3*F11,C54*F11))),0)</f>
        <v>0</v>
      </c>
      <c r="D53" s="1499" t="s">
        <v>2617</v>
      </c>
      <c r="E53" s="318" t="s">
        <v>1134</v>
      </c>
      <c r="F53" s="1228"/>
      <c r="I53" s="1572" t="s">
        <v>1271</v>
      </c>
      <c r="J53" s="2334">
        <f ca="1">IF(M47="住宅",IF(D1="——",MAX(J51,L48),MAX(J51,L48-'数据-取费表'!B24)),IF(D1="——",MIN(J51,L48),MIN(J51,L48-'数据-取费表'!B24)))</f>
        <v>0</v>
      </c>
      <c r="K53" s="3489" t="s">
        <v>1272</v>
      </c>
      <c r="L53" s="3490"/>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2">
        <f ca="1">ROUND(IF(AND(项目基本情况!B11="自然人",项目基本情况!B10="北京市"),C49*F59/(1+'数据-取费表'!C42),C60+C61+C62),0)</f>
        <v>0</v>
      </c>
      <c r="D59" s="1074" t="s">
        <v>1154</v>
      </c>
      <c r="E59" s="1075" t="s">
        <v>1155</v>
      </c>
      <c r="F59" s="2481"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IF(项目基本情况!B11="自然人","——",ROUND(F62*F63,0))</f>
        <v>0</v>
      </c>
      <c r="D62" s="1076" t="s">
        <v>1221</v>
      </c>
      <c r="E62" s="1061" t="s">
        <v>1222</v>
      </c>
      <c r="F62" s="330">
        <f t="shared" si="0"/>
        <v>5</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2938</v>
      </c>
      <c r="B1" s="3010"/>
      <c r="C1" s="3022"/>
      <c r="D1" s="3022"/>
      <c r="E1" s="3011"/>
      <c r="F1" s="3012"/>
      <c r="G1" s="3013"/>
      <c r="J1" s="3016" t="s">
        <v>2817</v>
      </c>
      <c r="K1" s="3017"/>
      <c r="L1" s="3017"/>
      <c r="M1" s="3017"/>
      <c r="N1" s="3017"/>
      <c r="O1" s="3017"/>
      <c r="P1" s="3017"/>
      <c r="Q1" s="3017"/>
      <c r="R1" s="3018"/>
      <c r="S1" s="3019"/>
      <c r="T1" s="3019"/>
      <c r="U1" s="3019"/>
    </row>
    <row r="2" spans="1:22" s="3031" customFormat="1" ht="13.15" customHeight="1">
      <c r="A2" s="1518" t="s">
        <v>2818</v>
      </c>
      <c r="B2" s="3021" t="e">
        <f>C40</f>
        <v>#DIV/0!</v>
      </c>
      <c r="C2" s="3022" t="s">
        <v>2819</v>
      </c>
      <c r="D2" s="3022"/>
      <c r="E2" s="3023"/>
      <c r="F2" s="3024"/>
      <c r="G2" s="3025"/>
      <c r="H2" s="3026"/>
      <c r="I2" s="3027"/>
      <c r="J2" s="3500" t="s">
        <v>2820</v>
      </c>
      <c r="K2" s="3501"/>
      <c r="L2" s="3028" t="s">
        <v>2821</v>
      </c>
      <c r="M2" s="3028" t="s">
        <v>2822</v>
      </c>
      <c r="N2" s="3028" t="s">
        <v>2823</v>
      </c>
      <c r="O2" s="3028" t="s">
        <v>2824</v>
      </c>
      <c r="P2" s="3028" t="s">
        <v>2825</v>
      </c>
      <c r="Q2" s="3029" t="s">
        <v>2826</v>
      </c>
      <c r="R2" s="3030" t="s">
        <v>2827</v>
      </c>
      <c r="S2" s="3019"/>
      <c r="T2" s="3019"/>
      <c r="U2" s="3019"/>
      <c r="V2" s="3027"/>
    </row>
    <row r="3" spans="1:22" s="3031" customFormat="1" ht="13.15" customHeight="1">
      <c r="A3" s="3032" t="s">
        <v>2828</v>
      </c>
      <c r="B3" s="3033" t="e">
        <f>ROUND(B2*10000/B4,0)</f>
        <v>#DIV/0!</v>
      </c>
      <c r="C3" s="3022" t="s">
        <v>2829</v>
      </c>
      <c r="D3" s="3022"/>
      <c r="E3" s="3023"/>
      <c r="F3" s="3024"/>
      <c r="G3" s="3025"/>
      <c r="H3" s="3026"/>
      <c r="I3" s="3027"/>
      <c r="J3" s="3502" t="s">
        <v>2830</v>
      </c>
      <c r="K3" s="3503"/>
      <c r="L3" s="3034"/>
      <c r="M3" s="3034"/>
      <c r="N3" s="3034"/>
      <c r="O3" s="3034"/>
      <c r="P3" s="3034"/>
      <c r="Q3" s="3035"/>
      <c r="R3" s="3036">
        <f>SUM(L3:Q3)</f>
        <v>0</v>
      </c>
      <c r="S3" s="3019"/>
      <c r="T3" s="3019"/>
      <c r="U3" s="3019"/>
      <c r="V3" s="3027"/>
    </row>
    <row r="4" spans="1:22" s="3031" customFormat="1" ht="13.15" customHeight="1">
      <c r="A4" s="3037" t="s">
        <v>2831</v>
      </c>
      <c r="B4" s="3038"/>
      <c r="C4" s="3022"/>
      <c r="D4" s="3022"/>
      <c r="E4" s="3023"/>
      <c r="F4" s="3024"/>
      <c r="G4" s="3025"/>
      <c r="H4" s="3026"/>
      <c r="I4" s="3027"/>
      <c r="J4" s="3502" t="s">
        <v>2832</v>
      </c>
      <c r="K4" s="3503"/>
      <c r="L4" s="3039"/>
      <c r="M4" s="3039"/>
      <c r="N4" s="3039"/>
      <c r="O4" s="3039"/>
      <c r="P4" s="3039"/>
      <c r="Q4" s="3040"/>
      <c r="R4" s="3041">
        <f>SUM(L4:Q4)</f>
        <v>0</v>
      </c>
      <c r="S4" s="3019"/>
      <c r="T4" s="3019"/>
      <c r="U4" s="3019"/>
      <c r="V4" s="3027"/>
    </row>
    <row r="5" spans="1:22" s="3031" customFormat="1" ht="13.15" customHeight="1" thickBot="1">
      <c r="A5" s="3042" t="s">
        <v>2833</v>
      </c>
      <c r="B5" s="3043"/>
      <c r="C5" s="3022"/>
      <c r="D5" s="3044"/>
      <c r="E5" s="3024"/>
      <c r="F5" s="3024"/>
      <c r="G5" s="3025"/>
      <c r="H5" s="3026"/>
      <c r="I5" s="3027"/>
      <c r="J5" s="3045" t="s">
        <v>2834</v>
      </c>
      <c r="K5" s="3046"/>
      <c r="L5" s="3046"/>
      <c r="M5" s="3047"/>
      <c r="N5" s="3047"/>
      <c r="O5" s="3047"/>
      <c r="P5" s="3047"/>
      <c r="Q5" s="3047"/>
      <c r="R5" s="3030">
        <f>SUM(R14,R19,R24,R25,R27,R28)</f>
        <v>0</v>
      </c>
      <c r="S5" s="3019"/>
      <c r="T5" s="3019" t="s">
        <v>2835</v>
      </c>
      <c r="U5" s="3019" t="e">
        <f>ROUND(R5*10000/365/R3,1)</f>
        <v>#DIV/0!</v>
      </c>
      <c r="V5" s="3027"/>
    </row>
    <row r="6" spans="1:22" s="3031" customFormat="1" ht="13.15" customHeight="1" thickBot="1">
      <c r="A6" s="3508" t="s">
        <v>2836</v>
      </c>
      <c r="B6" s="3509"/>
      <c r="C6" s="3510"/>
      <c r="D6" s="3048"/>
      <c r="E6" s="3049"/>
      <c r="F6" s="3050"/>
      <c r="G6" s="3051"/>
      <c r="H6" s="3026"/>
      <c r="I6" s="3027"/>
      <c r="J6" s="3494">
        <v>1</v>
      </c>
      <c r="K6" s="3495" t="s">
        <v>2837</v>
      </c>
      <c r="L6" s="3052" t="s">
        <v>2838</v>
      </c>
      <c r="M6" s="3053" t="s">
        <v>2839</v>
      </c>
      <c r="N6" s="3053" t="s">
        <v>2840</v>
      </c>
      <c r="O6" s="3053" t="s">
        <v>2841</v>
      </c>
      <c r="P6" s="3053" t="s">
        <v>2842</v>
      </c>
      <c r="Q6" s="3053" t="s">
        <v>2843</v>
      </c>
      <c r="R6" s="3036" t="s">
        <v>2844</v>
      </c>
      <c r="S6" s="3019"/>
      <c r="T6" s="3019" t="s">
        <v>2845</v>
      </c>
      <c r="U6" s="3019"/>
      <c r="V6" s="3027"/>
    </row>
    <row r="7" spans="1:22" s="3031" customFormat="1" ht="13.15" customHeight="1">
      <c r="A7" s="3054" t="s">
        <v>2846</v>
      </c>
      <c r="B7" s="3055"/>
      <c r="C7" s="3056"/>
      <c r="D7" s="3057">
        <f>SUM(D9,D10,D11,D17,0)</f>
        <v>0</v>
      </c>
      <c r="E7" s="3058" t="e">
        <f>E9+E10+E11+E17</f>
        <v>#DIV/0!</v>
      </c>
      <c r="F7" s="3059"/>
      <c r="G7" s="3060"/>
      <c r="H7" s="3026"/>
      <c r="I7" s="3027"/>
      <c r="J7" s="3494"/>
      <c r="K7" s="3496"/>
      <c r="L7" s="3061" t="s">
        <v>2847</v>
      </c>
      <c r="M7" s="3062"/>
      <c r="N7" s="3038"/>
      <c r="O7" s="3063"/>
      <c r="P7" s="3063"/>
      <c r="Q7" s="3064">
        <v>365</v>
      </c>
      <c r="R7" s="3065">
        <f>ROUND(M7*N7*O7*P7*Q7/10000,0)</f>
        <v>0</v>
      </c>
      <c r="S7" s="3019"/>
      <c r="T7" s="3019" t="s">
        <v>2848</v>
      </c>
      <c r="U7" s="3019"/>
      <c r="V7" s="3027"/>
    </row>
    <row r="8" spans="1:22" s="3031" customFormat="1" ht="13.15" customHeight="1">
      <c r="A8" s="3066" t="s">
        <v>2849</v>
      </c>
      <c r="B8" s="3511" t="s">
        <v>2850</v>
      </c>
      <c r="C8" s="3512"/>
      <c r="D8" s="3067" t="s">
        <v>2851</v>
      </c>
      <c r="E8" s="3068" t="s">
        <v>2852</v>
      </c>
      <c r="F8" s="3069" t="s">
        <v>2853</v>
      </c>
      <c r="G8" s="3070"/>
      <c r="H8" s="3026"/>
      <c r="I8" s="3027"/>
      <c r="J8" s="3494"/>
      <c r="K8" s="3496"/>
      <c r="L8" s="3061" t="s">
        <v>2854</v>
      </c>
      <c r="M8" s="3062"/>
      <c r="N8" s="3038"/>
      <c r="O8" s="3063"/>
      <c r="P8" s="3063"/>
      <c r="Q8" s="3064">
        <v>365</v>
      </c>
      <c r="R8" s="3065">
        <f t="shared" ref="R8:R13" si="0">ROUND(M8*N8*O8*P8*Q8/10000,0)</f>
        <v>0</v>
      </c>
      <c r="S8" s="3019"/>
      <c r="T8" s="3019" t="s">
        <v>2855</v>
      </c>
      <c r="U8" s="3019"/>
      <c r="V8" s="3027"/>
    </row>
    <row r="9" spans="1:22" s="3031" customFormat="1" ht="13.15" customHeight="1">
      <c r="A9" s="3066">
        <v>1</v>
      </c>
      <c r="B9" s="3511" t="s">
        <v>2856</v>
      </c>
      <c r="C9" s="3512"/>
      <c r="D9" s="3067">
        <f>ROUND(D6*E9,0)</f>
        <v>0</v>
      </c>
      <c r="E9" s="3071"/>
      <c r="F9" s="3072" t="s">
        <v>2857</v>
      </c>
      <c r="G9" s="3051"/>
      <c r="H9" s="3026"/>
      <c r="I9" s="3027"/>
      <c r="J9" s="3494"/>
      <c r="K9" s="3496"/>
      <c r="L9" s="3061" t="s">
        <v>2858</v>
      </c>
      <c r="M9" s="3062"/>
      <c r="N9" s="3038"/>
      <c r="O9" s="3063"/>
      <c r="P9" s="3063"/>
      <c r="Q9" s="3064">
        <v>365</v>
      </c>
      <c r="R9" s="3065">
        <f t="shared" si="0"/>
        <v>0</v>
      </c>
      <c r="S9" s="3019"/>
      <c r="T9" s="3019"/>
      <c r="U9" s="3019"/>
      <c r="V9" s="3027"/>
    </row>
    <row r="10" spans="1:22" s="3031" customFormat="1" ht="13.15" customHeight="1">
      <c r="A10" s="3066">
        <v>2</v>
      </c>
      <c r="B10" s="3511" t="s">
        <v>2859</v>
      </c>
      <c r="C10" s="3512"/>
      <c r="D10" s="3067">
        <f>ROUND(D6*E10,0)</f>
        <v>0</v>
      </c>
      <c r="E10" s="3071"/>
      <c r="F10" s="3072" t="s">
        <v>2860</v>
      </c>
      <c r="G10" s="3051"/>
      <c r="H10" s="3026"/>
      <c r="I10" s="3027"/>
      <c r="J10" s="3494"/>
      <c r="K10" s="3496"/>
      <c r="L10" s="3061" t="s">
        <v>2861</v>
      </c>
      <c r="M10" s="3062"/>
      <c r="N10" s="3038"/>
      <c r="O10" s="3063"/>
      <c r="P10" s="3063"/>
      <c r="Q10" s="3064">
        <v>365</v>
      </c>
      <c r="R10" s="3065">
        <f t="shared" si="0"/>
        <v>0</v>
      </c>
      <c r="S10" s="3019"/>
      <c r="T10" s="3019"/>
      <c r="U10" s="3019"/>
      <c r="V10" s="3027"/>
    </row>
    <row r="11" spans="1:22" s="3031" customFormat="1" ht="13.15" customHeight="1">
      <c r="A11" s="3066">
        <v>3</v>
      </c>
      <c r="B11" s="3511" t="s">
        <v>2862</v>
      </c>
      <c r="C11" s="3512"/>
      <c r="D11" s="3067">
        <f>D12+D14+D15+D16</f>
        <v>0</v>
      </c>
      <c r="E11" s="3073" t="e">
        <f>D11/D6</f>
        <v>#DIV/0!</v>
      </c>
      <c r="F11" s="3069"/>
      <c r="G11" s="3070"/>
      <c r="H11" s="3026"/>
      <c r="I11" s="3027"/>
      <c r="J11" s="3494"/>
      <c r="K11" s="3496"/>
      <c r="L11" s="3061" t="s">
        <v>2863</v>
      </c>
      <c r="M11" s="3062"/>
      <c r="N11" s="3038"/>
      <c r="O11" s="3063"/>
      <c r="P11" s="3063"/>
      <c r="Q11" s="3064">
        <v>365</v>
      </c>
      <c r="R11" s="3065">
        <f t="shared" si="0"/>
        <v>0</v>
      </c>
      <c r="S11" s="3019"/>
      <c r="T11" s="3019"/>
      <c r="U11" s="3019"/>
      <c r="V11" s="3027"/>
    </row>
    <row r="12" spans="1:22" s="3031" customFormat="1" ht="13.15" customHeight="1">
      <c r="A12" s="3074" t="s">
        <v>2864</v>
      </c>
      <c r="B12" s="3504" t="s">
        <v>2865</v>
      </c>
      <c r="C12" s="3505"/>
      <c r="D12" s="3075">
        <f>ROUND(D13*1.2%*(1-30%),0)</f>
        <v>0</v>
      </c>
      <c r="E12" s="3076">
        <v>1.2E-2</v>
      </c>
      <c r="F12" s="3069" t="s">
        <v>2866</v>
      </c>
      <c r="G12" s="3070"/>
      <c r="H12" s="3026"/>
      <c r="I12" s="3027"/>
      <c r="J12" s="3494"/>
      <c r="K12" s="3496"/>
      <c r="L12" s="3061" t="s">
        <v>2867</v>
      </c>
      <c r="M12" s="3062"/>
      <c r="N12" s="3038"/>
      <c r="O12" s="3063"/>
      <c r="P12" s="3063"/>
      <c r="Q12" s="3064">
        <v>365</v>
      </c>
      <c r="R12" s="3065">
        <f t="shared" si="0"/>
        <v>0</v>
      </c>
      <c r="S12" s="3019"/>
      <c r="T12" s="3019"/>
      <c r="U12" s="3019"/>
      <c r="V12" s="3027"/>
    </row>
    <row r="13" spans="1:22" s="3031" customFormat="1" ht="13.15" customHeight="1">
      <c r="A13" s="3074"/>
      <c r="B13" s="3077"/>
      <c r="C13" s="3078" t="s">
        <v>2868</v>
      </c>
      <c r="D13" s="3079"/>
      <c r="E13" s="3080"/>
      <c r="F13" s="3069"/>
      <c r="G13" s="3070"/>
      <c r="H13" s="3026"/>
      <c r="I13" s="3027"/>
      <c r="J13" s="3494"/>
      <c r="K13" s="3496"/>
      <c r="L13" s="3061" t="s">
        <v>2869</v>
      </c>
      <c r="M13" s="3062"/>
      <c r="N13" s="3038"/>
      <c r="O13" s="3063"/>
      <c r="P13" s="3063"/>
      <c r="Q13" s="3064">
        <v>365</v>
      </c>
      <c r="R13" s="3065">
        <f t="shared" si="0"/>
        <v>0</v>
      </c>
      <c r="S13" s="3019"/>
      <c r="T13" s="3019"/>
      <c r="U13" s="3019"/>
      <c r="V13" s="3027"/>
    </row>
    <row r="14" spans="1:22" s="3031" customFormat="1" ht="13.15" customHeight="1">
      <c r="A14" s="3074" t="s">
        <v>2870</v>
      </c>
      <c r="B14" s="3504" t="s">
        <v>2871</v>
      </c>
      <c r="C14" s="3505"/>
      <c r="D14" s="3075">
        <f>ROUND(E14*B5/10000,0)</f>
        <v>0</v>
      </c>
      <c r="E14" s="3064"/>
      <c r="F14" s="3069" t="s">
        <v>2872</v>
      </c>
      <c r="G14" s="3070"/>
      <c r="H14" s="3026"/>
      <c r="I14" s="3027"/>
      <c r="J14" s="3494"/>
      <c r="K14" s="3497"/>
      <c r="L14" s="3081" t="s">
        <v>2873</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2874</v>
      </c>
      <c r="B15" s="3504" t="s">
        <v>2875</v>
      </c>
      <c r="C15" s="3505"/>
      <c r="D15" s="3075">
        <f>ROUND(D6*E15,0)</f>
        <v>0</v>
      </c>
      <c r="E15" s="3076">
        <v>5.5E-2</v>
      </c>
      <c r="F15" s="3069" t="s">
        <v>2876</v>
      </c>
      <c r="G15" s="3051"/>
      <c r="H15" s="3026"/>
      <c r="I15" s="3027"/>
      <c r="J15" s="3494">
        <v>2</v>
      </c>
      <c r="K15" s="3495" t="s">
        <v>2877</v>
      </c>
      <c r="L15" s="3061" t="s">
        <v>2878</v>
      </c>
      <c r="M15" s="3062" t="s">
        <v>2879</v>
      </c>
      <c r="N15" s="3062" t="s">
        <v>2880</v>
      </c>
      <c r="O15" s="3063" t="s">
        <v>2881</v>
      </c>
      <c r="P15" s="3063" t="s">
        <v>2843</v>
      </c>
      <c r="Q15" s="3038" t="s">
        <v>2882</v>
      </c>
      <c r="R15" s="3085" t="s">
        <v>2844</v>
      </c>
      <c r="S15" s="3019"/>
      <c r="T15" s="3019"/>
      <c r="U15" s="3019"/>
      <c r="V15" s="3027"/>
    </row>
    <row r="16" spans="1:22" s="3031" customFormat="1" ht="13.15" customHeight="1">
      <c r="A16" s="3074" t="s">
        <v>2883</v>
      </c>
      <c r="B16" s="3504" t="s">
        <v>2884</v>
      </c>
      <c r="C16" s="3505"/>
      <c r="D16" s="3086">
        <f>D6*E16</f>
        <v>0</v>
      </c>
      <c r="E16" s="3087"/>
      <c r="F16" s="3072" t="s">
        <v>2885</v>
      </c>
      <c r="G16" s="3051"/>
      <c r="H16" s="3026"/>
      <c r="I16" s="3027"/>
      <c r="J16" s="3494"/>
      <c r="K16" s="3496"/>
      <c r="L16" s="3061" t="s">
        <v>2886</v>
      </c>
      <c r="M16" s="3062"/>
      <c r="N16" s="3062"/>
      <c r="O16" s="3063"/>
      <c r="P16" s="3064">
        <v>365</v>
      </c>
      <c r="Q16" s="3038"/>
      <c r="R16" s="3085">
        <f>ROUND(M16*N16*O16*P16/10000,0)</f>
        <v>0</v>
      </c>
      <c r="S16" s="3019"/>
      <c r="T16" s="3019"/>
      <c r="U16" s="3019"/>
      <c r="V16" s="3027"/>
    </row>
    <row r="17" spans="1:22" s="3031" customFormat="1" ht="13.15" customHeight="1" thickBot="1">
      <c r="A17" s="3088">
        <v>4</v>
      </c>
      <c r="B17" s="3506" t="s">
        <v>2887</v>
      </c>
      <c r="C17" s="3507"/>
      <c r="D17" s="3089">
        <f>ROUND(D6*E17,0)</f>
        <v>0</v>
      </c>
      <c r="E17" s="3090"/>
      <c r="F17" s="3091" t="s">
        <v>2888</v>
      </c>
      <c r="G17" s="3051"/>
      <c r="H17" s="3026"/>
      <c r="I17" s="3027"/>
      <c r="J17" s="3494"/>
      <c r="K17" s="3496"/>
      <c r="L17" s="3061" t="s">
        <v>2889</v>
      </c>
      <c r="M17" s="3062"/>
      <c r="N17" s="3062"/>
      <c r="O17" s="3063"/>
      <c r="P17" s="3064">
        <v>365</v>
      </c>
      <c r="Q17" s="3038"/>
      <c r="R17" s="3085">
        <f>ROUND(M17*N17*O17*P17/10000,0)</f>
        <v>0</v>
      </c>
      <c r="S17" s="3019"/>
      <c r="T17" s="3019"/>
      <c r="U17" s="3019"/>
      <c r="V17" s="3027"/>
    </row>
    <row r="18" spans="1:22" s="3031" customFormat="1" ht="13.15" customHeight="1" thickBot="1">
      <c r="A18" s="3054" t="s">
        <v>2890</v>
      </c>
      <c r="B18" s="3055"/>
      <c r="C18" s="3055"/>
      <c r="D18" s="3092">
        <f>ROUND(D6*E18,0)</f>
        <v>0</v>
      </c>
      <c r="E18" s="3093"/>
      <c r="F18" s="3094" t="s">
        <v>2891</v>
      </c>
      <c r="G18" s="3051"/>
      <c r="H18" s="3026"/>
      <c r="I18" s="3027"/>
      <c r="J18" s="3494"/>
      <c r="K18" s="3496"/>
      <c r="L18" s="3061" t="s">
        <v>2892</v>
      </c>
      <c r="M18" s="3062"/>
      <c r="N18" s="3062"/>
      <c r="O18" s="3063"/>
      <c r="P18" s="3064">
        <v>365</v>
      </c>
      <c r="Q18" s="3038"/>
      <c r="R18" s="3085">
        <f>ROUND(M18*N18*O18*P18/10000,0)</f>
        <v>0</v>
      </c>
      <c r="S18" s="3019"/>
      <c r="T18" s="3019"/>
      <c r="U18" s="3019"/>
      <c r="V18" s="3027"/>
    </row>
    <row r="19" spans="1:22" s="3031" customFormat="1" ht="13.15" customHeight="1" thickBot="1">
      <c r="A19" s="3095" t="s">
        <v>2893</v>
      </c>
      <c r="B19" s="3049"/>
      <c r="C19" s="3049"/>
      <c r="D19" s="3049"/>
      <c r="E19" s="3049"/>
      <c r="F19" s="3050"/>
      <c r="G19" s="3070"/>
      <c r="H19" s="3026"/>
      <c r="I19" s="3027"/>
      <c r="J19" s="3494"/>
      <c r="K19" s="3497"/>
      <c r="L19" s="3081" t="s">
        <v>2873</v>
      </c>
      <c r="M19" s="3082"/>
      <c r="N19" s="3082">
        <f>SUM(N16:N18)</f>
        <v>0</v>
      </c>
      <c r="O19" s="3083"/>
      <c r="P19" s="3096" t="s">
        <v>2937</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94">
        <v>3</v>
      </c>
      <c r="K20" s="3495" t="s">
        <v>2894</v>
      </c>
      <c r="L20" s="3061" t="s">
        <v>2895</v>
      </c>
      <c r="M20" s="3062" t="s">
        <v>2896</v>
      </c>
      <c r="N20" s="3099" t="s">
        <v>2897</v>
      </c>
      <c r="O20" s="3063" t="s">
        <v>2898</v>
      </c>
      <c r="P20" s="3064" t="s">
        <v>2899</v>
      </c>
      <c r="Q20" s="3038" t="s">
        <v>2900</v>
      </c>
      <c r="R20" s="3085" t="s">
        <v>2901</v>
      </c>
      <c r="S20" s="3100"/>
      <c r="T20" s="3100"/>
      <c r="U20" s="3100"/>
      <c r="V20" s="3027"/>
    </row>
    <row r="21" spans="1:22" s="3031" customFormat="1" ht="13.15" customHeight="1">
      <c r="A21" s="3054"/>
      <c r="B21" s="3055"/>
      <c r="C21" s="3101" t="s">
        <v>2902</v>
      </c>
      <c r="D21" s="3102" t="s">
        <v>2903</v>
      </c>
      <c r="E21" s="3103" t="s">
        <v>2904</v>
      </c>
      <c r="F21" s="3098"/>
      <c r="G21" s="3070"/>
      <c r="H21" s="3026"/>
      <c r="I21" s="3027"/>
      <c r="J21" s="3494"/>
      <c r="K21" s="3496"/>
      <c r="L21" s="3061" t="s">
        <v>2905</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2906</v>
      </c>
      <c r="D22" s="3106" t="s">
        <v>2907</v>
      </c>
      <c r="E22" s="3107" t="s">
        <v>2908</v>
      </c>
      <c r="F22" s="3098"/>
      <c r="G22" s="3108"/>
      <c r="H22" s="3026"/>
      <c r="I22" s="3027"/>
      <c r="J22" s="3494"/>
      <c r="K22" s="3496"/>
      <c r="L22" s="3061" t="s">
        <v>2909</v>
      </c>
      <c r="M22" s="3062"/>
      <c r="N22" s="3062"/>
      <c r="O22" s="3063"/>
      <c r="P22" s="3064">
        <v>365</v>
      </c>
      <c r="Q22" s="3038"/>
      <c r="R22" s="3104">
        <f>ROUND(M22*N22*O22*P22/10000,0)</f>
        <v>0</v>
      </c>
      <c r="S22" s="3100"/>
      <c r="T22" s="3100"/>
      <c r="U22" s="3100"/>
      <c r="V22" s="3027"/>
    </row>
    <row r="23" spans="1:22" s="3031" customFormat="1" ht="13.15" customHeight="1">
      <c r="A23" s="3109">
        <v>1</v>
      </c>
      <c r="B23" s="3110" t="s">
        <v>2910</v>
      </c>
      <c r="C23" s="3111">
        <f>D6</f>
        <v>0</v>
      </c>
      <c r="D23" s="3112">
        <f>C23*(1+D24)</f>
        <v>0</v>
      </c>
      <c r="E23" s="3113">
        <f>D23*(1+E24)</f>
        <v>0</v>
      </c>
      <c r="F23" s="3114"/>
      <c r="G23" s="3115"/>
      <c r="H23" s="3026"/>
      <c r="I23" s="3027"/>
      <c r="J23" s="3494"/>
      <c r="K23" s="3496"/>
      <c r="L23" s="3061" t="s">
        <v>2911</v>
      </c>
      <c r="M23" s="3062"/>
      <c r="N23" s="3062"/>
      <c r="O23" s="3063"/>
      <c r="P23" s="3064">
        <v>365</v>
      </c>
      <c r="Q23" s="3038"/>
      <c r="R23" s="3104">
        <f>ROUND(M23*N23*O23*P23/10000,0)</f>
        <v>0</v>
      </c>
      <c r="S23" s="3019"/>
      <c r="T23" s="3019"/>
      <c r="U23" s="3019"/>
      <c r="V23" s="3027"/>
    </row>
    <row r="24" spans="1:22" s="3031" customFormat="1" ht="13.15" customHeight="1">
      <c r="A24" s="3116"/>
      <c r="B24" s="3117" t="s">
        <v>2912</v>
      </c>
      <c r="C24" s="3118"/>
      <c r="D24" s="3119"/>
      <c r="E24" s="3120"/>
      <c r="F24" s="3121"/>
      <c r="G24" s="3115"/>
      <c r="H24" s="3026"/>
      <c r="I24" s="3027"/>
      <c r="J24" s="3494"/>
      <c r="K24" s="3497"/>
      <c r="L24" s="3081" t="s">
        <v>2873</v>
      </c>
      <c r="M24" s="3082">
        <f>SUM(M21:M23)</f>
        <v>0</v>
      </c>
      <c r="N24" s="3082"/>
      <c r="O24" s="3083"/>
      <c r="P24" s="3096" t="s">
        <v>2937</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2913</v>
      </c>
      <c r="L25" s="3124"/>
      <c r="M25" s="3124"/>
      <c r="N25" s="3124"/>
      <c r="O25" s="3124"/>
      <c r="P25" s="3125"/>
      <c r="Q25" s="3126">
        <v>0</v>
      </c>
      <c r="R25" s="3097">
        <f>ROUND(R14*Q25,0)</f>
        <v>0</v>
      </c>
      <c r="S25" s="3019"/>
      <c r="T25" s="3019"/>
      <c r="U25" s="3019"/>
      <c r="V25" s="3127"/>
    </row>
    <row r="26" spans="1:22" s="3128" customFormat="1" ht="13.15" customHeight="1">
      <c r="A26" s="3109">
        <v>2</v>
      </c>
      <c r="B26" s="3110" t="s">
        <v>2914</v>
      </c>
      <c r="C26" s="3111">
        <f>D7</f>
        <v>0</v>
      </c>
      <c r="D26" s="3112">
        <f>D23*D27</f>
        <v>0</v>
      </c>
      <c r="E26" s="3113">
        <f>E23*E27</f>
        <v>0</v>
      </c>
      <c r="F26" s="3114"/>
      <c r="G26" s="3115"/>
      <c r="H26" s="3026"/>
      <c r="I26" s="3027"/>
      <c r="J26" s="3498">
        <v>5</v>
      </c>
      <c r="K26" s="3129" t="s">
        <v>2915</v>
      </c>
      <c r="L26" s="3130"/>
      <c r="M26" s="3131"/>
      <c r="N26" s="3132" t="s">
        <v>2916</v>
      </c>
      <c r="O26" s="3132" t="s">
        <v>2917</v>
      </c>
      <c r="P26" s="3133" t="s">
        <v>2918</v>
      </c>
      <c r="Q26" s="3133" t="s">
        <v>2919</v>
      </c>
      <c r="R26" s="3036" t="s">
        <v>2844</v>
      </c>
      <c r="S26" s="3134"/>
      <c r="T26" s="3134"/>
      <c r="U26" s="3134"/>
      <c r="V26" s="3127"/>
    </row>
    <row r="27" spans="1:22" s="3031" customFormat="1" ht="13.15" customHeight="1">
      <c r="A27" s="3116"/>
      <c r="B27" s="3117" t="s">
        <v>2920</v>
      </c>
      <c r="C27" s="3135" t="e">
        <f>E7</f>
        <v>#DIV/0!</v>
      </c>
      <c r="D27" s="3119"/>
      <c r="E27" s="3120"/>
      <c r="F27" s="3121"/>
      <c r="G27" s="3115"/>
      <c r="H27" s="3136"/>
      <c r="I27" s="3127"/>
      <c r="J27" s="3499"/>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2921</v>
      </c>
      <c r="F28" s="3121"/>
      <c r="G28" s="3108"/>
      <c r="H28" s="3136"/>
      <c r="I28" s="3127"/>
      <c r="J28" s="3142">
        <v>6</v>
      </c>
      <c r="K28" s="3143" t="s">
        <v>2922</v>
      </c>
      <c r="L28" s="3144" t="s">
        <v>2923</v>
      </c>
      <c r="M28" s="3145"/>
      <c r="N28" s="3144" t="s">
        <v>2924</v>
      </c>
      <c r="O28" s="3146"/>
      <c r="P28" s="3144" t="s">
        <v>2925</v>
      </c>
      <c r="Q28" s="3147">
        <v>1.4999999999999999E-2</v>
      </c>
      <c r="R28" s="3148"/>
      <c r="S28" s="3100"/>
      <c r="T28" s="3100"/>
      <c r="U28" s="3100"/>
      <c r="V28" s="3127"/>
    </row>
    <row r="29" spans="1:22" s="3128" customFormat="1" ht="13.15" customHeight="1">
      <c r="A29" s="3109">
        <v>3</v>
      </c>
      <c r="B29" s="3110" t="s">
        <v>2926</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2920</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2927</v>
      </c>
      <c r="K31" s="3017"/>
      <c r="L31" s="3017"/>
      <c r="M31" s="3017"/>
      <c r="N31" s="3017"/>
      <c r="O31" s="3017"/>
      <c r="P31" s="3017"/>
      <c r="Q31" s="3017"/>
      <c r="R31" s="3018"/>
      <c r="S31" s="3100"/>
      <c r="T31" s="3019"/>
      <c r="U31" s="3019"/>
      <c r="V31" s="3127"/>
    </row>
    <row r="32" spans="1:22" s="3128" customFormat="1" ht="13.15" customHeight="1">
      <c r="A32" s="3109">
        <v>4</v>
      </c>
      <c r="B32" s="3110" t="s">
        <v>2928</v>
      </c>
      <c r="C32" s="3111">
        <f>C23-C26-C29</f>
        <v>0</v>
      </c>
      <c r="D32" s="3112">
        <f>D23-D26-D29</f>
        <v>0</v>
      </c>
      <c r="E32" s="3113">
        <f>E23-E26-E29</f>
        <v>0</v>
      </c>
      <c r="F32" s="3114"/>
      <c r="G32" s="3108"/>
      <c r="H32" s="3026"/>
      <c r="I32" s="3027"/>
      <c r="J32" s="3500" t="s">
        <v>2820</v>
      </c>
      <c r="K32" s="3501"/>
      <c r="L32" s="3028" t="s">
        <v>2821</v>
      </c>
      <c r="M32" s="3028" t="s">
        <v>2822</v>
      </c>
      <c r="N32" s="3028" t="s">
        <v>2823</v>
      </c>
      <c r="O32" s="3028" t="s">
        <v>2824</v>
      </c>
      <c r="P32" s="3028" t="s">
        <v>2825</v>
      </c>
      <c r="Q32" s="3029" t="s">
        <v>2826</v>
      </c>
      <c r="R32" s="3151" t="s">
        <v>2827</v>
      </c>
      <c r="S32" s="3100"/>
      <c r="T32" s="3019"/>
      <c r="U32" s="3019"/>
      <c r="V32" s="3127"/>
    </row>
    <row r="33" spans="1:23" s="3031" customFormat="1" ht="13.15" customHeight="1">
      <c r="A33" s="3109"/>
      <c r="B33" s="3110"/>
      <c r="C33" s="3111"/>
      <c r="D33" s="3152"/>
      <c r="E33" s="3153"/>
      <c r="F33" s="3114"/>
      <c r="G33" s="3108"/>
      <c r="H33" s="3136"/>
      <c r="I33" s="3127"/>
      <c r="J33" s="3502" t="s">
        <v>2830</v>
      </c>
      <c r="K33" s="3503"/>
      <c r="L33" s="3034"/>
      <c r="M33" s="3034"/>
      <c r="N33" s="3034"/>
      <c r="O33" s="3034"/>
      <c r="P33" s="3034"/>
      <c r="Q33" s="3035"/>
      <c r="R33" s="3154">
        <f>SUM(L33:Q33)</f>
        <v>0</v>
      </c>
      <c r="S33" s="3100"/>
      <c r="T33" s="3019"/>
      <c r="U33" s="3019"/>
      <c r="V33" s="3027"/>
    </row>
    <row r="34" spans="1:23" s="3031" customFormat="1" ht="13.15" customHeight="1">
      <c r="A34" s="3109">
        <v>5</v>
      </c>
      <c r="B34" s="3110" t="s">
        <v>2929</v>
      </c>
      <c r="C34" s="3155"/>
      <c r="D34" s="3156"/>
      <c r="E34" s="3157"/>
      <c r="F34" s="3114"/>
      <c r="G34" s="3108"/>
      <c r="H34" s="3136"/>
      <c r="I34" s="3127"/>
      <c r="J34" s="3502" t="s">
        <v>2832</v>
      </c>
      <c r="K34" s="3503"/>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2930</v>
      </c>
      <c r="C35" s="3159"/>
      <c r="D35" s="3160"/>
      <c r="E35" s="3161"/>
      <c r="F35" s="3114"/>
      <c r="G35" s="3162"/>
      <c r="H35" s="3026"/>
      <c r="I35" s="3127"/>
      <c r="J35" s="3045" t="s">
        <v>2834</v>
      </c>
      <c r="K35" s="3046"/>
      <c r="L35" s="3046"/>
      <c r="M35" s="3047"/>
      <c r="N35" s="3047"/>
      <c r="O35" s="3047"/>
      <c r="P35" s="3047"/>
      <c r="Q35" s="3047"/>
      <c r="R35" s="3163">
        <f>R40+R41+R43</f>
        <v>0</v>
      </c>
      <c r="S35" s="3100"/>
      <c r="T35" s="3019" t="s">
        <v>2835</v>
      </c>
      <c r="U35" s="3019"/>
      <c r="V35" s="3027"/>
    </row>
    <row r="36" spans="1:23" s="3031" customFormat="1" ht="13.15" customHeight="1" thickBot="1">
      <c r="A36" s="3109">
        <v>7</v>
      </c>
      <c r="B36" s="3164" t="s">
        <v>2931</v>
      </c>
      <c r="C36" s="3165"/>
      <c r="D36" s="3166"/>
      <c r="E36" s="3167"/>
      <c r="F36" s="3168">
        <f>C36+D36+E36</f>
        <v>0</v>
      </c>
      <c r="G36" s="3108"/>
      <c r="H36" s="3026"/>
      <c r="I36" s="3027"/>
      <c r="J36" s="3494">
        <v>1</v>
      </c>
      <c r="K36" s="3495" t="s">
        <v>2932</v>
      </c>
      <c r="L36" s="3052"/>
      <c r="M36" s="3053"/>
      <c r="N36" s="3053"/>
      <c r="O36" s="3053"/>
      <c r="P36" s="3053"/>
      <c r="Q36" s="3053"/>
      <c r="R36" s="3036" t="s">
        <v>2844</v>
      </c>
      <c r="S36" s="3100"/>
      <c r="T36" s="3019" t="s">
        <v>2845</v>
      </c>
      <c r="U36" s="3019"/>
      <c r="V36" s="3027"/>
    </row>
    <row r="37" spans="1:23" s="3031" customFormat="1" ht="13.15" customHeight="1">
      <c r="A37" s="3109"/>
      <c r="B37" s="3110"/>
      <c r="C37" s="3110"/>
      <c r="D37" s="3110"/>
      <c r="E37" s="3110"/>
      <c r="F37" s="3114"/>
      <c r="G37" s="3108"/>
      <c r="H37" s="3026"/>
      <c r="I37" s="3027"/>
      <c r="J37" s="3494"/>
      <c r="K37" s="3496"/>
      <c r="L37" s="3061"/>
      <c r="M37" s="3062"/>
      <c r="N37" s="3038"/>
      <c r="O37" s="3063"/>
      <c r="P37" s="3063"/>
      <c r="Q37" s="3064"/>
      <c r="R37" s="3065"/>
      <c r="S37" s="3100"/>
      <c r="T37" s="3019" t="s">
        <v>2848</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94"/>
      <c r="K38" s="3496"/>
      <c r="L38" s="3061"/>
      <c r="M38" s="3062"/>
      <c r="N38" s="3038"/>
      <c r="O38" s="3063"/>
      <c r="P38" s="3063"/>
      <c r="Q38" s="3064"/>
      <c r="R38" s="3065"/>
      <c r="S38" s="3100"/>
      <c r="T38" s="3019" t="s">
        <v>2855</v>
      </c>
      <c r="U38" s="3019"/>
      <c r="V38" s="3027"/>
    </row>
    <row r="39" spans="1:23" s="3031" customFormat="1" ht="13.15" customHeight="1">
      <c r="A39" s="3109">
        <v>9</v>
      </c>
      <c r="B39" s="3110" t="s">
        <v>2933</v>
      </c>
      <c r="C39" s="3075" t="e">
        <f>C38</f>
        <v>#DIV/0!</v>
      </c>
      <c r="D39" s="3110">
        <f>D38/(1+D34)^C36</f>
        <v>0</v>
      </c>
      <c r="E39" s="3110">
        <f>E38/(1+E34)^(C36+D36)</f>
        <v>0</v>
      </c>
      <c r="F39" s="3114"/>
      <c r="G39" s="3169"/>
      <c r="H39" s="3026"/>
      <c r="I39" s="3027"/>
      <c r="J39" s="3494"/>
      <c r="K39" s="3496"/>
      <c r="L39" s="3061"/>
      <c r="M39" s="3062"/>
      <c r="N39" s="3038"/>
      <c r="O39" s="3063"/>
      <c r="P39" s="3063"/>
      <c r="Q39" s="3064"/>
      <c r="R39" s="3065"/>
      <c r="S39" s="3100"/>
      <c r="T39" s="3019"/>
      <c r="U39" s="3019"/>
      <c r="V39" s="3027"/>
    </row>
    <row r="40" spans="1:23" s="3031" customFormat="1" ht="13.15" customHeight="1">
      <c r="A40" s="3170">
        <v>10</v>
      </c>
      <c r="B40" s="3110" t="s">
        <v>2934</v>
      </c>
      <c r="C40" s="3171" t="e">
        <f>C39+D39+E39</f>
        <v>#DIV/0!</v>
      </c>
      <c r="D40" s="3172"/>
      <c r="E40" s="3172"/>
      <c r="F40" s="3173"/>
      <c r="G40" s="3108"/>
      <c r="H40" s="3026"/>
      <c r="I40" s="3027"/>
      <c r="J40" s="3494"/>
      <c r="K40" s="3497"/>
      <c r="L40" s="3081" t="s">
        <v>2873</v>
      </c>
      <c r="M40" s="3082"/>
      <c r="N40" s="3082"/>
      <c r="O40" s="3083"/>
      <c r="P40" s="3083"/>
      <c r="Q40" s="3084"/>
      <c r="R40" s="3030">
        <f>SUM(R37:R39)</f>
        <v>0</v>
      </c>
      <c r="S40" s="3100"/>
      <c r="T40" s="3019"/>
      <c r="U40" s="3019"/>
      <c r="V40" s="3027"/>
    </row>
    <row r="41" spans="1:23" s="3031" customFormat="1" ht="13.15" customHeight="1" thickBot="1">
      <c r="A41" s="3174">
        <v>11</v>
      </c>
      <c r="B41" s="3175" t="s">
        <v>2935</v>
      </c>
      <c r="C41" s="3175" t="e">
        <f>ROUND(C40*10000/B4,0)</f>
        <v>#DIV/0!</v>
      </c>
      <c r="D41" s="3176"/>
      <c r="E41" s="3176"/>
      <c r="F41" s="3177"/>
      <c r="G41" s="3178"/>
      <c r="H41" s="3026"/>
      <c r="I41" s="3027"/>
      <c r="J41" s="3122">
        <v>2</v>
      </c>
      <c r="K41" s="3123" t="s">
        <v>2913</v>
      </c>
      <c r="L41" s="3124"/>
      <c r="M41" s="3124"/>
      <c r="N41" s="3124"/>
      <c r="O41" s="3124"/>
      <c r="P41" s="3125"/>
      <c r="Q41" s="3126"/>
      <c r="R41" s="3097">
        <f>ROUND(R40*Q41,0)</f>
        <v>0</v>
      </c>
      <c r="S41" s="3100"/>
      <c r="T41" s="3019"/>
      <c r="U41" s="3134"/>
      <c r="V41" s="3027"/>
    </row>
    <row r="42" spans="1:23" s="3031" customFormat="1" ht="13.15" customHeight="1">
      <c r="G42" s="3178"/>
      <c r="H42" s="3026"/>
      <c r="I42" s="3027"/>
      <c r="J42" s="3498">
        <v>3</v>
      </c>
      <c r="K42" s="3129" t="s">
        <v>2915</v>
      </c>
      <c r="L42" s="3130"/>
      <c r="M42" s="3131"/>
      <c r="N42" s="3132" t="s">
        <v>2916</v>
      </c>
      <c r="O42" s="3132" t="s">
        <v>2917</v>
      </c>
      <c r="P42" s="3133" t="s">
        <v>2918</v>
      </c>
      <c r="Q42" s="3133" t="s">
        <v>2919</v>
      </c>
      <c r="R42" s="3036" t="s">
        <v>2844</v>
      </c>
      <c r="S42" s="3134"/>
      <c r="T42" s="3134"/>
      <c r="U42" s="3019"/>
      <c r="V42" s="3027"/>
    </row>
    <row r="43" spans="1:23" ht="13.15" customHeight="1">
      <c r="A43" s="3031"/>
      <c r="B43" s="3031"/>
      <c r="C43" s="3031"/>
      <c r="D43" s="3031"/>
      <c r="E43" s="3031"/>
      <c r="F43" s="3031"/>
      <c r="I43" s="3014"/>
      <c r="J43" s="3499"/>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2922</v>
      </c>
      <c r="L44" s="3182" t="s">
        <v>2923</v>
      </c>
      <c r="M44" s="3145"/>
      <c r="N44" s="3182" t="s">
        <v>2924</v>
      </c>
      <c r="O44" s="3145"/>
      <c r="P44" s="3182" t="s">
        <v>2925</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3"/>
      <c r="G1" s="1623"/>
      <c r="H1" s="1623"/>
      <c r="I1" s="1623"/>
      <c r="J1" s="1623"/>
      <c r="K1" s="1623"/>
      <c r="L1" s="1623"/>
      <c r="M1" s="1623"/>
      <c r="N1" s="1623"/>
      <c r="O1" s="1623"/>
      <c r="P1" s="1623"/>
      <c r="Q1" s="1623"/>
      <c r="R1" s="1623"/>
      <c r="S1" s="1623"/>
    </row>
    <row r="2" spans="1:22" ht="15.75">
      <c r="A2" s="2005" t="s">
        <v>1907</v>
      </c>
      <c r="B2" s="2006">
        <f ca="1">SUMIF(B6:B13,"&lt;&gt;#ref!",B6:B13)</f>
        <v>8714</v>
      </c>
      <c r="C2" s="2007" t="s">
        <v>2099</v>
      </c>
      <c r="D2" s="2008" t="s">
        <v>2100</v>
      </c>
      <c r="E2" s="2780">
        <f>SUM(E6:E13)</f>
        <v>13867.57</v>
      </c>
      <c r="F2" s="2883"/>
      <c r="G2" s="1623"/>
      <c r="H2" s="1623"/>
      <c r="I2" s="1623"/>
      <c r="J2" s="1623"/>
      <c r="K2" s="1623"/>
      <c r="L2" s="1623"/>
      <c r="M2" s="1623"/>
      <c r="N2" s="1623"/>
      <c r="O2" s="1623"/>
      <c r="P2" s="1623"/>
      <c r="Q2" s="1623"/>
      <c r="R2" s="1623"/>
      <c r="S2" s="1623"/>
    </row>
    <row r="3" spans="1:22" ht="15.75">
      <c r="A3" s="2005" t="s">
        <v>1119</v>
      </c>
      <c r="B3" s="2774">
        <f ca="1">ROUND(B2*10000/E2,0)</f>
        <v>6284</v>
      </c>
      <c r="C3" s="2007" t="s">
        <v>2107</v>
      </c>
      <c r="D3" s="2885"/>
      <c r="E3" s="2887"/>
      <c r="F3" s="2883"/>
      <c r="G3" s="1623"/>
      <c r="H3" s="1623"/>
      <c r="I3" s="1623"/>
      <c r="J3" s="1623"/>
      <c r="K3" s="1623"/>
      <c r="L3" s="1623"/>
      <c r="M3" s="1623"/>
      <c r="N3" s="1623"/>
      <c r="O3" s="1623"/>
      <c r="P3" s="1623"/>
      <c r="Q3" s="1623"/>
      <c r="R3" s="1623"/>
      <c r="S3" s="1623"/>
    </row>
    <row r="4" spans="1:22" ht="15.75">
      <c r="A4" s="2888"/>
      <c r="B4" s="2885"/>
      <c r="C4" s="2885"/>
      <c r="D4" s="2885"/>
      <c r="E4" s="2887"/>
      <c r="F4" s="2883"/>
      <c r="G4" s="1623"/>
      <c r="H4" s="1623"/>
      <c r="I4" s="1623"/>
      <c r="J4" s="1623"/>
      <c r="K4" s="1623"/>
      <c r="L4" s="1623"/>
      <c r="M4" s="1623"/>
      <c r="N4" s="1623"/>
      <c r="O4" s="1623"/>
      <c r="P4" s="1623"/>
      <c r="Q4" s="1623"/>
      <c r="R4" s="1623"/>
      <c r="S4" s="1623"/>
    </row>
    <row r="5" spans="1:22" ht="15">
      <c r="A5" s="2776" t="s">
        <v>2101</v>
      </c>
      <c r="B5" s="3513" t="s">
        <v>2102</v>
      </c>
      <c r="C5" s="3514"/>
      <c r="D5" s="2884"/>
      <c r="E5" s="2009" t="s">
        <v>2103</v>
      </c>
      <c r="F5" s="2010" t="s">
        <v>2104</v>
      </c>
      <c r="G5" s="1623"/>
      <c r="H5" s="1623"/>
      <c r="I5" s="1623"/>
      <c r="J5" s="1623"/>
      <c r="K5" s="1623"/>
      <c r="L5" s="1623"/>
      <c r="M5" s="1623"/>
      <c r="N5" s="1623"/>
      <c r="O5" s="1623"/>
      <c r="P5" s="1623"/>
      <c r="Q5" s="1623"/>
      <c r="R5" s="1623"/>
      <c r="S5" s="1623"/>
    </row>
    <row r="6" spans="1:22">
      <c r="A6" s="2777" t="str">
        <f>'数据-取费表'!AN6</f>
        <v>收益法</v>
      </c>
      <c r="B6" s="2775">
        <f ca="1">IF(F6="是",'数据-取费表'!AO6,0)</f>
        <v>8714</v>
      </c>
      <c r="C6" s="2007" t="s">
        <v>2099</v>
      </c>
      <c r="D6" s="2885"/>
      <c r="E6" s="2779">
        <f>IF(OR(A6=0,F6="否"),0,'数据-取费表'!K6+'数据-取费表'!S6)</f>
        <v>13867.57</v>
      </c>
      <c r="F6" s="2011" t="s">
        <v>2105</v>
      </c>
      <c r="G6" s="1623"/>
      <c r="H6" s="1623"/>
      <c r="I6" s="1623"/>
      <c r="J6" s="1623"/>
      <c r="K6" s="1623"/>
      <c r="L6" s="1623"/>
      <c r="M6" s="1623"/>
      <c r="N6" s="1623"/>
      <c r="O6" s="1623"/>
      <c r="P6" s="1623"/>
      <c r="Q6" s="1623"/>
      <c r="R6" s="1623"/>
      <c r="S6" s="1623"/>
    </row>
    <row r="7" spans="1:22">
      <c r="A7" s="2777">
        <f>'数据-取费表'!AN7</f>
        <v>0</v>
      </c>
      <c r="B7" s="2775" t="e">
        <f ca="1">IF(F7="是",'数据-取费表'!AO7,0)</f>
        <v>#REF!</v>
      </c>
      <c r="C7" s="2007" t="s">
        <v>2099</v>
      </c>
      <c r="D7" s="2885"/>
      <c r="E7" s="2779">
        <f>IF(OR(A7=0,F7="否"),0,'数据-取费表'!K7+'数据-取费表'!S7)</f>
        <v>0</v>
      </c>
      <c r="F7" s="2011" t="s">
        <v>2105</v>
      </c>
      <c r="G7" s="1623"/>
      <c r="H7" s="1623"/>
      <c r="I7" s="1623"/>
      <c r="J7" s="1623"/>
      <c r="K7" s="1623"/>
      <c r="L7" s="1623"/>
      <c r="M7" s="1623"/>
      <c r="N7" s="1623"/>
      <c r="O7" s="1623"/>
      <c r="P7" s="1623"/>
      <c r="Q7" s="1623"/>
      <c r="R7" s="1623"/>
      <c r="S7" s="1623"/>
    </row>
    <row r="8" spans="1:22">
      <c r="A8" s="2777">
        <f>'数据-取费表'!AN8</f>
        <v>0</v>
      </c>
      <c r="B8" s="2775" t="e">
        <f ca="1">IF(F8="是",'数据-取费表'!AO8,0)</f>
        <v>#REF!</v>
      </c>
      <c r="C8" s="2007" t="s">
        <v>2099</v>
      </c>
      <c r="D8" s="2885"/>
      <c r="E8" s="2779">
        <f>IF(OR(A8=0,F8="否"),0,'数据-取费表'!K8+'数据-取费表'!S8)</f>
        <v>0</v>
      </c>
      <c r="F8" s="2011" t="s">
        <v>2105</v>
      </c>
      <c r="G8" s="1623"/>
      <c r="H8" s="1623"/>
      <c r="I8" s="1623"/>
      <c r="J8" s="1623"/>
      <c r="K8" s="1623"/>
      <c r="L8" s="1623"/>
      <c r="M8" s="1623"/>
      <c r="N8" s="1623"/>
      <c r="O8" s="1623"/>
      <c r="P8" s="1623"/>
      <c r="Q8" s="1623"/>
      <c r="R8" s="1623"/>
      <c r="S8" s="1623"/>
    </row>
    <row r="9" spans="1:22">
      <c r="A9" s="2777">
        <f>'数据-取费表'!AN9</f>
        <v>0</v>
      </c>
      <c r="B9" s="2775" t="e">
        <f ca="1">IF(F9="是",'数据-取费表'!AO9,0)</f>
        <v>#REF!</v>
      </c>
      <c r="C9" s="2007" t="s">
        <v>2099</v>
      </c>
      <c r="D9" s="2885"/>
      <c r="E9" s="2779">
        <f>IF(OR(A9=0,F9="否"),0,'数据-取费表'!K9+'数据-取费表'!S9)</f>
        <v>0</v>
      </c>
      <c r="F9" s="2011" t="s">
        <v>2105</v>
      </c>
      <c r="G9" s="1623"/>
      <c r="H9" s="1623"/>
      <c r="I9" s="1623"/>
      <c r="J9" s="1623"/>
      <c r="K9" s="1623"/>
      <c r="L9" s="1623"/>
      <c r="M9" s="1623"/>
      <c r="N9" s="1623"/>
      <c r="O9" s="1623"/>
      <c r="P9" s="1623"/>
      <c r="Q9" s="1623"/>
      <c r="R9" s="1623"/>
      <c r="S9" s="1623"/>
    </row>
    <row r="10" spans="1:22">
      <c r="A10" s="2777">
        <f>'数据-取费表'!AN10</f>
        <v>0</v>
      </c>
      <c r="B10" s="2775" t="e">
        <f ca="1">IF(F10="是",'数据-取费表'!AO10,0)</f>
        <v>#REF!</v>
      </c>
      <c r="C10" s="2007" t="s">
        <v>2099</v>
      </c>
      <c r="D10" s="2885"/>
      <c r="E10" s="2779">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7">
        <f>'数据-取费表'!AN11</f>
        <v>0</v>
      </c>
      <c r="B11" s="2775" t="e">
        <f ca="1">IF(F11="是",'数据-取费表'!AO11,0)</f>
        <v>#REF!</v>
      </c>
      <c r="C11" s="2007" t="s">
        <v>2099</v>
      </c>
      <c r="D11" s="2885"/>
      <c r="E11" s="2779">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7">
        <f>'数据-取费表'!AN12</f>
        <v>0</v>
      </c>
      <c r="B12" s="2775" t="e">
        <f ca="1">IF(F12="是",'数据-取费表'!AO12,0)</f>
        <v>#REF!</v>
      </c>
      <c r="C12" s="2007" t="s">
        <v>2099</v>
      </c>
      <c r="D12" s="2885"/>
      <c r="E12" s="2779">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8">
        <f>'数据-取费表'!AN13</f>
        <v>0</v>
      </c>
      <c r="B13" s="2775" t="e">
        <f ca="1">IF(F13="是",'数据-取费表'!AO13,0)</f>
        <v>#REF!</v>
      </c>
      <c r="C13" s="2012" t="s">
        <v>2099</v>
      </c>
      <c r="D13" s="2886"/>
      <c r="E13" s="2779">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2"/>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9"/>
      <c r="M2" s="2890"/>
      <c r="N2" s="2890"/>
      <c r="O2" s="2890"/>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13867.57</v>
      </c>
      <c r="E3" s="1018"/>
      <c r="F3" s="2023"/>
      <c r="G3" s="1018"/>
      <c r="H3" s="1018"/>
      <c r="I3" s="1018"/>
      <c r="J3" s="1018"/>
      <c r="K3" s="2019"/>
      <c r="L3" s="2889"/>
      <c r="M3" s="2890"/>
      <c r="N3" s="2890"/>
      <c r="O3" s="2890"/>
      <c r="P3" s="2020"/>
      <c r="Q3" s="2021"/>
      <c r="R3" s="2021"/>
      <c r="S3" s="2021"/>
      <c r="T3" s="2021"/>
      <c r="U3" s="2021"/>
      <c r="V3" s="2021"/>
      <c r="W3" s="2021"/>
      <c r="X3" s="2021"/>
      <c r="Y3" s="2021"/>
      <c r="Z3" s="2021"/>
      <c r="AA3" s="2021"/>
      <c r="AB3" s="2021"/>
      <c r="AC3" s="1172"/>
    </row>
    <row r="4" spans="1:29" ht="15">
      <c r="A4" s="360" t="s">
        <v>2115</v>
      </c>
      <c r="B4" s="361"/>
      <c r="C4" s="3447" t="s">
        <v>2116</v>
      </c>
      <c r="D4" s="3459"/>
      <c r="E4" s="3460" t="s">
        <v>2117</v>
      </c>
      <c r="F4" s="3461"/>
      <c r="G4" s="3447" t="s">
        <v>2118</v>
      </c>
      <c r="H4" s="3459"/>
      <c r="I4" s="3447" t="s">
        <v>2119</v>
      </c>
      <c r="J4" s="3459"/>
      <c r="K4" s="2024" t="s">
        <v>2120</v>
      </c>
      <c r="L4" s="2891"/>
      <c r="M4" s="2892"/>
      <c r="N4" s="2892"/>
      <c r="O4" s="2892"/>
      <c r="P4" s="3462" t="s">
        <v>2121</v>
      </c>
      <c r="Q4" s="3463"/>
      <c r="R4" s="3468" t="s">
        <v>2117</v>
      </c>
      <c r="S4" s="3469"/>
      <c r="T4" s="3468" t="s">
        <v>2118</v>
      </c>
      <c r="U4" s="3469"/>
      <c r="V4" s="3455" t="s">
        <v>2119</v>
      </c>
      <c r="W4" s="3455"/>
      <c r="X4" s="1488"/>
      <c r="Y4" s="3468" t="s">
        <v>2121</v>
      </c>
      <c r="Z4" s="3469"/>
      <c r="AA4" s="3456" t="s">
        <v>2117</v>
      </c>
      <c r="AB4" s="3456" t="s">
        <v>2118</v>
      </c>
      <c r="AC4" s="3456" t="s">
        <v>2119</v>
      </c>
    </row>
    <row r="5" spans="1:29" ht="15">
      <c r="A5" s="363"/>
      <c r="B5" s="364"/>
      <c r="C5" s="3476" t="s">
        <v>2122</v>
      </c>
      <c r="D5" s="3477"/>
      <c r="E5" s="3483" t="s">
        <v>2123</v>
      </c>
      <c r="F5" s="3484"/>
      <c r="G5" s="3476" t="s">
        <v>2124</v>
      </c>
      <c r="H5" s="3477"/>
      <c r="I5" s="3476" t="s">
        <v>2125</v>
      </c>
      <c r="J5" s="3477"/>
      <c r="K5" s="2025"/>
      <c r="L5" s="2891"/>
      <c r="M5" s="2892"/>
      <c r="N5" s="2892"/>
      <c r="O5" s="2892"/>
      <c r="P5" s="3464"/>
      <c r="Q5" s="3465"/>
      <c r="R5" s="3470"/>
      <c r="S5" s="3471"/>
      <c r="T5" s="3470"/>
      <c r="U5" s="3471"/>
      <c r="V5" s="3455"/>
      <c r="W5" s="3455"/>
      <c r="X5" s="1488"/>
      <c r="Y5" s="3470"/>
      <c r="Z5" s="3471"/>
      <c r="AA5" s="3457"/>
      <c r="AB5" s="3457"/>
      <c r="AC5" s="3457"/>
    </row>
    <row r="6" spans="1:29" ht="15.75" thickBot="1">
      <c r="A6" s="365"/>
      <c r="B6" s="366"/>
      <c r="C6" s="3474" t="s">
        <v>2126</v>
      </c>
      <c r="D6" s="3475"/>
      <c r="E6" s="3481" t="s">
        <v>2126</v>
      </c>
      <c r="F6" s="3482"/>
      <c r="G6" s="3474" t="s">
        <v>2126</v>
      </c>
      <c r="H6" s="3475"/>
      <c r="I6" s="3474" t="s">
        <v>2126</v>
      </c>
      <c r="J6" s="3475"/>
      <c r="K6" s="2025" t="s">
        <v>2127</v>
      </c>
      <c r="L6" s="2891"/>
      <c r="M6" s="2892"/>
      <c r="N6" s="2892"/>
      <c r="O6" s="2892"/>
      <c r="P6" s="3466"/>
      <c r="Q6" s="3467"/>
      <c r="R6" s="3470"/>
      <c r="S6" s="3471"/>
      <c r="T6" s="3472"/>
      <c r="U6" s="3473"/>
      <c r="V6" s="3455"/>
      <c r="W6" s="3455"/>
      <c r="X6" s="1488"/>
      <c r="Y6" s="3472"/>
      <c r="Z6" s="3473"/>
      <c r="AA6" s="3458"/>
      <c r="AB6" s="3458"/>
      <c r="AC6" s="3458"/>
    </row>
    <row r="7" spans="1:29" s="113" customFormat="1" ht="15.75" thickBot="1">
      <c r="A7" s="367" t="s">
        <v>2128</v>
      </c>
      <c r="B7" s="368"/>
      <c r="C7" s="369">
        <f>'数据-取费表'!B2</f>
        <v>44781</v>
      </c>
      <c r="D7" s="370">
        <v>100</v>
      </c>
      <c r="E7" s="371"/>
      <c r="F7" s="372">
        <f>SUMIF(58:58,YEAR(E7)&amp;"-"&amp;MONTH(E7),59:59)</f>
        <v>0</v>
      </c>
      <c r="G7" s="371"/>
      <c r="H7" s="370">
        <f>SUMIF(58:58,YEAR(G7)&amp;"-"&amp;MONTH(G7),59:59)</f>
        <v>0</v>
      </c>
      <c r="I7" s="371"/>
      <c r="J7" s="370">
        <f>SUMIF(58:58,YEAR(I7)&amp;"-"&amp;MONTH(I7),59:59)</f>
        <v>0</v>
      </c>
      <c r="K7" s="2026"/>
      <c r="L7" s="2893"/>
      <c r="M7" s="2894"/>
      <c r="N7" s="2894"/>
      <c r="O7" s="2894"/>
      <c r="P7" s="3478" t="s">
        <v>2129</v>
      </c>
      <c r="Q7" s="3480"/>
      <c r="R7" s="709" t="s">
        <v>23</v>
      </c>
      <c r="S7" s="710">
        <f t="shared" ref="S7:S15" si="0">F7</f>
        <v>0</v>
      </c>
      <c r="T7" s="709" t="s">
        <v>23</v>
      </c>
      <c r="U7" s="710">
        <f t="shared" ref="U7:U15" si="1">H7</f>
        <v>0</v>
      </c>
      <c r="V7" s="709" t="s">
        <v>23</v>
      </c>
      <c r="W7" s="710">
        <f t="shared" ref="W7:W15" si="2">J7</f>
        <v>0</v>
      </c>
      <c r="X7" s="711"/>
      <c r="Y7" s="3478" t="s">
        <v>2129</v>
      </c>
      <c r="Z7" s="3479"/>
      <c r="AA7" s="712" t="e">
        <f>D7/F7</f>
        <v>#DIV/0!</v>
      </c>
      <c r="AB7" s="712" t="e">
        <f>D7/H7</f>
        <v>#DIV/0!</v>
      </c>
      <c r="AC7" s="712" t="e">
        <f>D7/J7</f>
        <v>#DIV/0!</v>
      </c>
    </row>
    <row r="8" spans="1:29" s="113"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3"/>
      <c r="M8" s="2894"/>
      <c r="N8" s="2894"/>
      <c r="O8" s="2894"/>
      <c r="P8" s="3478" t="s">
        <v>2132</v>
      </c>
      <c r="Q8" s="3479"/>
      <c r="R8" s="709" t="s">
        <v>23</v>
      </c>
      <c r="S8" s="710">
        <f t="shared" si="0"/>
        <v>0</v>
      </c>
      <c r="T8" s="709" t="s">
        <v>23</v>
      </c>
      <c r="U8" s="710">
        <f t="shared" si="1"/>
        <v>0</v>
      </c>
      <c r="V8" s="709" t="s">
        <v>23</v>
      </c>
      <c r="W8" s="710">
        <f t="shared" si="2"/>
        <v>0</v>
      </c>
      <c r="X8" s="711"/>
      <c r="Y8" s="3478" t="s">
        <v>2132</v>
      </c>
      <c r="Z8" s="3479"/>
      <c r="AA8" s="712" t="e">
        <f t="shared" ref="AA8:AA19" si="3">D8/F8</f>
        <v>#DIV/0!</v>
      </c>
      <c r="AB8" s="712" t="e">
        <f t="shared" ref="AB8:AB19" si="4">D8/H8</f>
        <v>#DIV/0!</v>
      </c>
      <c r="AC8" s="712" t="e">
        <f t="shared" ref="AC8:AC19" si="5">D8/J8</f>
        <v>#DIV/0!</v>
      </c>
    </row>
    <row r="9" spans="1:29" s="113"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6"/>
      <c r="L9" s="2893"/>
      <c r="M9" s="2894"/>
      <c r="N9" s="2894"/>
      <c r="O9" s="2894"/>
      <c r="P9" s="3449"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5"/>
      <c r="M10" s="2896"/>
      <c r="N10" s="2896"/>
      <c r="O10" s="2896"/>
      <c r="P10" s="3449"/>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7"/>
      <c r="M11" s="2892"/>
      <c r="N11" s="2892"/>
      <c r="O11" s="2892"/>
      <c r="P11" s="3449"/>
      <c r="Q11" s="1476" t="str">
        <f t="shared" si="6"/>
        <v>容积率</v>
      </c>
      <c r="R11" s="709" t="s">
        <v>21</v>
      </c>
      <c r="S11" s="710" t="e">
        <f t="shared" si="0"/>
        <v>#N/A</v>
      </c>
      <c r="T11" s="709" t="s">
        <v>21</v>
      </c>
      <c r="U11" s="710" t="e">
        <f t="shared" si="1"/>
        <v>#N/A</v>
      </c>
      <c r="V11" s="709" t="s">
        <v>21</v>
      </c>
      <c r="W11" s="710" t="e">
        <f t="shared" si="2"/>
        <v>#N/A</v>
      </c>
      <c r="X11" s="711"/>
      <c r="Y11" s="3344"/>
      <c r="Z11" s="55" t="str">
        <f t="shared" si="7"/>
        <v>容积率</v>
      </c>
      <c r="AA11" s="712" t="e">
        <f t="shared" si="3"/>
        <v>#N/A</v>
      </c>
      <c r="AB11" s="712" t="e">
        <f t="shared" si="4"/>
        <v>#N/A</v>
      </c>
      <c r="AC11" s="712" t="e">
        <f t="shared" si="5"/>
        <v>#N/A</v>
      </c>
    </row>
    <row r="12" spans="1:29" s="113"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3"/>
      <c r="M12" s="2894"/>
      <c r="N12" s="2894"/>
      <c r="O12" s="2894"/>
      <c r="P12" s="3449"/>
      <c r="Q12" s="1476">
        <f t="shared" si="6"/>
        <v>111</v>
      </c>
      <c r="R12" s="709" t="s">
        <v>21</v>
      </c>
      <c r="S12" s="710">
        <f t="shared" si="0"/>
        <v>100</v>
      </c>
      <c r="T12" s="709" t="s">
        <v>21</v>
      </c>
      <c r="U12" s="710">
        <f t="shared" si="1"/>
        <v>100</v>
      </c>
      <c r="V12" s="709" t="s">
        <v>21</v>
      </c>
      <c r="W12" s="710">
        <f t="shared" si="2"/>
        <v>100</v>
      </c>
      <c r="X12" s="711"/>
      <c r="Y12" s="3344"/>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8"/>
      <c r="M13" s="2892"/>
      <c r="N13" s="2892"/>
      <c r="O13" s="2892"/>
      <c r="P13" s="3449"/>
      <c r="Q13" s="1476">
        <f t="shared" si="6"/>
        <v>111</v>
      </c>
      <c r="R13" s="709" t="s">
        <v>21</v>
      </c>
      <c r="S13" s="710">
        <f t="shared" si="0"/>
        <v>100</v>
      </c>
      <c r="T13" s="709" t="s">
        <v>21</v>
      </c>
      <c r="U13" s="710">
        <f t="shared" si="1"/>
        <v>100</v>
      </c>
      <c r="V13" s="709" t="s">
        <v>21</v>
      </c>
      <c r="W13" s="710">
        <f t="shared" si="2"/>
        <v>100</v>
      </c>
      <c r="X13" s="711"/>
      <c r="Y13" s="3344"/>
      <c r="Z13" s="55">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8"/>
      <c r="M14" s="2892"/>
      <c r="N14" s="2892"/>
      <c r="O14" s="2892"/>
      <c r="P14" s="3449"/>
      <c r="Q14" s="1476">
        <f t="shared" si="6"/>
        <v>111</v>
      </c>
      <c r="R14" s="709" t="s">
        <v>21</v>
      </c>
      <c r="S14" s="710">
        <f t="shared" si="0"/>
        <v>100</v>
      </c>
      <c r="T14" s="709" t="s">
        <v>21</v>
      </c>
      <c r="U14" s="710">
        <f t="shared" si="1"/>
        <v>100</v>
      </c>
      <c r="V14" s="709" t="s">
        <v>21</v>
      </c>
      <c r="W14" s="710">
        <f t="shared" si="2"/>
        <v>100</v>
      </c>
      <c r="X14" s="711"/>
      <c r="Y14" s="3344"/>
      <c r="Z14" s="55">
        <f t="shared" si="7"/>
        <v>111</v>
      </c>
      <c r="AA14" s="712">
        <f t="shared" si="3"/>
        <v>1</v>
      </c>
      <c r="AB14" s="712">
        <f t="shared" si="4"/>
        <v>1</v>
      </c>
      <c r="AC14" s="712">
        <f t="shared" si="5"/>
        <v>1</v>
      </c>
    </row>
    <row r="15" spans="1:29" ht="99.75">
      <c r="A15" s="398" t="s">
        <v>2139</v>
      </c>
      <c r="B15" s="65" t="s">
        <v>1702</v>
      </c>
      <c r="C15" s="203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8"/>
      <c r="M15" s="2892"/>
      <c r="N15" s="2892"/>
      <c r="O15" s="2892"/>
      <c r="P15" s="3521" t="s">
        <v>2140</v>
      </c>
      <c r="Q15" s="1485" t="str">
        <f t="shared" si="6"/>
        <v>居住社区成熟度</v>
      </c>
      <c r="R15" s="713" t="s">
        <v>21</v>
      </c>
      <c r="S15" s="714">
        <f t="shared" si="0"/>
        <v>100</v>
      </c>
      <c r="T15" s="713" t="s">
        <v>21</v>
      </c>
      <c r="U15" s="714">
        <f t="shared" si="1"/>
        <v>100</v>
      </c>
      <c r="V15" s="713" t="s">
        <v>21</v>
      </c>
      <c r="W15" s="714">
        <f t="shared" si="2"/>
        <v>100</v>
      </c>
      <c r="X15" s="1488"/>
      <c r="Y15" s="3451"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8"/>
      <c r="M16" s="2892"/>
      <c r="N16" s="2892"/>
      <c r="O16" s="2892"/>
      <c r="P16" s="3522"/>
      <c r="Q16" s="1485"/>
      <c r="R16" s="713"/>
      <c r="S16" s="714"/>
      <c r="T16" s="713"/>
      <c r="U16" s="714"/>
      <c r="V16" s="713"/>
      <c r="W16" s="714"/>
      <c r="X16" s="1488"/>
      <c r="Y16" s="3452"/>
      <c r="Z16" s="1489"/>
      <c r="AA16" s="1486">
        <v>1</v>
      </c>
      <c r="AB16" s="1486">
        <v>1</v>
      </c>
      <c r="AC16" s="1486">
        <v>1</v>
      </c>
    </row>
    <row r="17" spans="1:29" ht="85.5">
      <c r="A17" s="386"/>
      <c r="B17" s="409" t="s">
        <v>1704</v>
      </c>
      <c r="C17" s="203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8"/>
      <c r="M17" s="2892"/>
      <c r="N17" s="2892"/>
      <c r="O17" s="2892"/>
      <c r="P17" s="3522"/>
      <c r="Q17" s="1485" t="str">
        <f>B17</f>
        <v>交通便捷度</v>
      </c>
      <c r="R17" s="713" t="s">
        <v>21</v>
      </c>
      <c r="S17" s="714">
        <f>F17</f>
        <v>100</v>
      </c>
      <c r="T17" s="713" t="s">
        <v>21</v>
      </c>
      <c r="U17" s="714">
        <f>H17</f>
        <v>100</v>
      </c>
      <c r="V17" s="713" t="s">
        <v>21</v>
      </c>
      <c r="W17" s="714">
        <f>J17</f>
        <v>100</v>
      </c>
      <c r="X17" s="1488"/>
      <c r="Y17" s="3452"/>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8"/>
      <c r="M18" s="2892"/>
      <c r="N18" s="2892"/>
      <c r="O18" s="2892"/>
      <c r="P18" s="3522"/>
      <c r="Q18" s="1485"/>
      <c r="R18" s="713"/>
      <c r="S18" s="714"/>
      <c r="T18" s="713"/>
      <c r="U18" s="714"/>
      <c r="V18" s="713"/>
      <c r="W18" s="714"/>
      <c r="X18" s="1488"/>
      <c r="Y18" s="3452"/>
      <c r="Z18" s="1489"/>
      <c r="AA18" s="1486">
        <v>1</v>
      </c>
      <c r="AB18" s="1486">
        <v>1</v>
      </c>
      <c r="AC18" s="1486">
        <v>1</v>
      </c>
    </row>
    <row r="19" spans="1:29" ht="42.75">
      <c r="A19" s="386"/>
      <c r="B19" s="409" t="s">
        <v>1703</v>
      </c>
      <c r="C19" s="203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8"/>
      <c r="M19" s="2892"/>
      <c r="N19" s="2892"/>
      <c r="O19" s="2892"/>
      <c r="P19" s="3522"/>
      <c r="Q19" s="1485" t="str">
        <f>B19</f>
        <v>公共配套设施</v>
      </c>
      <c r="R19" s="713" t="s">
        <v>21</v>
      </c>
      <c r="S19" s="714">
        <f>F19</f>
        <v>100</v>
      </c>
      <c r="T19" s="713" t="s">
        <v>21</v>
      </c>
      <c r="U19" s="714">
        <f>H19</f>
        <v>100</v>
      </c>
      <c r="V19" s="713" t="s">
        <v>21</v>
      </c>
      <c r="W19" s="714">
        <f>J19</f>
        <v>100</v>
      </c>
      <c r="X19" s="1488"/>
      <c r="Y19" s="3452"/>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8"/>
      <c r="M20" s="2892"/>
      <c r="N20" s="2892"/>
      <c r="O20" s="2892"/>
      <c r="P20" s="3522"/>
      <c r="Q20" s="1485"/>
      <c r="R20" s="713"/>
      <c r="S20" s="714"/>
      <c r="T20" s="713"/>
      <c r="U20" s="714"/>
      <c r="V20" s="713"/>
      <c r="W20" s="714"/>
      <c r="X20" s="1488"/>
      <c r="Y20" s="3452"/>
      <c r="Z20" s="1489"/>
      <c r="AA20" s="1486">
        <v>1</v>
      </c>
      <c r="AB20" s="1486">
        <v>1</v>
      </c>
      <c r="AC20" s="1486">
        <v>1</v>
      </c>
    </row>
    <row r="21" spans="1:29" ht="28.5">
      <c r="A21" s="386"/>
      <c r="B21" s="1245" t="s">
        <v>1705</v>
      </c>
      <c r="C21" s="203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8"/>
      <c r="M21" s="2892"/>
      <c r="N21" s="2892"/>
      <c r="O21" s="2892"/>
      <c r="P21" s="3522"/>
      <c r="Q21" s="1485" t="str">
        <f>B21</f>
        <v>基础设施水平</v>
      </c>
      <c r="R21" s="713" t="s">
        <v>17</v>
      </c>
      <c r="S21" s="714">
        <f>F21</f>
        <v>100</v>
      </c>
      <c r="T21" s="713" t="s">
        <v>17</v>
      </c>
      <c r="U21" s="714">
        <f>H21</f>
        <v>100</v>
      </c>
      <c r="V21" s="713" t="s">
        <v>17</v>
      </c>
      <c r="W21" s="714">
        <f>J21</f>
        <v>100</v>
      </c>
      <c r="X21" s="1488"/>
      <c r="Y21" s="3452"/>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8"/>
      <c r="M22" s="2892"/>
      <c r="N22" s="2892"/>
      <c r="O22" s="2892"/>
      <c r="P22" s="3522"/>
      <c r="Q22" s="1485"/>
      <c r="R22" s="713"/>
      <c r="S22" s="714"/>
      <c r="T22" s="713"/>
      <c r="U22" s="714"/>
      <c r="V22" s="713"/>
      <c r="W22" s="714"/>
      <c r="X22" s="1488"/>
      <c r="Y22" s="3452"/>
      <c r="Z22" s="1489"/>
      <c r="AA22" s="1486">
        <v>1</v>
      </c>
      <c r="AB22" s="1486">
        <v>1</v>
      </c>
      <c r="AC22" s="1486">
        <v>1</v>
      </c>
    </row>
    <row r="23" spans="1:29" ht="57">
      <c r="A23" s="386"/>
      <c r="B23" s="409" t="s">
        <v>1706</v>
      </c>
      <c r="C23" s="203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8"/>
      <c r="M23" s="2892"/>
      <c r="N23" s="2892"/>
      <c r="O23" s="2892"/>
      <c r="P23" s="3522"/>
      <c r="Q23" s="1485" t="str">
        <f>B23</f>
        <v>自然及人文环境</v>
      </c>
      <c r="R23" s="713" t="s">
        <v>21</v>
      </c>
      <c r="S23" s="714">
        <f>F23</f>
        <v>100</v>
      </c>
      <c r="T23" s="713" t="s">
        <v>21</v>
      </c>
      <c r="U23" s="714">
        <f>H23</f>
        <v>100</v>
      </c>
      <c r="V23" s="713" t="s">
        <v>21</v>
      </c>
      <c r="W23" s="714">
        <f>J23</f>
        <v>100</v>
      </c>
      <c r="X23" s="1488"/>
      <c r="Y23" s="3452"/>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8"/>
      <c r="M24" s="2892"/>
      <c r="N24" s="2892"/>
      <c r="O24" s="2892"/>
      <c r="P24" s="3522"/>
      <c r="Q24" s="1485"/>
      <c r="R24" s="713"/>
      <c r="S24" s="714"/>
      <c r="T24" s="713"/>
      <c r="U24" s="714"/>
      <c r="V24" s="713"/>
      <c r="W24" s="714"/>
      <c r="X24" s="1488"/>
      <c r="Y24" s="3452"/>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8"/>
      <c r="M25" s="2892"/>
      <c r="N25" s="2892"/>
      <c r="O25" s="2892"/>
      <c r="P25" s="3522"/>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52"/>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8"/>
      <c r="M26" s="2892"/>
      <c r="N26" s="2892"/>
      <c r="O26" s="2892"/>
      <c r="P26" s="3522"/>
      <c r="Q26" s="1485" t="str">
        <f t="shared" si="11"/>
        <v>朝向</v>
      </c>
      <c r="R26" s="713" t="s">
        <v>21</v>
      </c>
      <c r="S26" s="714">
        <f t="shared" si="12"/>
        <v>100</v>
      </c>
      <c r="T26" s="713" t="s">
        <v>21</v>
      </c>
      <c r="U26" s="714">
        <f t="shared" si="13"/>
        <v>100</v>
      </c>
      <c r="V26" s="713" t="s">
        <v>21</v>
      </c>
      <c r="W26" s="714">
        <f t="shared" si="14"/>
        <v>100</v>
      </c>
      <c r="X26" s="1488"/>
      <c r="Y26" s="3452"/>
      <c r="Z26" s="1489" t="str">
        <f>Q26</f>
        <v>朝向</v>
      </c>
      <c r="AA26" s="1486">
        <f t="shared" si="15"/>
        <v>1</v>
      </c>
      <c r="AB26" s="1486">
        <f t="shared" si="16"/>
        <v>1</v>
      </c>
      <c r="AC26" s="1486">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3"/>
      <c r="M27" s="2894"/>
      <c r="N27" s="2894"/>
      <c r="O27" s="2894"/>
      <c r="P27" s="3522"/>
      <c r="Q27" s="1476">
        <f t="shared" si="11"/>
        <v>111</v>
      </c>
      <c r="R27" s="709" t="s">
        <v>21</v>
      </c>
      <c r="S27" s="710">
        <f t="shared" si="12"/>
        <v>100</v>
      </c>
      <c r="T27" s="709" t="s">
        <v>21</v>
      </c>
      <c r="U27" s="710">
        <f t="shared" si="13"/>
        <v>100</v>
      </c>
      <c r="V27" s="709" t="s">
        <v>21</v>
      </c>
      <c r="W27" s="710">
        <f t="shared" si="14"/>
        <v>100</v>
      </c>
      <c r="X27" s="711"/>
      <c r="Y27" s="3452"/>
      <c r="Z27" s="55">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8"/>
      <c r="M28" s="2892"/>
      <c r="N28" s="2892"/>
      <c r="O28" s="2892"/>
      <c r="P28" s="3522"/>
      <c r="Q28" s="1485">
        <f t="shared" si="11"/>
        <v>111</v>
      </c>
      <c r="R28" s="713" t="s">
        <v>21</v>
      </c>
      <c r="S28" s="714">
        <f t="shared" si="12"/>
        <v>100</v>
      </c>
      <c r="T28" s="713" t="s">
        <v>21</v>
      </c>
      <c r="U28" s="714">
        <f t="shared" si="13"/>
        <v>100</v>
      </c>
      <c r="V28" s="713" t="s">
        <v>21</v>
      </c>
      <c r="W28" s="714">
        <f t="shared" si="14"/>
        <v>100</v>
      </c>
      <c r="X28" s="1488"/>
      <c r="Y28" s="3452"/>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8"/>
      <c r="M29" s="2892"/>
      <c r="N29" s="2892"/>
      <c r="O29" s="2892"/>
      <c r="P29" s="3522"/>
      <c r="Q29" s="1485">
        <f t="shared" si="11"/>
        <v>111</v>
      </c>
      <c r="R29" s="713" t="s">
        <v>21</v>
      </c>
      <c r="S29" s="714">
        <f t="shared" si="12"/>
        <v>100</v>
      </c>
      <c r="T29" s="713" t="s">
        <v>21</v>
      </c>
      <c r="U29" s="714">
        <f t="shared" si="13"/>
        <v>100</v>
      </c>
      <c r="V29" s="713" t="s">
        <v>21</v>
      </c>
      <c r="W29" s="714">
        <f t="shared" si="14"/>
        <v>100</v>
      </c>
      <c r="X29" s="1488"/>
      <c r="Y29" s="3452"/>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8"/>
      <c r="M30" s="2892"/>
      <c r="N30" s="2892"/>
      <c r="O30" s="2892"/>
      <c r="P30" s="3522"/>
      <c r="Q30" s="1485">
        <f t="shared" si="11"/>
        <v>111</v>
      </c>
      <c r="R30" s="713" t="s">
        <v>21</v>
      </c>
      <c r="S30" s="714">
        <f t="shared" si="12"/>
        <v>100</v>
      </c>
      <c r="T30" s="713" t="s">
        <v>21</v>
      </c>
      <c r="U30" s="714">
        <f t="shared" si="13"/>
        <v>100</v>
      </c>
      <c r="V30" s="713" t="s">
        <v>21</v>
      </c>
      <c r="W30" s="714">
        <f t="shared" si="14"/>
        <v>100</v>
      </c>
      <c r="X30" s="1488"/>
      <c r="Y30" s="3452"/>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8"/>
      <c r="M31" s="2892"/>
      <c r="N31" s="2892"/>
      <c r="O31" s="2892"/>
      <c r="P31" s="3522"/>
      <c r="Q31" s="1485">
        <f t="shared" si="11"/>
        <v>111</v>
      </c>
      <c r="R31" s="713" t="s">
        <v>21</v>
      </c>
      <c r="S31" s="714">
        <f t="shared" si="12"/>
        <v>100</v>
      </c>
      <c r="T31" s="713" t="s">
        <v>21</v>
      </c>
      <c r="U31" s="714">
        <f t="shared" si="13"/>
        <v>100</v>
      </c>
      <c r="V31" s="713" t="s">
        <v>21</v>
      </c>
      <c r="W31" s="714">
        <f t="shared" si="14"/>
        <v>100</v>
      </c>
      <c r="X31" s="1488"/>
      <c r="Y31" s="3452"/>
      <c r="Z31" s="1489">
        <f t="shared" si="18"/>
        <v>111</v>
      </c>
      <c r="AA31" s="1486">
        <f t="shared" si="15"/>
        <v>1</v>
      </c>
      <c r="AB31" s="1486">
        <f t="shared" si="16"/>
        <v>1</v>
      </c>
      <c r="AC31" s="1486">
        <f t="shared" si="17"/>
        <v>1</v>
      </c>
    </row>
    <row r="32" spans="1:29" ht="15">
      <c r="A32" s="398" t="s">
        <v>2143</v>
      </c>
      <c r="B32" s="67"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8"/>
      <c r="M32" s="2892"/>
      <c r="N32" s="2892"/>
      <c r="O32" s="2892"/>
      <c r="P32" s="3517" t="s">
        <v>2145</v>
      </c>
      <c r="Q32" s="1485" t="str">
        <f t="shared" si="11"/>
        <v>建筑类型</v>
      </c>
      <c r="R32" s="713" t="s">
        <v>21</v>
      </c>
      <c r="S32" s="714">
        <f t="shared" si="12"/>
        <v>100</v>
      </c>
      <c r="T32" s="713" t="s">
        <v>21</v>
      </c>
      <c r="U32" s="714">
        <f t="shared" si="13"/>
        <v>100</v>
      </c>
      <c r="V32" s="713" t="s">
        <v>21</v>
      </c>
      <c r="W32" s="714">
        <f t="shared" si="14"/>
        <v>100</v>
      </c>
      <c r="X32" s="1488"/>
      <c r="Y32" s="3454"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7"/>
      <c r="M33" s="2899"/>
      <c r="N33" s="2899"/>
      <c r="O33" s="2899"/>
      <c r="P33" s="3518"/>
      <c r="Q33" s="715" t="str">
        <f t="shared" si="11"/>
        <v>项目建筑规模</v>
      </c>
      <c r="R33" s="716" t="s">
        <v>21</v>
      </c>
      <c r="S33" s="717" t="e">
        <f t="shared" si="12"/>
        <v>#N/A</v>
      </c>
      <c r="T33" s="716" t="s">
        <v>21</v>
      </c>
      <c r="U33" s="717" t="e">
        <f t="shared" si="13"/>
        <v>#N/A</v>
      </c>
      <c r="V33" s="716" t="s">
        <v>21</v>
      </c>
      <c r="W33" s="717" t="e">
        <f t="shared" si="14"/>
        <v>#N/A</v>
      </c>
      <c r="X33" s="718"/>
      <c r="Y33" s="3454"/>
      <c r="Z33" s="719"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8"/>
      <c r="M34" s="2892"/>
      <c r="N34" s="2892"/>
      <c r="O34" s="2892"/>
      <c r="P34" s="3518"/>
      <c r="Q34" s="1485" t="str">
        <f t="shared" si="11"/>
        <v>建筑结构</v>
      </c>
      <c r="R34" s="713" t="s">
        <v>21</v>
      </c>
      <c r="S34" s="714">
        <f t="shared" si="12"/>
        <v>100</v>
      </c>
      <c r="T34" s="713" t="s">
        <v>21</v>
      </c>
      <c r="U34" s="714">
        <f t="shared" si="13"/>
        <v>100</v>
      </c>
      <c r="V34" s="713" t="s">
        <v>21</v>
      </c>
      <c r="W34" s="714">
        <f t="shared" si="14"/>
        <v>100</v>
      </c>
      <c r="X34" s="1488"/>
      <c r="Y34" s="3454"/>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8"/>
      <c r="M35" s="2892"/>
      <c r="N35" s="2892"/>
      <c r="O35" s="2892"/>
      <c r="P35" s="3518"/>
      <c r="Q35" s="1485" t="str">
        <f t="shared" si="11"/>
        <v>建筑品质</v>
      </c>
      <c r="R35" s="713" t="s">
        <v>21</v>
      </c>
      <c r="S35" s="714">
        <f t="shared" si="12"/>
        <v>100</v>
      </c>
      <c r="T35" s="713" t="s">
        <v>21</v>
      </c>
      <c r="U35" s="714">
        <f t="shared" si="13"/>
        <v>100</v>
      </c>
      <c r="V35" s="713" t="s">
        <v>21</v>
      </c>
      <c r="W35" s="714">
        <f t="shared" si="14"/>
        <v>100</v>
      </c>
      <c r="X35" s="1488"/>
      <c r="Y35" s="3454"/>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8"/>
      <c r="M36" s="2892"/>
      <c r="N36" s="2892"/>
      <c r="O36" s="2892"/>
      <c r="P36" s="3518"/>
      <c r="Q36" s="1485" t="str">
        <f t="shared" si="11"/>
        <v>公共部分装修</v>
      </c>
      <c r="R36" s="713" t="s">
        <v>21</v>
      </c>
      <c r="S36" s="714">
        <f t="shared" si="12"/>
        <v>100</v>
      </c>
      <c r="T36" s="713" t="s">
        <v>21</v>
      </c>
      <c r="U36" s="714">
        <f t="shared" si="13"/>
        <v>100</v>
      </c>
      <c r="V36" s="713" t="s">
        <v>21</v>
      </c>
      <c r="W36" s="714">
        <f t="shared" si="14"/>
        <v>100</v>
      </c>
      <c r="X36" s="1488"/>
      <c r="Y36" s="3454"/>
      <c r="Z36" s="1489" t="str">
        <f t="shared" si="18"/>
        <v>公共部分装修</v>
      </c>
      <c r="AA36" s="1486">
        <f t="shared" si="15"/>
        <v>1</v>
      </c>
      <c r="AB36" s="1486">
        <f t="shared" si="16"/>
        <v>1</v>
      </c>
      <c r="AC36" s="1486">
        <f t="shared" si="17"/>
        <v>1</v>
      </c>
    </row>
    <row r="37" spans="1:29" s="113"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3"/>
      <c r="M37" s="2894"/>
      <c r="N37" s="2894"/>
      <c r="O37" s="2894"/>
      <c r="P37" s="3518"/>
      <c r="Q37" s="1476" t="str">
        <f t="shared" si="11"/>
        <v>成新度</v>
      </c>
      <c r="R37" s="709" t="s">
        <v>21</v>
      </c>
      <c r="S37" s="710" t="e">
        <f t="shared" si="12"/>
        <v>#N/A</v>
      </c>
      <c r="T37" s="709" t="s">
        <v>21</v>
      </c>
      <c r="U37" s="710" t="e">
        <f t="shared" si="13"/>
        <v>#N/A</v>
      </c>
      <c r="V37" s="709" t="s">
        <v>21</v>
      </c>
      <c r="W37" s="710" t="e">
        <f t="shared" si="14"/>
        <v>#N/A</v>
      </c>
      <c r="X37" s="711"/>
      <c r="Y37" s="3454"/>
      <c r="Z37" s="55" t="str">
        <f t="shared" si="18"/>
        <v>成新度</v>
      </c>
      <c r="AA37" s="712" t="e">
        <f t="shared" si="15"/>
        <v>#N/A</v>
      </c>
      <c r="AB37" s="712" t="e">
        <f t="shared" si="16"/>
        <v>#N/A</v>
      </c>
      <c r="AC37" s="712"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8"/>
      <c r="M38" s="2892"/>
      <c r="N38" s="2892"/>
      <c r="O38" s="2892"/>
      <c r="P38" s="3518" t="s">
        <v>2145</v>
      </c>
      <c r="Q38" s="1485" t="str">
        <f t="shared" si="11"/>
        <v>物业管理</v>
      </c>
      <c r="R38" s="713" t="s">
        <v>21</v>
      </c>
      <c r="S38" s="714">
        <f t="shared" si="12"/>
        <v>100</v>
      </c>
      <c r="T38" s="713" t="s">
        <v>21</v>
      </c>
      <c r="U38" s="714">
        <f t="shared" si="13"/>
        <v>100</v>
      </c>
      <c r="V38" s="713" t="s">
        <v>21</v>
      </c>
      <c r="W38" s="714">
        <f t="shared" si="14"/>
        <v>100</v>
      </c>
      <c r="X38" s="1488"/>
      <c r="Y38" s="3454"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8"/>
      <c r="M39" s="2892"/>
      <c r="N39" s="2892"/>
      <c r="O39" s="2892"/>
      <c r="P39" s="3518"/>
      <c r="Q39" s="1485" t="str">
        <f t="shared" si="11"/>
        <v>市政基础设施</v>
      </c>
      <c r="R39" s="713" t="s">
        <v>21</v>
      </c>
      <c r="S39" s="714">
        <f t="shared" si="12"/>
        <v>100</v>
      </c>
      <c r="T39" s="713" t="s">
        <v>21</v>
      </c>
      <c r="U39" s="714">
        <f t="shared" si="13"/>
        <v>100</v>
      </c>
      <c r="V39" s="713" t="s">
        <v>21</v>
      </c>
      <c r="W39" s="714">
        <f t="shared" si="14"/>
        <v>100</v>
      </c>
      <c r="X39" s="1488"/>
      <c r="Y39" s="3454"/>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8"/>
      <c r="M40" s="2892"/>
      <c r="N40" s="2892"/>
      <c r="O40" s="2892"/>
      <c r="P40" s="3518"/>
      <c r="Q40" s="1485" t="str">
        <f t="shared" si="11"/>
        <v>房型</v>
      </c>
      <c r="R40" s="713" t="s">
        <v>21</v>
      </c>
      <c r="S40" s="714">
        <f t="shared" si="12"/>
        <v>100</v>
      </c>
      <c r="T40" s="713" t="s">
        <v>21</v>
      </c>
      <c r="U40" s="714">
        <f t="shared" si="13"/>
        <v>100</v>
      </c>
      <c r="V40" s="713" t="s">
        <v>21</v>
      </c>
      <c r="W40" s="714">
        <f t="shared" si="14"/>
        <v>100</v>
      </c>
      <c r="X40" s="1488"/>
      <c r="Y40" s="3454"/>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7"/>
      <c r="M41" s="2899"/>
      <c r="N41" s="2899"/>
      <c r="O41" s="2899"/>
      <c r="P41" s="3518"/>
      <c r="Q41" s="715" t="str">
        <f t="shared" si="11"/>
        <v>单套/主力户型建筑面积</v>
      </c>
      <c r="R41" s="716" t="s">
        <v>21</v>
      </c>
      <c r="S41" s="717">
        <f t="shared" si="12"/>
        <v>100</v>
      </c>
      <c r="T41" s="716" t="s">
        <v>21</v>
      </c>
      <c r="U41" s="717">
        <f t="shared" si="13"/>
        <v>100</v>
      </c>
      <c r="V41" s="716" t="s">
        <v>21</v>
      </c>
      <c r="W41" s="717">
        <f t="shared" si="14"/>
        <v>100</v>
      </c>
      <c r="X41" s="718"/>
      <c r="Y41" s="3454"/>
      <c r="Z41" s="719"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8"/>
      <c r="M42" s="2892"/>
      <c r="N42" s="2892"/>
      <c r="O42" s="2892"/>
      <c r="P42" s="3518"/>
      <c r="Q42" s="1485" t="str">
        <f t="shared" si="11"/>
        <v>内部装修</v>
      </c>
      <c r="R42" s="713" t="s">
        <v>21</v>
      </c>
      <c r="S42" s="714">
        <f t="shared" si="12"/>
        <v>100</v>
      </c>
      <c r="T42" s="713" t="s">
        <v>21</v>
      </c>
      <c r="U42" s="714">
        <f t="shared" si="13"/>
        <v>100</v>
      </c>
      <c r="V42" s="713" t="s">
        <v>21</v>
      </c>
      <c r="W42" s="714">
        <f t="shared" si="14"/>
        <v>100</v>
      </c>
      <c r="X42" s="1488"/>
      <c r="Y42" s="3454"/>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8"/>
      <c r="M43" s="2892"/>
      <c r="N43" s="2892"/>
      <c r="O43" s="2892"/>
      <c r="P43" s="3518"/>
      <c r="Q43" s="1485" t="str">
        <f t="shared" si="11"/>
        <v>内部装修维护情况</v>
      </c>
      <c r="R43" s="713" t="s">
        <v>21</v>
      </c>
      <c r="S43" s="714">
        <f t="shared" si="12"/>
        <v>100</v>
      </c>
      <c r="T43" s="713" t="s">
        <v>21</v>
      </c>
      <c r="U43" s="714">
        <f t="shared" si="13"/>
        <v>100</v>
      </c>
      <c r="V43" s="713" t="s">
        <v>21</v>
      </c>
      <c r="W43" s="714">
        <f t="shared" si="14"/>
        <v>100</v>
      </c>
      <c r="X43" s="1488"/>
      <c r="Y43" s="3454"/>
      <c r="Z43" s="1489" t="str">
        <f t="shared" si="18"/>
        <v>内部装修维护情况</v>
      </c>
      <c r="AA43" s="1486">
        <f t="shared" si="15"/>
        <v>1</v>
      </c>
      <c r="AB43" s="1486">
        <f t="shared" si="16"/>
        <v>1</v>
      </c>
      <c r="AC43" s="1486">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3"/>
      <c r="M44" s="2894"/>
      <c r="N44" s="2894"/>
      <c r="O44" s="2894"/>
      <c r="P44" s="3518"/>
      <c r="Q44" s="1476">
        <f t="shared" si="11"/>
        <v>111</v>
      </c>
      <c r="R44" s="709" t="s">
        <v>21</v>
      </c>
      <c r="S44" s="710">
        <f t="shared" si="12"/>
        <v>100</v>
      </c>
      <c r="T44" s="709" t="s">
        <v>21</v>
      </c>
      <c r="U44" s="710">
        <f t="shared" si="13"/>
        <v>100</v>
      </c>
      <c r="V44" s="709" t="s">
        <v>21</v>
      </c>
      <c r="W44" s="710">
        <f t="shared" si="14"/>
        <v>100</v>
      </c>
      <c r="X44" s="711"/>
      <c r="Y44" s="3454"/>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8"/>
      <c r="M45" s="2892"/>
      <c r="N45" s="2892"/>
      <c r="O45" s="2892"/>
      <c r="P45" s="3518"/>
      <c r="Q45" s="1485">
        <f t="shared" si="11"/>
        <v>111</v>
      </c>
      <c r="R45" s="713" t="s">
        <v>21</v>
      </c>
      <c r="S45" s="714">
        <f t="shared" si="12"/>
        <v>100</v>
      </c>
      <c r="T45" s="713" t="s">
        <v>21</v>
      </c>
      <c r="U45" s="714">
        <f t="shared" si="13"/>
        <v>100</v>
      </c>
      <c r="V45" s="713" t="s">
        <v>21</v>
      </c>
      <c r="W45" s="714">
        <f t="shared" si="14"/>
        <v>100</v>
      </c>
      <c r="X45" s="1488"/>
      <c r="Y45" s="3454"/>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8"/>
      <c r="M46" s="2892"/>
      <c r="N46" s="2892"/>
      <c r="O46" s="2892"/>
      <c r="P46" s="3519"/>
      <c r="Q46" s="1485">
        <f t="shared" si="11"/>
        <v>111</v>
      </c>
      <c r="R46" s="713" t="s">
        <v>20</v>
      </c>
      <c r="S46" s="714">
        <f t="shared" si="12"/>
        <v>100</v>
      </c>
      <c r="T46" s="713" t="s">
        <v>20</v>
      </c>
      <c r="U46" s="714">
        <f t="shared" si="13"/>
        <v>100</v>
      </c>
      <c r="V46" s="713" t="s">
        <v>20</v>
      </c>
      <c r="W46" s="714">
        <f t="shared" si="14"/>
        <v>100</v>
      </c>
      <c r="X46" s="1488"/>
      <c r="Y46" s="3520"/>
      <c r="Z46" s="1489">
        <f t="shared" si="18"/>
        <v>111</v>
      </c>
      <c r="AA46" s="1486">
        <f t="shared" si="15"/>
        <v>1</v>
      </c>
      <c r="AB46" s="1486">
        <f t="shared" si="16"/>
        <v>1</v>
      </c>
      <c r="AC46" s="1486">
        <f t="shared" si="17"/>
        <v>1</v>
      </c>
    </row>
    <row r="47" spans="1:29" ht="15">
      <c r="A47" s="437" t="s">
        <v>2157</v>
      </c>
      <c r="B47" s="438"/>
      <c r="C47" s="1268" t="s">
        <v>19</v>
      </c>
      <c r="D47" s="1269"/>
      <c r="E47" s="1270"/>
      <c r="F47" s="1271"/>
      <c r="G47" s="1272"/>
      <c r="H47" s="1273"/>
      <c r="I47" s="1270"/>
      <c r="J47" s="1273"/>
      <c r="K47" s="2049"/>
      <c r="L47" s="2900"/>
      <c r="M47" s="2901"/>
      <c r="N47" s="2892"/>
      <c r="O47" s="2901"/>
      <c r="P47" s="3450" t="str">
        <f>A47</f>
        <v>成交单价（元/平方米）</v>
      </c>
      <c r="Q47" s="3450"/>
      <c r="R47" s="3516">
        <f>E47</f>
        <v>0</v>
      </c>
      <c r="S47" s="3516"/>
      <c r="T47" s="3516">
        <f>G47</f>
        <v>0</v>
      </c>
      <c r="U47" s="3516"/>
      <c r="V47" s="3516">
        <f>I47</f>
        <v>0</v>
      </c>
      <c r="W47" s="3516"/>
      <c r="X47" s="698"/>
      <c r="Y47" s="720"/>
      <c r="Z47" s="698"/>
      <c r="AA47" s="698"/>
      <c r="AB47" s="698"/>
      <c r="AC47" s="698"/>
    </row>
    <row r="48" spans="1:29" ht="15.75" thickBot="1">
      <c r="A48" s="444" t="s">
        <v>2158</v>
      </c>
      <c r="B48" s="445"/>
      <c r="C48" s="1274" t="e">
        <f>R49</f>
        <v>#DIV/0!</v>
      </c>
      <c r="D48" s="2486" t="s">
        <v>2637</v>
      </c>
      <c r="E48" s="1275" t="e">
        <f>R48</f>
        <v>#DIV/0!</v>
      </c>
      <c r="F48" s="2487"/>
      <c r="G48" s="1274" t="e">
        <f>T48</f>
        <v>#DIV/0!</v>
      </c>
      <c r="H48" s="2487"/>
      <c r="I48" s="1275" t="e">
        <f>V48</f>
        <v>#DIV/0!</v>
      </c>
      <c r="J48" s="2487"/>
      <c r="K48" s="2488">
        <f>F48+H48+J48</f>
        <v>0</v>
      </c>
      <c r="L48" s="2900"/>
      <c r="M48" s="2901"/>
      <c r="N48" s="2901"/>
      <c r="O48" s="2901"/>
      <c r="P48" s="3450" t="str">
        <f>A48</f>
        <v>比较价值（元/平方米）</v>
      </c>
      <c r="Q48" s="3450"/>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0"/>
      <c r="L49" s="2900"/>
      <c r="M49" s="2901"/>
      <c r="N49" s="2901"/>
      <c r="O49" s="2901"/>
      <c r="P49" s="3444" t="str">
        <f>A49</f>
        <v>估价对象XX用房的比较价值（楼面单价，元/平方米）</v>
      </c>
      <c r="Q49" s="3445"/>
      <c r="R49" s="3515" t="e">
        <f>IF(F1="售价",ROUND(IF(D48="简单平均",AVERAGE(R48:V48),R48*F48+T48*H48+V48*J48),0),ROUND(IF(D48="简单平均",AVERAGE(R48:V48),R48*F48+T48*H48+V48*J48),1))</f>
        <v>#DIV/0!</v>
      </c>
      <c r="S49" s="3515"/>
      <c r="T49" s="3515"/>
      <c r="U49" s="3515"/>
      <c r="V49" s="3515"/>
      <c r="W49" s="3515"/>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6"/>
      <c r="L52" s="2902"/>
      <c r="M52" s="2901"/>
      <c r="N52" s="2901"/>
      <c r="O52" s="2901"/>
    </row>
    <row r="53" spans="1:29" ht="13.5" customHeight="1">
      <c r="A53" s="2901"/>
      <c r="B53" s="2901"/>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6"/>
      <c r="L53" s="2902"/>
      <c r="M53" s="2901"/>
      <c r="N53" s="2901"/>
      <c r="O53" s="2901"/>
    </row>
    <row r="54" spans="1:29" s="458" customFormat="1" ht="13.5" customHeight="1">
      <c r="A54" s="2904"/>
      <c r="B54" s="2904"/>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9"/>
      <c r="L54" s="2903"/>
      <c r="M54" s="2904"/>
      <c r="N54" s="2904"/>
      <c r="O54" s="2904"/>
      <c r="P54" s="2052"/>
    </row>
    <row r="55" spans="1:29" s="458" customFormat="1">
      <c r="A55" s="2904"/>
      <c r="B55" s="2907"/>
      <c r="C55" s="2908"/>
      <c r="D55" s="2904"/>
      <c r="E55" s="2904"/>
      <c r="F55" s="2904"/>
      <c r="G55" s="2904"/>
      <c r="H55" s="2904"/>
      <c r="I55" s="2904"/>
      <c r="J55" s="2904"/>
      <c r="K55" s="2909"/>
      <c r="L55" s="2903"/>
      <c r="M55" s="2904"/>
      <c r="N55" s="2904"/>
      <c r="O55" s="2904"/>
      <c r="P55" s="2052"/>
    </row>
    <row r="56" spans="1:29">
      <c r="A56" s="2901"/>
      <c r="B56" s="2907"/>
      <c r="C56" s="2908"/>
      <c r="D56" s="2901"/>
      <c r="E56" s="2901"/>
      <c r="F56" s="2901"/>
      <c r="G56" s="2901"/>
      <c r="H56" s="2901"/>
      <c r="I56" s="2901"/>
      <c r="J56" s="2901"/>
      <c r="K56" s="2906"/>
      <c r="L56" s="2902"/>
      <c r="M56" s="2901"/>
      <c r="N56" s="2901"/>
      <c r="O56" s="2901"/>
    </row>
    <row r="57" spans="1:29" ht="21.75" thickBot="1">
      <c r="A57" s="702" t="s">
        <v>2163</v>
      </c>
      <c r="B57" s="698"/>
      <c r="C57" s="703"/>
      <c r="D57" s="703"/>
      <c r="E57" s="703"/>
      <c r="F57" s="704"/>
      <c r="G57" s="704"/>
      <c r="H57" s="703"/>
      <c r="I57" s="703"/>
      <c r="J57" s="703"/>
      <c r="K57" s="1052"/>
      <c r="L57" s="1053"/>
      <c r="M57" s="1051"/>
      <c r="N57" s="1051"/>
      <c r="O57" s="1051"/>
      <c r="P57" s="2053"/>
      <c r="Q57" s="460"/>
    </row>
    <row r="58" spans="1:29" s="464" customFormat="1" ht="15">
      <c r="A58" s="461" t="s">
        <v>2164</v>
      </c>
      <c r="B58" s="462"/>
      <c r="C58" s="1299" t="str">
        <f>YEAR(C7)&amp;"-"&amp;MONTH(C7)</f>
        <v>2022-8</v>
      </c>
      <c r="D58" s="1298">
        <f>EDATE(C58,-1)</f>
        <v>44743</v>
      </c>
      <c r="E58" s="1298">
        <f>EDATE(D58,-1)</f>
        <v>44713</v>
      </c>
      <c r="F58" s="1298">
        <f t="shared" ref="F58:O58" si="19">EDATE(E58,-1)</f>
        <v>44682</v>
      </c>
      <c r="G58" s="1298">
        <f t="shared" si="19"/>
        <v>44652</v>
      </c>
      <c r="H58" s="1298">
        <f t="shared" si="19"/>
        <v>44621</v>
      </c>
      <c r="I58" s="1298">
        <f t="shared" si="19"/>
        <v>44593</v>
      </c>
      <c r="J58" s="1298">
        <f t="shared" si="19"/>
        <v>44562</v>
      </c>
      <c r="K58" s="1298">
        <f t="shared" si="19"/>
        <v>44531</v>
      </c>
      <c r="L58" s="1298">
        <f t="shared" si="19"/>
        <v>44501</v>
      </c>
      <c r="M58" s="1298">
        <f t="shared" si="19"/>
        <v>44470</v>
      </c>
      <c r="N58" s="1298">
        <f t="shared" si="19"/>
        <v>44440</v>
      </c>
      <c r="O58" s="1298">
        <f t="shared" si="19"/>
        <v>44409</v>
      </c>
      <c r="P58" s="1294"/>
    </row>
    <row r="59" spans="1:29" s="113" customFormat="1" ht="15">
      <c r="A59" s="465"/>
      <c r="B59" s="2054"/>
      <c r="C59" s="1296">
        <v>100</v>
      </c>
      <c r="D59" s="467"/>
      <c r="E59" s="468"/>
      <c r="F59" s="468"/>
      <c r="G59" s="468"/>
      <c r="H59" s="468"/>
      <c r="I59" s="468"/>
      <c r="J59" s="468"/>
      <c r="K59" s="468"/>
      <c r="L59" s="468"/>
      <c r="M59" s="469"/>
      <c r="N59" s="468"/>
      <c r="O59" s="469"/>
      <c r="P59" s="2055"/>
    </row>
    <row r="60" spans="1:29" s="113" customFormat="1" ht="15.75" thickBot="1">
      <c r="A60" s="471" t="s">
        <v>2165</v>
      </c>
      <c r="B60" s="472"/>
      <c r="C60" s="473"/>
      <c r="D60" s="474"/>
      <c r="E60" s="474"/>
      <c r="F60" s="474"/>
      <c r="G60" s="474"/>
      <c r="H60" s="474"/>
      <c r="I60" s="474"/>
      <c r="J60" s="474"/>
      <c r="K60" s="474"/>
      <c r="L60" s="474"/>
      <c r="M60" s="475"/>
      <c r="N60" s="474"/>
      <c r="O60" s="475"/>
      <c r="P60" s="2055"/>
      <c r="Q60" s="460"/>
    </row>
    <row r="61" spans="1:29" s="113" customFormat="1" ht="15">
      <c r="A61" s="477" t="s">
        <v>2166</v>
      </c>
      <c r="B61" s="466"/>
      <c r="C61" s="478" t="s">
        <v>2167</v>
      </c>
      <c r="D61" s="479"/>
      <c r="E61" s="479"/>
      <c r="F61" s="479"/>
      <c r="G61" s="479"/>
      <c r="H61" s="479"/>
      <c r="I61" s="479"/>
      <c r="J61" s="479"/>
      <c r="K61" s="479"/>
      <c r="L61" s="480"/>
      <c r="M61" s="481"/>
      <c r="N61" s="1043"/>
      <c r="O61" s="1043"/>
      <c r="P61" s="2056"/>
      <c r="Q61" s="460"/>
    </row>
    <row r="62" spans="1:29" s="113"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2168</v>
      </c>
      <c r="B63" s="484" t="s">
        <v>2134</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3" customFormat="1" ht="15.75" thickTop="1">
      <c r="A86" s="535"/>
      <c r="B86" s="494" t="s">
        <v>2190</v>
      </c>
      <c r="C86" s="510"/>
      <c r="D86" s="510"/>
      <c r="E86" s="510"/>
      <c r="F86" s="510"/>
      <c r="G86" s="510"/>
      <c r="H86" s="510"/>
      <c r="I86" s="510"/>
      <c r="J86" s="510"/>
      <c r="K86" s="510"/>
      <c r="L86" s="536"/>
      <c r="M86" s="537"/>
      <c r="N86" s="1043"/>
      <c r="O86" s="1043"/>
      <c r="P86" s="205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3" customFormat="1" ht="15.75" thickTop="1">
      <c r="A88" s="535"/>
      <c r="B88" s="494" t="s">
        <v>2191</v>
      </c>
      <c r="C88" s="510"/>
      <c r="D88" s="510"/>
      <c r="E88" s="510"/>
      <c r="F88" s="2062"/>
      <c r="G88" s="510"/>
      <c r="H88" s="510"/>
      <c r="I88" s="510"/>
      <c r="J88" s="510"/>
      <c r="K88" s="510"/>
      <c r="L88" s="510"/>
      <c r="M88" s="537"/>
      <c r="N88" s="1043"/>
      <c r="O88" s="1043"/>
      <c r="P88" s="205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2143</v>
      </c>
      <c r="B100" s="484" t="s">
        <v>2192</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2194</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2195</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2196</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2197</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2198</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2199</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2200</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6">
        <f>ROUNDUP((J139-1)/2,0)</f>
        <v>10</v>
      </c>
      <c r="K140" s="989">
        <v>100</v>
      </c>
    </row>
    <row r="141" spans="1:17" ht="15">
      <c r="B141" s="984">
        <v>4</v>
      </c>
      <c r="C141" s="985">
        <v>102</v>
      </c>
      <c r="D141" s="985"/>
      <c r="E141" s="986"/>
      <c r="F141" s="987">
        <v>101.5</v>
      </c>
      <c r="G141" s="985"/>
      <c r="H141" s="988"/>
      <c r="I141" s="2077" t="s">
        <v>2214</v>
      </c>
      <c r="J141" s="276">
        <v>1</v>
      </c>
      <c r="K141" s="990">
        <f>ROUND(100+(J141-J140)*K139*100,1)</f>
        <v>96.4</v>
      </c>
    </row>
    <row r="142" spans="1:17" ht="15">
      <c r="B142" s="984">
        <v>3</v>
      </c>
      <c r="C142" s="985">
        <v>103</v>
      </c>
      <c r="D142" s="985"/>
      <c r="E142" s="986"/>
      <c r="F142" s="987">
        <v>101</v>
      </c>
      <c r="G142" s="985"/>
      <c r="H142" s="988"/>
      <c r="I142" s="2077" t="s">
        <v>2215</v>
      </c>
      <c r="J142" s="276">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2222</v>
      </c>
      <c r="C1" s="1357" t="s">
        <v>2110</v>
      </c>
      <c r="D1" s="1344"/>
      <c r="E1" s="2491"/>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10"/>
      <c r="M2" s="2911"/>
      <c r="N2" s="2911"/>
      <c r="O2" s="2911"/>
      <c r="P2" s="2087"/>
      <c r="Q2" s="1023"/>
      <c r="R2" s="1023"/>
      <c r="S2" s="1023"/>
      <c r="T2" s="1023"/>
      <c r="U2" s="1023"/>
      <c r="V2" s="1023"/>
      <c r="W2" s="1023"/>
      <c r="X2" s="1023"/>
      <c r="Y2" s="1023"/>
      <c r="Z2" s="1023"/>
      <c r="AA2" s="1023"/>
      <c r="AB2" s="1023"/>
      <c r="AC2" s="2088"/>
    </row>
    <row r="3" spans="1:29" s="357" customFormat="1" ht="28.5" customHeight="1" thickBot="1">
      <c r="A3" s="208" t="s">
        <v>1909</v>
      </c>
      <c r="B3" s="565" t="e">
        <f ca="1">IF(C2="——",C49,ROUND(B2*10000/D3,0))</f>
        <v>#DIV/0!</v>
      </c>
      <c r="C3" s="359" t="s">
        <v>2224</v>
      </c>
      <c r="D3" s="358">
        <f>IF(D1="",'数据-汇总表'!E3,SUMIF('数据-汇总表'!$C19:$C33,D1,'数据-汇总表'!$E19:$E33))</f>
        <v>13867.57</v>
      </c>
      <c r="E3" s="2089"/>
      <c r="F3" s="1020"/>
      <c r="G3" s="1019"/>
      <c r="H3" s="1019"/>
      <c r="I3" s="1019"/>
      <c r="J3" s="1019"/>
      <c r="K3" s="1021"/>
      <c r="L3" s="2910"/>
      <c r="M3" s="2911"/>
      <c r="N3" s="2911"/>
      <c r="O3" s="2911"/>
      <c r="P3" s="2087"/>
      <c r="Q3" s="1023"/>
      <c r="R3" s="1023"/>
      <c r="S3" s="1023"/>
      <c r="T3" s="1023"/>
      <c r="U3" s="1023"/>
      <c r="V3" s="1023"/>
      <c r="W3" s="1023"/>
      <c r="X3" s="1023"/>
      <c r="Y3" s="1023"/>
      <c r="Z3" s="1023"/>
      <c r="AA3" s="1023"/>
      <c r="AB3" s="1023"/>
      <c r="AC3" s="2089"/>
    </row>
    <row r="4" spans="1:29" ht="15">
      <c r="A4" s="360" t="s">
        <v>2225</v>
      </c>
      <c r="B4" s="361"/>
      <c r="C4" s="3447" t="s">
        <v>2226</v>
      </c>
      <c r="D4" s="3459"/>
      <c r="E4" s="3460" t="s">
        <v>2227</v>
      </c>
      <c r="F4" s="3461"/>
      <c r="G4" s="3447" t="s">
        <v>2228</v>
      </c>
      <c r="H4" s="3459"/>
      <c r="I4" s="3447" t="s">
        <v>2229</v>
      </c>
      <c r="J4" s="3459"/>
      <c r="K4" s="566" t="s">
        <v>2230</v>
      </c>
      <c r="L4" s="2891"/>
      <c r="M4" s="2892"/>
      <c r="N4" s="2892"/>
      <c r="O4" s="2892"/>
      <c r="P4" s="3462" t="s">
        <v>2231</v>
      </c>
      <c r="Q4" s="3463"/>
      <c r="R4" s="3468" t="s">
        <v>2227</v>
      </c>
      <c r="S4" s="3469"/>
      <c r="T4" s="3468" t="s">
        <v>2228</v>
      </c>
      <c r="U4" s="3469"/>
      <c r="V4" s="3455" t="s">
        <v>2229</v>
      </c>
      <c r="W4" s="3455"/>
      <c r="X4" s="1488"/>
      <c r="Y4" s="3468" t="s">
        <v>2231</v>
      </c>
      <c r="Z4" s="3469"/>
      <c r="AA4" s="3456" t="s">
        <v>2227</v>
      </c>
      <c r="AB4" s="3455" t="s">
        <v>2228</v>
      </c>
      <c r="AC4" s="3456" t="s">
        <v>2229</v>
      </c>
    </row>
    <row r="5" spans="1:29" ht="15">
      <c r="A5" s="363"/>
      <c r="B5" s="364"/>
      <c r="C5" s="3476" t="s">
        <v>2122</v>
      </c>
      <c r="D5" s="3477"/>
      <c r="E5" s="3483" t="s">
        <v>2123</v>
      </c>
      <c r="F5" s="3484"/>
      <c r="G5" s="3476" t="s">
        <v>2124</v>
      </c>
      <c r="H5" s="3477"/>
      <c r="I5" s="3476" t="s">
        <v>2125</v>
      </c>
      <c r="J5" s="3477"/>
      <c r="K5" s="566"/>
      <c r="L5" s="2891"/>
      <c r="M5" s="2892"/>
      <c r="N5" s="2892"/>
      <c r="O5" s="2892"/>
      <c r="P5" s="3464"/>
      <c r="Q5" s="3465"/>
      <c r="R5" s="3470"/>
      <c r="S5" s="3471"/>
      <c r="T5" s="3470"/>
      <c r="U5" s="3471"/>
      <c r="V5" s="3455"/>
      <c r="W5" s="3455"/>
      <c r="X5" s="1488"/>
      <c r="Y5" s="3470"/>
      <c r="Z5" s="3471"/>
      <c r="AA5" s="3457"/>
      <c r="AB5" s="3455"/>
      <c r="AC5" s="3457"/>
    </row>
    <row r="6" spans="1:29" ht="15.75" thickBot="1">
      <c r="A6" s="365"/>
      <c r="B6" s="366"/>
      <c r="C6" s="3474" t="s">
        <v>2126</v>
      </c>
      <c r="D6" s="3475"/>
      <c r="E6" s="3481" t="s">
        <v>2126</v>
      </c>
      <c r="F6" s="3482"/>
      <c r="G6" s="3474" t="s">
        <v>2126</v>
      </c>
      <c r="H6" s="3475"/>
      <c r="I6" s="3474" t="s">
        <v>2126</v>
      </c>
      <c r="J6" s="3475"/>
      <c r="K6" s="566" t="s">
        <v>2127</v>
      </c>
      <c r="L6" s="2891"/>
      <c r="M6" s="2892"/>
      <c r="N6" s="2892"/>
      <c r="O6" s="2892"/>
      <c r="P6" s="3466"/>
      <c r="Q6" s="3467"/>
      <c r="R6" s="3470"/>
      <c r="S6" s="3471"/>
      <c r="T6" s="3472"/>
      <c r="U6" s="3473"/>
      <c r="V6" s="3455"/>
      <c r="W6" s="3455"/>
      <c r="X6" s="1488"/>
      <c r="Y6" s="3472"/>
      <c r="Z6" s="3473"/>
      <c r="AA6" s="3458"/>
      <c r="AB6" s="3455"/>
      <c r="AC6" s="3458"/>
    </row>
    <row r="7" spans="1:29" s="113" customFormat="1" ht="15.75" thickBot="1">
      <c r="A7" s="367" t="s">
        <v>2128</v>
      </c>
      <c r="B7" s="368"/>
      <c r="C7" s="369">
        <f>'数据-取费表'!B2</f>
        <v>44781</v>
      </c>
      <c r="D7" s="370">
        <v>100</v>
      </c>
      <c r="E7" s="371"/>
      <c r="F7" s="372">
        <f>SUMIF(58:58,YEAR(E7)&amp;"-"&amp;MONTH(E7),59:59)</f>
        <v>0</v>
      </c>
      <c r="G7" s="371"/>
      <c r="H7" s="370">
        <f>SUMIF(58:58,YEAR(G7)&amp;"-"&amp;MONTH(G7),59:59)</f>
        <v>0</v>
      </c>
      <c r="I7" s="371"/>
      <c r="J7" s="370">
        <f>SUMIF(58:58,YEAR(I7)&amp;"-"&amp;MONTH(I7),59:59)</f>
        <v>0</v>
      </c>
      <c r="K7" s="567"/>
      <c r="L7" s="2893"/>
      <c r="M7" s="2894"/>
      <c r="N7" s="2894"/>
      <c r="O7" s="2894"/>
      <c r="P7" s="3478" t="s">
        <v>2129</v>
      </c>
      <c r="Q7" s="3480"/>
      <c r="R7" s="709" t="s">
        <v>17</v>
      </c>
      <c r="S7" s="710">
        <f t="shared" ref="S7:S15" si="0">F7</f>
        <v>0</v>
      </c>
      <c r="T7" s="709" t="s">
        <v>17</v>
      </c>
      <c r="U7" s="710">
        <f t="shared" ref="U7:U15" si="1">H7</f>
        <v>0</v>
      </c>
      <c r="V7" s="709" t="s">
        <v>17</v>
      </c>
      <c r="W7" s="710">
        <f t="shared" ref="W7:W15" si="2">J7</f>
        <v>0</v>
      </c>
      <c r="X7" s="711"/>
      <c r="Y7" s="3478" t="s">
        <v>2129</v>
      </c>
      <c r="Z7" s="3479"/>
      <c r="AA7" s="712" t="e">
        <f>D7/F7</f>
        <v>#DIV/0!</v>
      </c>
      <c r="AB7" s="712" t="e">
        <f>D7/H7</f>
        <v>#DIV/0!</v>
      </c>
      <c r="AC7" s="712" t="e">
        <f>D7/J7</f>
        <v>#DIV/0!</v>
      </c>
    </row>
    <row r="8" spans="1:29" s="113"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3"/>
      <c r="M8" s="2894"/>
      <c r="N8" s="2894"/>
      <c r="O8" s="2894"/>
      <c r="P8" s="3478" t="s">
        <v>2132</v>
      </c>
      <c r="Q8" s="3479"/>
      <c r="R8" s="709" t="s">
        <v>17</v>
      </c>
      <c r="S8" s="710">
        <f t="shared" si="0"/>
        <v>0</v>
      </c>
      <c r="T8" s="709" t="s">
        <v>17</v>
      </c>
      <c r="U8" s="710">
        <f t="shared" si="1"/>
        <v>0</v>
      </c>
      <c r="V8" s="709" t="s">
        <v>17</v>
      </c>
      <c r="W8" s="710">
        <f t="shared" si="2"/>
        <v>0</v>
      </c>
      <c r="X8" s="711"/>
      <c r="Y8" s="3478" t="s">
        <v>2132</v>
      </c>
      <c r="Z8" s="3479"/>
      <c r="AA8" s="712" t="e">
        <f t="shared" ref="AA8:AA46" si="3">D8/F8</f>
        <v>#DIV/0!</v>
      </c>
      <c r="AB8" s="712" t="e">
        <f t="shared" ref="AB8:AB46" si="4">D8/H8</f>
        <v>#DIV/0!</v>
      </c>
      <c r="AC8" s="712" t="e">
        <f t="shared" ref="AC8:AC46" si="5">D8/J8</f>
        <v>#DIV/0!</v>
      </c>
    </row>
    <row r="9" spans="1:29" s="113"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3"/>
      <c r="M9" s="2894"/>
      <c r="N9" s="2894"/>
      <c r="O9" s="2894"/>
      <c r="P9" s="3449"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5"/>
      <c r="M10" s="2896"/>
      <c r="N10" s="2896"/>
      <c r="O10" s="2896"/>
      <c r="P10" s="3449"/>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7"/>
      <c r="M11" s="2892"/>
      <c r="N11" s="2892"/>
      <c r="O11" s="2892"/>
      <c r="P11" s="3449"/>
      <c r="Q11" s="1476" t="str">
        <f t="shared" si="6"/>
        <v>容积率</v>
      </c>
      <c r="R11" s="709" t="s">
        <v>17</v>
      </c>
      <c r="S11" s="710" t="e">
        <f t="shared" si="0"/>
        <v>#N/A</v>
      </c>
      <c r="T11" s="709" t="s">
        <v>17</v>
      </c>
      <c r="U11" s="710" t="e">
        <f t="shared" si="1"/>
        <v>#N/A</v>
      </c>
      <c r="V11" s="709" t="s">
        <v>17</v>
      </c>
      <c r="W11" s="710" t="e">
        <f t="shared" si="2"/>
        <v>#N/A</v>
      </c>
      <c r="X11" s="711"/>
      <c r="Y11" s="3344"/>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3"/>
      <c r="M12" s="2894"/>
      <c r="N12" s="2894"/>
      <c r="O12" s="2894"/>
      <c r="P12" s="3449"/>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8"/>
      <c r="M13" s="2892"/>
      <c r="N13" s="2892"/>
      <c r="O13" s="2892"/>
      <c r="P13" s="3449"/>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8"/>
      <c r="M14" s="2892"/>
      <c r="N14" s="2892"/>
      <c r="O14" s="2892"/>
      <c r="P14" s="3449"/>
      <c r="Q14" s="1476">
        <f t="shared" si="6"/>
        <v>111</v>
      </c>
      <c r="R14" s="709" t="s">
        <v>17</v>
      </c>
      <c r="S14" s="710">
        <f t="shared" si="0"/>
        <v>100</v>
      </c>
      <c r="T14" s="709" t="s">
        <v>17</v>
      </c>
      <c r="U14" s="710">
        <f t="shared" si="1"/>
        <v>100</v>
      </c>
      <c r="V14" s="709" t="s">
        <v>17</v>
      </c>
      <c r="W14" s="710">
        <f t="shared" si="2"/>
        <v>100</v>
      </c>
      <c r="X14" s="711"/>
      <c r="Y14" s="3344"/>
      <c r="Z14" s="55">
        <f t="shared" si="7"/>
        <v>111</v>
      </c>
      <c r="AA14" s="712">
        <f t="shared" si="3"/>
        <v>1</v>
      </c>
      <c r="AB14" s="712">
        <f t="shared" si="4"/>
        <v>1</v>
      </c>
      <c r="AC14" s="712">
        <f t="shared" si="5"/>
        <v>1</v>
      </c>
    </row>
    <row r="15" spans="1:29" ht="71.25">
      <c r="A15" s="398" t="s">
        <v>2139</v>
      </c>
      <c r="B15" s="65" t="s">
        <v>2233</v>
      </c>
      <c r="C15" s="203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8"/>
      <c r="M15" s="2892"/>
      <c r="N15" s="2892"/>
      <c r="O15" s="2892"/>
      <c r="P15" s="3521" t="s">
        <v>2140</v>
      </c>
      <c r="Q15" s="1485" t="str">
        <f t="shared" si="6"/>
        <v>商业繁华度</v>
      </c>
      <c r="R15" s="713" t="s">
        <v>17</v>
      </c>
      <c r="S15" s="714">
        <f t="shared" si="0"/>
        <v>100</v>
      </c>
      <c r="T15" s="713" t="s">
        <v>17</v>
      </c>
      <c r="U15" s="714">
        <f t="shared" si="1"/>
        <v>100</v>
      </c>
      <c r="V15" s="713" t="s">
        <v>17</v>
      </c>
      <c r="W15" s="714">
        <f t="shared" si="2"/>
        <v>100</v>
      </c>
      <c r="X15" s="1488"/>
      <c r="Y15" s="3451" t="s">
        <v>2140</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8"/>
      <c r="M16" s="2892"/>
      <c r="N16" s="2892"/>
      <c r="O16" s="2892"/>
      <c r="P16" s="3522"/>
      <c r="Q16" s="1485"/>
      <c r="R16" s="713"/>
      <c r="S16" s="714"/>
      <c r="T16" s="713"/>
      <c r="U16" s="714"/>
      <c r="V16" s="713"/>
      <c r="W16" s="714"/>
      <c r="X16" s="1488"/>
      <c r="Y16" s="3452"/>
      <c r="Z16" s="1489"/>
      <c r="AA16" s="1486">
        <v>1</v>
      </c>
      <c r="AB16" s="1486">
        <v>1</v>
      </c>
      <c r="AC16" s="1486">
        <v>1</v>
      </c>
    </row>
    <row r="17" spans="1:29" ht="85.5">
      <c r="A17" s="386"/>
      <c r="B17" s="409" t="s">
        <v>1704</v>
      </c>
      <c r="C17" s="203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8"/>
      <c r="M17" s="2892"/>
      <c r="N17" s="2892"/>
      <c r="O17" s="2892"/>
      <c r="P17" s="3522"/>
      <c r="Q17" s="1485" t="str">
        <f>B17</f>
        <v>交通便捷度</v>
      </c>
      <c r="R17" s="713" t="s">
        <v>17</v>
      </c>
      <c r="S17" s="714">
        <f>F17</f>
        <v>100</v>
      </c>
      <c r="T17" s="713" t="s">
        <v>17</v>
      </c>
      <c r="U17" s="714">
        <f>H17</f>
        <v>100</v>
      </c>
      <c r="V17" s="713" t="s">
        <v>17</v>
      </c>
      <c r="W17" s="714">
        <f>J17</f>
        <v>100</v>
      </c>
      <c r="X17" s="1488"/>
      <c r="Y17" s="3452"/>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8"/>
      <c r="M18" s="2892"/>
      <c r="N18" s="2892"/>
      <c r="O18" s="2892"/>
      <c r="P18" s="3522"/>
      <c r="Q18" s="1485"/>
      <c r="R18" s="713"/>
      <c r="S18" s="714"/>
      <c r="T18" s="713"/>
      <c r="U18" s="714"/>
      <c r="V18" s="713"/>
      <c r="W18" s="714"/>
      <c r="X18" s="1488"/>
      <c r="Y18" s="3452"/>
      <c r="Z18" s="1489"/>
      <c r="AA18" s="1486">
        <v>1</v>
      </c>
      <c r="AB18" s="1486">
        <v>1</v>
      </c>
      <c r="AC18" s="1486">
        <v>1</v>
      </c>
    </row>
    <row r="19" spans="1:29" ht="42.75">
      <c r="A19" s="386"/>
      <c r="B19" s="409" t="s">
        <v>2234</v>
      </c>
      <c r="C19" s="203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8"/>
      <c r="M19" s="2892"/>
      <c r="N19" s="2892"/>
      <c r="O19" s="2892"/>
      <c r="P19" s="3522"/>
      <c r="Q19" s="1485" t="str">
        <f>B19</f>
        <v>公共配套设施</v>
      </c>
      <c r="R19" s="713" t="s">
        <v>17</v>
      </c>
      <c r="S19" s="714">
        <f>F19</f>
        <v>100</v>
      </c>
      <c r="T19" s="713" t="s">
        <v>17</v>
      </c>
      <c r="U19" s="714">
        <f>H19</f>
        <v>100</v>
      </c>
      <c r="V19" s="713" t="s">
        <v>17</v>
      </c>
      <c r="W19" s="714">
        <f>J19</f>
        <v>100</v>
      </c>
      <c r="X19" s="1488"/>
      <c r="Y19" s="3452"/>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8"/>
      <c r="M20" s="2892"/>
      <c r="N20" s="2892"/>
      <c r="O20" s="2892"/>
      <c r="P20" s="3522"/>
      <c r="Q20" s="1485"/>
      <c r="R20" s="713"/>
      <c r="S20" s="714"/>
      <c r="T20" s="713"/>
      <c r="U20" s="714"/>
      <c r="V20" s="713"/>
      <c r="W20" s="714"/>
      <c r="X20" s="1488"/>
      <c r="Y20" s="3452"/>
      <c r="Z20" s="1489"/>
      <c r="AA20" s="1486">
        <v>1</v>
      </c>
      <c r="AB20" s="1486">
        <v>1</v>
      </c>
      <c r="AC20" s="1486">
        <v>1</v>
      </c>
    </row>
    <row r="21" spans="1:29" ht="28.5">
      <c r="A21" s="386"/>
      <c r="B21" s="1245" t="s">
        <v>2235</v>
      </c>
      <c r="C21" s="203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8"/>
      <c r="M21" s="2892"/>
      <c r="N21" s="2892"/>
      <c r="O21" s="2892"/>
      <c r="P21" s="3522"/>
      <c r="Q21" s="1485" t="str">
        <f>B21</f>
        <v>基础设施水平</v>
      </c>
      <c r="R21" s="713" t="s">
        <v>17</v>
      </c>
      <c r="S21" s="714">
        <f>F21</f>
        <v>100</v>
      </c>
      <c r="T21" s="713" t="s">
        <v>17</v>
      </c>
      <c r="U21" s="714">
        <f>H21</f>
        <v>100</v>
      </c>
      <c r="V21" s="713" t="s">
        <v>17</v>
      </c>
      <c r="W21" s="714">
        <f>J21</f>
        <v>100</v>
      </c>
      <c r="X21" s="1488"/>
      <c r="Y21" s="3452"/>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8"/>
      <c r="M22" s="2892"/>
      <c r="N22" s="2892"/>
      <c r="O22" s="2892"/>
      <c r="P22" s="3522"/>
      <c r="Q22" s="1485"/>
      <c r="R22" s="713"/>
      <c r="S22" s="714"/>
      <c r="T22" s="713"/>
      <c r="U22" s="714"/>
      <c r="V22" s="713"/>
      <c r="W22" s="714"/>
      <c r="X22" s="1488"/>
      <c r="Y22" s="3452"/>
      <c r="Z22" s="1489"/>
      <c r="AA22" s="1486">
        <v>1</v>
      </c>
      <c r="AB22" s="1486">
        <v>1</v>
      </c>
      <c r="AC22" s="1486">
        <v>1</v>
      </c>
    </row>
    <row r="23" spans="1:29" ht="57">
      <c r="A23" s="386"/>
      <c r="B23" s="409" t="s">
        <v>1706</v>
      </c>
      <c r="C23" s="209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8"/>
      <c r="M23" s="2892"/>
      <c r="N23" s="2892"/>
      <c r="O23" s="2892"/>
      <c r="P23" s="3522"/>
      <c r="Q23" s="1485" t="str">
        <f>B23</f>
        <v>自然及人文环境</v>
      </c>
      <c r="R23" s="713" t="s">
        <v>17</v>
      </c>
      <c r="S23" s="714">
        <f>F23</f>
        <v>100</v>
      </c>
      <c r="T23" s="713" t="s">
        <v>17</v>
      </c>
      <c r="U23" s="714">
        <f>H23</f>
        <v>100</v>
      </c>
      <c r="V23" s="713" t="s">
        <v>17</v>
      </c>
      <c r="W23" s="714">
        <f>J23</f>
        <v>100</v>
      </c>
      <c r="X23" s="1488"/>
      <c r="Y23" s="3452"/>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8"/>
      <c r="M24" s="2892"/>
      <c r="N24" s="2892"/>
      <c r="O24" s="2892"/>
      <c r="P24" s="3522"/>
      <c r="Q24" s="1485"/>
      <c r="R24" s="713"/>
      <c r="S24" s="714"/>
      <c r="T24" s="713"/>
      <c r="U24" s="714"/>
      <c r="V24" s="713"/>
      <c r="W24" s="714"/>
      <c r="X24" s="1488"/>
      <c r="Y24" s="3452"/>
      <c r="Z24" s="1489"/>
      <c r="AA24" s="1486">
        <v>1</v>
      </c>
      <c r="AB24" s="1486">
        <v>1</v>
      </c>
      <c r="AC24" s="1486">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8"/>
      <c r="M25" s="2892"/>
      <c r="N25" s="2892"/>
      <c r="O25" s="2892"/>
      <c r="P25" s="3522"/>
      <c r="Q25" s="1485" t="str">
        <f t="shared" ref="Q25:Q46" si="11">B25</f>
        <v>临街状况</v>
      </c>
      <c r="R25" s="713" t="s">
        <v>17</v>
      </c>
      <c r="S25" s="714">
        <f>F25</f>
        <v>100</v>
      </c>
      <c r="T25" s="713" t="s">
        <v>17</v>
      </c>
      <c r="U25" s="714">
        <f>H25</f>
        <v>100</v>
      </c>
      <c r="V25" s="713" t="s">
        <v>17</v>
      </c>
      <c r="W25" s="714">
        <f>J25</f>
        <v>100</v>
      </c>
      <c r="X25" s="1488"/>
      <c r="Y25" s="3452"/>
      <c r="Z25" s="1489" t="str">
        <f>Q25</f>
        <v>临街状况</v>
      </c>
      <c r="AA25" s="1486">
        <f t="shared" si="3"/>
        <v>1</v>
      </c>
      <c r="AB25" s="1486">
        <f t="shared" si="4"/>
        <v>1</v>
      </c>
      <c r="AC25" s="1486">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8"/>
      <c r="M26" s="2892"/>
      <c r="N26" s="2892"/>
      <c r="O26" s="2892"/>
      <c r="P26" s="3522"/>
      <c r="Q26" s="1485" t="str">
        <f t="shared" si="11"/>
        <v>平面位置/可视性</v>
      </c>
      <c r="R26" s="713" t="s">
        <v>17</v>
      </c>
      <c r="S26" s="714">
        <f>F26</f>
        <v>100</v>
      </c>
      <c r="T26" s="713" t="s">
        <v>17</v>
      </c>
      <c r="U26" s="714">
        <f>H26</f>
        <v>100</v>
      </c>
      <c r="V26" s="713" t="s">
        <v>17</v>
      </c>
      <c r="W26" s="714">
        <f>J26</f>
        <v>100</v>
      </c>
      <c r="X26" s="1488"/>
      <c r="Y26" s="3452"/>
      <c r="Z26" s="1489" t="str">
        <f>Q26</f>
        <v>平面位置/可视性</v>
      </c>
      <c r="AA26" s="1486">
        <f t="shared" si="3"/>
        <v>1</v>
      </c>
      <c r="AB26" s="1486">
        <f t="shared" si="4"/>
        <v>1</v>
      </c>
      <c r="AC26" s="1486">
        <f t="shared" si="5"/>
        <v>1</v>
      </c>
    </row>
    <row r="27" spans="1:29" s="113" customFormat="1" ht="15">
      <c r="A27" s="389"/>
      <c r="B27" s="409" t="s">
        <v>2238</v>
      </c>
      <c r="C27" s="2091"/>
      <c r="D27" s="420">
        <v>100</v>
      </c>
      <c r="E27" s="2091"/>
      <c r="F27" s="422">
        <f>SUMIF(90:90,E27,91:91)-SUMIF(90:90,C27,91:91)+100</f>
        <v>100</v>
      </c>
      <c r="G27" s="2091"/>
      <c r="H27" s="420">
        <f>SUMIF(90:90,G27,91:91)-SUMIF(90:90,C27,91:91)+100</f>
        <v>100</v>
      </c>
      <c r="I27" s="2091"/>
      <c r="J27" s="420">
        <f>SUMIF(90:90,I27,91:91)-SUMIF(90:90,C27,91:91)+100</f>
        <v>100</v>
      </c>
      <c r="K27" s="568"/>
      <c r="L27" s="2893"/>
      <c r="M27" s="2894"/>
      <c r="N27" s="2894"/>
      <c r="O27" s="2894"/>
      <c r="P27" s="3522"/>
      <c r="Q27" s="1476" t="str">
        <f t="shared" si="11"/>
        <v>人流量</v>
      </c>
      <c r="R27" s="709" t="s">
        <v>17</v>
      </c>
      <c r="S27" s="710">
        <f>F27</f>
        <v>100</v>
      </c>
      <c r="T27" s="709" t="s">
        <v>17</v>
      </c>
      <c r="U27" s="710">
        <f>H27</f>
        <v>100</v>
      </c>
      <c r="V27" s="709" t="s">
        <v>17</v>
      </c>
      <c r="W27" s="710">
        <f>J27</f>
        <v>100</v>
      </c>
      <c r="X27" s="711"/>
      <c r="Y27" s="3452"/>
      <c r="Z27" s="55" t="str">
        <f>Q27</f>
        <v>人流量</v>
      </c>
      <c r="AA27" s="1486">
        <f>D27/F27</f>
        <v>1</v>
      </c>
      <c r="AB27" s="1486">
        <f>D27/H27</f>
        <v>1</v>
      </c>
      <c r="AC27" s="1486">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8"/>
      <c r="M28" s="2892"/>
      <c r="N28" s="2892"/>
      <c r="O28" s="2892"/>
      <c r="P28" s="3522"/>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52"/>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8"/>
      <c r="M29" s="2892"/>
      <c r="N29" s="2892"/>
      <c r="O29" s="2892"/>
      <c r="P29" s="3522"/>
      <c r="Q29" s="1485">
        <f t="shared" si="11"/>
        <v>111</v>
      </c>
      <c r="R29" s="713" t="s">
        <v>17</v>
      </c>
      <c r="S29" s="714">
        <f t="shared" si="12"/>
        <v>100</v>
      </c>
      <c r="T29" s="713" t="s">
        <v>17</v>
      </c>
      <c r="U29" s="714">
        <f t="shared" si="13"/>
        <v>100</v>
      </c>
      <c r="V29" s="713" t="s">
        <v>17</v>
      </c>
      <c r="W29" s="714">
        <f t="shared" si="14"/>
        <v>100</v>
      </c>
      <c r="X29" s="1488"/>
      <c r="Y29" s="3452"/>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8"/>
      <c r="M30" s="2892"/>
      <c r="N30" s="2892"/>
      <c r="O30" s="2892"/>
      <c r="P30" s="3522"/>
      <c r="Q30" s="1485">
        <f t="shared" si="11"/>
        <v>111</v>
      </c>
      <c r="R30" s="713" t="s">
        <v>17</v>
      </c>
      <c r="S30" s="714">
        <f t="shared" si="12"/>
        <v>100</v>
      </c>
      <c r="T30" s="713" t="s">
        <v>17</v>
      </c>
      <c r="U30" s="714">
        <f t="shared" si="13"/>
        <v>100</v>
      </c>
      <c r="V30" s="713" t="s">
        <v>17</v>
      </c>
      <c r="W30" s="714">
        <f t="shared" si="14"/>
        <v>100</v>
      </c>
      <c r="X30" s="1488"/>
      <c r="Y30" s="3452"/>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8"/>
      <c r="M31" s="2892"/>
      <c r="N31" s="2892"/>
      <c r="O31" s="2892"/>
      <c r="P31" s="3522"/>
      <c r="Q31" s="1485">
        <f t="shared" si="11"/>
        <v>111</v>
      </c>
      <c r="R31" s="713" t="s">
        <v>17</v>
      </c>
      <c r="S31" s="714">
        <f t="shared" si="12"/>
        <v>100</v>
      </c>
      <c r="T31" s="713" t="s">
        <v>17</v>
      </c>
      <c r="U31" s="714">
        <f t="shared" si="13"/>
        <v>100</v>
      </c>
      <c r="V31" s="713" t="s">
        <v>17</v>
      </c>
      <c r="W31" s="714">
        <f t="shared" si="14"/>
        <v>100</v>
      </c>
      <c r="X31" s="1488"/>
      <c r="Y31" s="3452"/>
      <c r="Z31" s="1489">
        <f t="shared" si="15"/>
        <v>111</v>
      </c>
      <c r="AA31" s="1486">
        <f t="shared" si="3"/>
        <v>1</v>
      </c>
      <c r="AB31" s="1486">
        <f t="shared" si="4"/>
        <v>1</v>
      </c>
      <c r="AC31" s="1486">
        <f t="shared" si="5"/>
        <v>1</v>
      </c>
    </row>
    <row r="32" spans="1:29" ht="15">
      <c r="A32" s="398" t="s">
        <v>2143</v>
      </c>
      <c r="B32" s="67" t="s">
        <v>2240</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8"/>
      <c r="M32" s="2892"/>
      <c r="N32" s="2892"/>
      <c r="O32" s="2892"/>
      <c r="P32" s="3517" t="s">
        <v>2145</v>
      </c>
      <c r="Q32" s="1485" t="str">
        <f t="shared" si="11"/>
        <v>商业类型</v>
      </c>
      <c r="R32" s="713" t="s">
        <v>17</v>
      </c>
      <c r="S32" s="714">
        <f t="shared" si="12"/>
        <v>100</v>
      </c>
      <c r="T32" s="713" t="s">
        <v>17</v>
      </c>
      <c r="U32" s="714">
        <f t="shared" si="13"/>
        <v>100</v>
      </c>
      <c r="V32" s="713" t="s">
        <v>17</v>
      </c>
      <c r="W32" s="714">
        <f t="shared" si="14"/>
        <v>100</v>
      </c>
      <c r="X32" s="1488"/>
      <c r="Y32" s="3454" t="s">
        <v>2145</v>
      </c>
      <c r="Z32" s="1489" t="str">
        <f t="shared" si="15"/>
        <v>商业类型</v>
      </c>
      <c r="AA32" s="1486">
        <f t="shared" si="3"/>
        <v>1</v>
      </c>
      <c r="AB32" s="1486">
        <f t="shared" si="4"/>
        <v>1</v>
      </c>
      <c r="AC32" s="1486">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7"/>
      <c r="M33" s="2899"/>
      <c r="N33" s="2899"/>
      <c r="O33" s="2899"/>
      <c r="P33" s="3518"/>
      <c r="Q33" s="715" t="str">
        <f t="shared" si="11"/>
        <v>项目建筑规模</v>
      </c>
      <c r="R33" s="716" t="s">
        <v>17</v>
      </c>
      <c r="S33" s="717" t="e">
        <f t="shared" si="12"/>
        <v>#N/A</v>
      </c>
      <c r="T33" s="716" t="s">
        <v>17</v>
      </c>
      <c r="U33" s="717" t="e">
        <f t="shared" si="13"/>
        <v>#N/A</v>
      </c>
      <c r="V33" s="716" t="s">
        <v>17</v>
      </c>
      <c r="W33" s="717" t="e">
        <f t="shared" si="14"/>
        <v>#N/A</v>
      </c>
      <c r="X33" s="718"/>
      <c r="Y33" s="3454"/>
      <c r="Z33" s="719" t="str">
        <f t="shared" si="15"/>
        <v>项目建筑规模</v>
      </c>
      <c r="AA33" s="1486" t="e">
        <f t="shared" si="3"/>
        <v>#N/A</v>
      </c>
      <c r="AB33" s="1486" t="e">
        <f t="shared" si="4"/>
        <v>#N/A</v>
      </c>
      <c r="AC33" s="1486" t="e">
        <f t="shared" si="5"/>
        <v>#N/A</v>
      </c>
    </row>
    <row r="34" spans="1:29" ht="15">
      <c r="A34" s="430"/>
      <c r="B34" s="380" t="s">
        <v>2147</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8"/>
      <c r="M34" s="2892"/>
      <c r="N34" s="2892"/>
      <c r="O34" s="2892"/>
      <c r="P34" s="3518"/>
      <c r="Q34" s="1485" t="str">
        <f t="shared" si="11"/>
        <v>建筑结构</v>
      </c>
      <c r="R34" s="713" t="s">
        <v>17</v>
      </c>
      <c r="S34" s="714">
        <f t="shared" si="12"/>
        <v>100</v>
      </c>
      <c r="T34" s="713" t="s">
        <v>17</v>
      </c>
      <c r="U34" s="714">
        <f t="shared" si="13"/>
        <v>100</v>
      </c>
      <c r="V34" s="713" t="s">
        <v>17</v>
      </c>
      <c r="W34" s="714">
        <f t="shared" si="14"/>
        <v>100</v>
      </c>
      <c r="X34" s="1488"/>
      <c r="Y34" s="3454"/>
      <c r="Z34" s="1489" t="str">
        <f t="shared" si="15"/>
        <v>建筑结构</v>
      </c>
      <c r="AA34" s="1486">
        <f t="shared" si="3"/>
        <v>1</v>
      </c>
      <c r="AB34" s="1486">
        <f t="shared" si="4"/>
        <v>1</v>
      </c>
      <c r="AC34" s="1486">
        <f t="shared" si="5"/>
        <v>1</v>
      </c>
    </row>
    <row r="35" spans="1:29" ht="15">
      <c r="A35" s="430"/>
      <c r="B35" s="380" t="s">
        <v>2241</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8"/>
      <c r="M35" s="2892"/>
      <c r="N35" s="2892"/>
      <c r="O35" s="2892"/>
      <c r="P35" s="3518"/>
      <c r="Q35" s="1485" t="str">
        <f t="shared" si="11"/>
        <v>公共部分装修</v>
      </c>
      <c r="R35" s="713" t="s">
        <v>17</v>
      </c>
      <c r="S35" s="714">
        <f t="shared" si="12"/>
        <v>100</v>
      </c>
      <c r="T35" s="713" t="s">
        <v>17</v>
      </c>
      <c r="U35" s="714">
        <f t="shared" si="13"/>
        <v>100</v>
      </c>
      <c r="V35" s="713" t="s">
        <v>17</v>
      </c>
      <c r="W35" s="714">
        <f t="shared" si="14"/>
        <v>100</v>
      </c>
      <c r="X35" s="1488"/>
      <c r="Y35" s="3454"/>
      <c r="Z35" s="1489" t="str">
        <f t="shared" si="15"/>
        <v>公共部分装修</v>
      </c>
      <c r="AA35" s="1486">
        <f t="shared" si="3"/>
        <v>1</v>
      </c>
      <c r="AB35" s="1486">
        <f t="shared" si="4"/>
        <v>1</v>
      </c>
      <c r="AC35" s="1486">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8"/>
      <c r="M36" s="2892"/>
      <c r="N36" s="2892"/>
      <c r="O36" s="2892"/>
      <c r="P36" s="3518"/>
      <c r="Q36" s="1485" t="str">
        <f t="shared" si="11"/>
        <v>成新度</v>
      </c>
      <c r="R36" s="713" t="s">
        <v>17</v>
      </c>
      <c r="S36" s="714" t="e">
        <f t="shared" si="12"/>
        <v>#N/A</v>
      </c>
      <c r="T36" s="713" t="s">
        <v>17</v>
      </c>
      <c r="U36" s="714" t="e">
        <f t="shared" si="13"/>
        <v>#N/A</v>
      </c>
      <c r="V36" s="713" t="s">
        <v>17</v>
      </c>
      <c r="W36" s="714" t="e">
        <f t="shared" si="14"/>
        <v>#N/A</v>
      </c>
      <c r="X36" s="1488"/>
      <c r="Y36" s="3454"/>
      <c r="Z36" s="1489" t="str">
        <f t="shared" si="15"/>
        <v>成新度</v>
      </c>
      <c r="AA36" s="1486" t="e">
        <f t="shared" si="3"/>
        <v>#N/A</v>
      </c>
      <c r="AB36" s="1486" t="e">
        <f t="shared" si="4"/>
        <v>#N/A</v>
      </c>
      <c r="AC36" s="1486" t="e">
        <f t="shared" si="5"/>
        <v>#N/A</v>
      </c>
    </row>
    <row r="37" spans="1:29" s="113" customFormat="1" ht="15">
      <c r="A37" s="431"/>
      <c r="B37" s="380" t="s">
        <v>2243</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3"/>
      <c r="M37" s="2894"/>
      <c r="N37" s="2894"/>
      <c r="O37" s="2894"/>
      <c r="P37" s="3518"/>
      <c r="Q37" s="1476" t="str">
        <f t="shared" si="11"/>
        <v>市政基础设施</v>
      </c>
      <c r="R37" s="709" t="s">
        <v>17</v>
      </c>
      <c r="S37" s="710">
        <f t="shared" si="12"/>
        <v>100</v>
      </c>
      <c r="T37" s="709" t="s">
        <v>17</v>
      </c>
      <c r="U37" s="710">
        <f t="shared" si="13"/>
        <v>100</v>
      </c>
      <c r="V37" s="709" t="s">
        <v>17</v>
      </c>
      <c r="W37" s="710">
        <f t="shared" si="14"/>
        <v>100</v>
      </c>
      <c r="X37" s="711"/>
      <c r="Y37" s="3454"/>
      <c r="Z37" s="55" t="str">
        <f t="shared" si="15"/>
        <v>市政基础设施</v>
      </c>
      <c r="AA37" s="712">
        <f t="shared" si="3"/>
        <v>1</v>
      </c>
      <c r="AB37" s="712">
        <f t="shared" si="4"/>
        <v>1</v>
      </c>
      <c r="AC37" s="712">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8"/>
      <c r="M38" s="2892"/>
      <c r="N38" s="2892"/>
      <c r="O38" s="2892"/>
      <c r="P38" s="3518" t="s">
        <v>2145</v>
      </c>
      <c r="Q38" s="1485" t="str">
        <f t="shared" si="11"/>
        <v>业态</v>
      </c>
      <c r="R38" s="713" t="s">
        <v>17</v>
      </c>
      <c r="S38" s="714">
        <f t="shared" si="12"/>
        <v>100</v>
      </c>
      <c r="T38" s="713" t="s">
        <v>17</v>
      </c>
      <c r="U38" s="714">
        <f t="shared" si="13"/>
        <v>100</v>
      </c>
      <c r="V38" s="713" t="s">
        <v>17</v>
      </c>
      <c r="W38" s="714">
        <f t="shared" si="14"/>
        <v>100</v>
      </c>
      <c r="X38" s="1488"/>
      <c r="Y38" s="3454" t="s">
        <v>2145</v>
      </c>
      <c r="Z38" s="1489" t="str">
        <f t="shared" si="15"/>
        <v>业态</v>
      </c>
      <c r="AA38" s="1486">
        <f t="shared" si="3"/>
        <v>1</v>
      </c>
      <c r="AB38" s="1486">
        <f t="shared" si="4"/>
        <v>1</v>
      </c>
      <c r="AC38" s="1486">
        <f t="shared" si="5"/>
        <v>1</v>
      </c>
    </row>
    <row r="39" spans="1:29" ht="15">
      <c r="A39" s="430"/>
      <c r="B39" s="380" t="s">
        <v>2245</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8"/>
      <c r="M39" s="2892"/>
      <c r="N39" s="2892"/>
      <c r="O39" s="2892"/>
      <c r="P39" s="3518"/>
      <c r="Q39" s="1485" t="str">
        <f t="shared" si="11"/>
        <v>层高</v>
      </c>
      <c r="R39" s="713" t="s">
        <v>17</v>
      </c>
      <c r="S39" s="714">
        <f t="shared" si="12"/>
        <v>100</v>
      </c>
      <c r="T39" s="713" t="s">
        <v>17</v>
      </c>
      <c r="U39" s="714">
        <f t="shared" si="13"/>
        <v>100</v>
      </c>
      <c r="V39" s="713" t="s">
        <v>17</v>
      </c>
      <c r="W39" s="714">
        <f t="shared" si="14"/>
        <v>100</v>
      </c>
      <c r="X39" s="1488"/>
      <c r="Y39" s="3454"/>
      <c r="Z39" s="1489" t="str">
        <f t="shared" si="15"/>
        <v>层高</v>
      </c>
      <c r="AA39" s="1486">
        <f t="shared" si="3"/>
        <v>1</v>
      </c>
      <c r="AB39" s="1486">
        <f t="shared" si="4"/>
        <v>1</v>
      </c>
      <c r="AC39" s="1486">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8"/>
      <c r="M40" s="2892"/>
      <c r="N40" s="2892"/>
      <c r="O40" s="2892"/>
      <c r="P40" s="3518"/>
      <c r="Q40" s="1485" t="str">
        <f t="shared" si="11"/>
        <v>单套建筑面积</v>
      </c>
      <c r="R40" s="713" t="s">
        <v>17</v>
      </c>
      <c r="S40" s="714">
        <f t="shared" si="12"/>
        <v>100</v>
      </c>
      <c r="T40" s="713" t="s">
        <v>17</v>
      </c>
      <c r="U40" s="714">
        <f t="shared" si="13"/>
        <v>100</v>
      </c>
      <c r="V40" s="713" t="s">
        <v>17</v>
      </c>
      <c r="W40" s="714">
        <f t="shared" si="14"/>
        <v>100</v>
      </c>
      <c r="X40" s="1488"/>
      <c r="Y40" s="3454"/>
      <c r="Z40" s="1489" t="str">
        <f t="shared" si="15"/>
        <v>单套建筑面积</v>
      </c>
      <c r="AA40" s="1486">
        <f t="shared" si="3"/>
        <v>1</v>
      </c>
      <c r="AB40" s="1486">
        <f t="shared" si="4"/>
        <v>1</v>
      </c>
      <c r="AC40" s="1486">
        <f t="shared" si="5"/>
        <v>1</v>
      </c>
    </row>
    <row r="41" spans="1:29" s="429" customFormat="1" ht="15">
      <c r="A41" s="426"/>
      <c r="B41" s="1487"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7"/>
      <c r="M41" s="2899"/>
      <c r="N41" s="2899"/>
      <c r="O41" s="2899"/>
      <c r="P41" s="3518"/>
      <c r="Q41" s="715" t="str">
        <f t="shared" si="11"/>
        <v>进深比</v>
      </c>
      <c r="R41" s="716" t="s">
        <v>17</v>
      </c>
      <c r="S41" s="717">
        <f t="shared" si="12"/>
        <v>100</v>
      </c>
      <c r="T41" s="716" t="s">
        <v>17</v>
      </c>
      <c r="U41" s="717">
        <f t="shared" si="13"/>
        <v>100</v>
      </c>
      <c r="V41" s="716" t="s">
        <v>17</v>
      </c>
      <c r="W41" s="717">
        <f t="shared" si="14"/>
        <v>100</v>
      </c>
      <c r="X41" s="718"/>
      <c r="Y41" s="3454"/>
      <c r="Z41" s="719" t="str">
        <f t="shared" si="15"/>
        <v>进深比</v>
      </c>
      <c r="AA41" s="1486">
        <f t="shared" si="3"/>
        <v>1</v>
      </c>
      <c r="AB41" s="1486">
        <f t="shared" si="4"/>
        <v>1</v>
      </c>
      <c r="AC41" s="1486">
        <f t="shared" si="5"/>
        <v>1</v>
      </c>
    </row>
    <row r="42" spans="1:29" ht="15">
      <c r="A42" s="430"/>
      <c r="B42" s="380" t="s">
        <v>2248</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8"/>
      <c r="M42" s="2892"/>
      <c r="N42" s="2892"/>
      <c r="O42" s="2892"/>
      <c r="P42" s="3518"/>
      <c r="Q42" s="1485" t="str">
        <f t="shared" si="11"/>
        <v>内部装修</v>
      </c>
      <c r="R42" s="713" t="s">
        <v>17</v>
      </c>
      <c r="S42" s="714">
        <f t="shared" si="12"/>
        <v>100</v>
      </c>
      <c r="T42" s="713" t="s">
        <v>17</v>
      </c>
      <c r="U42" s="714">
        <f t="shared" si="13"/>
        <v>100</v>
      </c>
      <c r="V42" s="713" t="s">
        <v>17</v>
      </c>
      <c r="W42" s="714">
        <f t="shared" si="14"/>
        <v>100</v>
      </c>
      <c r="X42" s="1488"/>
      <c r="Y42" s="3454"/>
      <c r="Z42" s="1489" t="str">
        <f t="shared" si="15"/>
        <v>内部装修</v>
      </c>
      <c r="AA42" s="1486">
        <f t="shared" si="3"/>
        <v>1</v>
      </c>
      <c r="AB42" s="1486">
        <f t="shared" si="4"/>
        <v>1</v>
      </c>
      <c r="AC42" s="1486">
        <f t="shared" si="5"/>
        <v>1</v>
      </c>
    </row>
    <row r="43" spans="1:29" ht="15">
      <c r="A43" s="430"/>
      <c r="B43" s="380" t="s">
        <v>2156</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8"/>
      <c r="M43" s="2892"/>
      <c r="N43" s="2892"/>
      <c r="O43" s="2892"/>
      <c r="P43" s="3518"/>
      <c r="Q43" s="1485" t="str">
        <f t="shared" si="11"/>
        <v>内部装修维护情况</v>
      </c>
      <c r="R43" s="713" t="s">
        <v>17</v>
      </c>
      <c r="S43" s="714">
        <f t="shared" si="12"/>
        <v>100</v>
      </c>
      <c r="T43" s="713" t="s">
        <v>17</v>
      </c>
      <c r="U43" s="714">
        <f t="shared" si="13"/>
        <v>100</v>
      </c>
      <c r="V43" s="713" t="s">
        <v>17</v>
      </c>
      <c r="W43" s="714">
        <f t="shared" si="14"/>
        <v>100</v>
      </c>
      <c r="X43" s="1488"/>
      <c r="Y43" s="3454"/>
      <c r="Z43" s="1489" t="str">
        <f t="shared" si="15"/>
        <v>内部装修维护情况</v>
      </c>
      <c r="AA43" s="1486">
        <f t="shared" si="3"/>
        <v>1</v>
      </c>
      <c r="AB43" s="1486">
        <f t="shared" si="4"/>
        <v>1</v>
      </c>
      <c r="AC43" s="1486">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3"/>
      <c r="M44" s="2894"/>
      <c r="N44" s="2894"/>
      <c r="O44" s="2894"/>
      <c r="P44" s="3518"/>
      <c r="Q44" s="1476">
        <f t="shared" si="11"/>
        <v>111</v>
      </c>
      <c r="R44" s="709" t="s">
        <v>17</v>
      </c>
      <c r="S44" s="710">
        <f t="shared" si="12"/>
        <v>100</v>
      </c>
      <c r="T44" s="709" t="s">
        <v>17</v>
      </c>
      <c r="U44" s="710">
        <f t="shared" si="13"/>
        <v>100</v>
      </c>
      <c r="V44" s="709" t="s">
        <v>17</v>
      </c>
      <c r="W44" s="710">
        <f t="shared" si="14"/>
        <v>100</v>
      </c>
      <c r="X44" s="711"/>
      <c r="Y44" s="3454"/>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8"/>
      <c r="M45" s="2892"/>
      <c r="N45" s="2892"/>
      <c r="O45" s="2892"/>
      <c r="P45" s="3518"/>
      <c r="Q45" s="1485">
        <f t="shared" si="11"/>
        <v>111</v>
      </c>
      <c r="R45" s="713" t="s">
        <v>17</v>
      </c>
      <c r="S45" s="714">
        <f t="shared" si="12"/>
        <v>100</v>
      </c>
      <c r="T45" s="713" t="s">
        <v>17</v>
      </c>
      <c r="U45" s="714">
        <f t="shared" si="13"/>
        <v>100</v>
      </c>
      <c r="V45" s="713" t="s">
        <v>17</v>
      </c>
      <c r="W45" s="714">
        <f t="shared" si="14"/>
        <v>100</v>
      </c>
      <c r="X45" s="1488"/>
      <c r="Y45" s="3454"/>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8"/>
      <c r="M46" s="2892"/>
      <c r="N46" s="2892"/>
      <c r="O46" s="2892"/>
      <c r="P46" s="3519"/>
      <c r="Q46" s="1485">
        <f t="shared" si="11"/>
        <v>111</v>
      </c>
      <c r="R46" s="713" t="s">
        <v>17</v>
      </c>
      <c r="S46" s="714">
        <f t="shared" si="12"/>
        <v>100</v>
      </c>
      <c r="T46" s="713" t="s">
        <v>17</v>
      </c>
      <c r="U46" s="714">
        <f t="shared" si="13"/>
        <v>100</v>
      </c>
      <c r="V46" s="713" t="s">
        <v>17</v>
      </c>
      <c r="W46" s="714">
        <f t="shared" si="14"/>
        <v>100</v>
      </c>
      <c r="X46" s="1488"/>
      <c r="Y46" s="3520"/>
      <c r="Z46" s="1489">
        <f t="shared" si="15"/>
        <v>111</v>
      </c>
      <c r="AA46" s="1486">
        <f t="shared" si="3"/>
        <v>1</v>
      </c>
      <c r="AB46" s="1486">
        <f t="shared" si="4"/>
        <v>1</v>
      </c>
      <c r="AC46" s="1486">
        <f t="shared" si="5"/>
        <v>1</v>
      </c>
    </row>
    <row r="47" spans="1:29" ht="15">
      <c r="A47" s="437" t="s">
        <v>2157</v>
      </c>
      <c r="B47" s="438"/>
      <c r="C47" s="1268" t="s">
        <v>1</v>
      </c>
      <c r="D47" s="1269"/>
      <c r="E47" s="1270"/>
      <c r="F47" s="1271"/>
      <c r="G47" s="1272"/>
      <c r="H47" s="1273"/>
      <c r="I47" s="1270"/>
      <c r="J47" s="1273"/>
      <c r="K47" s="722"/>
      <c r="L47" s="2900"/>
      <c r="M47" s="2901"/>
      <c r="N47" s="2892"/>
      <c r="O47" s="2901"/>
      <c r="P47" s="3450" t="str">
        <f>A47</f>
        <v>成交单价（元/平方米）</v>
      </c>
      <c r="Q47" s="3450"/>
      <c r="R47" s="3455">
        <f>E47</f>
        <v>0</v>
      </c>
      <c r="S47" s="3455"/>
      <c r="T47" s="3455">
        <f>G47</f>
        <v>0</v>
      </c>
      <c r="U47" s="3455"/>
      <c r="V47" s="3455">
        <f>I47</f>
        <v>0</v>
      </c>
      <c r="W47" s="3455"/>
      <c r="X47" s="698"/>
      <c r="Y47" s="720"/>
      <c r="Z47" s="698"/>
      <c r="AA47" s="698"/>
      <c r="AB47" s="698"/>
      <c r="AC47" s="698"/>
    </row>
    <row r="48" spans="1:29" ht="15.75" thickBot="1">
      <c r="A48" s="444" t="s">
        <v>2249</v>
      </c>
      <c r="B48" s="445"/>
      <c r="C48" s="1274" t="e">
        <f>R49</f>
        <v>#DIV/0!</v>
      </c>
      <c r="D48" s="2486" t="s">
        <v>2637</v>
      </c>
      <c r="E48" s="1275" t="e">
        <f>R48</f>
        <v>#DIV/0!</v>
      </c>
      <c r="F48" s="2487"/>
      <c r="G48" s="1274" t="e">
        <f>T48</f>
        <v>#DIV/0!</v>
      </c>
      <c r="H48" s="2487"/>
      <c r="I48" s="1275" t="e">
        <f>V48</f>
        <v>#DIV/0!</v>
      </c>
      <c r="J48" s="2487"/>
      <c r="K48" s="2489">
        <f>F48+H48+J48</f>
        <v>0</v>
      </c>
      <c r="L48" s="2900"/>
      <c r="M48" s="2901"/>
      <c r="N48" s="2892"/>
      <c r="O48" s="2901"/>
      <c r="P48" s="3450" t="str">
        <f>A48</f>
        <v>比较价值（元/平方米）</v>
      </c>
      <c r="Q48" s="3450"/>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0"/>
      <c r="M49" s="2901"/>
      <c r="N49" s="2892"/>
      <c r="O49" s="2901"/>
      <c r="P49" s="3444" t="str">
        <f>A49</f>
        <v>估价对象XX用房的比较价值（楼面单价，元/平方米）</v>
      </c>
      <c r="Q49" s="3445"/>
      <c r="R49" s="3515" t="e">
        <f>IF(F1="售价",ROUND(IF(D48="简单平均",AVERAGE(R48:V48),R48*F48+T48*H48+V48*J48),0),ROUND(IF(D48="简单平均",AVERAGE(R48:V48),R48*F48+T48*H48+V48*J48),1))</f>
        <v>#DIV/0!</v>
      </c>
      <c r="S49" s="3515"/>
      <c r="T49" s="3515"/>
      <c r="U49" s="3515"/>
      <c r="V49" s="3515"/>
      <c r="W49" s="3515"/>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8" customFormat="1" ht="13.5" customHeight="1">
      <c r="A54" s="2904"/>
      <c r="B54" s="2904"/>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8"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2" t="s">
        <v>2254</v>
      </c>
      <c r="B57" s="698"/>
      <c r="C57" s="703"/>
      <c r="D57" s="703"/>
      <c r="E57" s="703"/>
      <c r="F57" s="704"/>
      <c r="G57" s="704"/>
      <c r="H57" s="703"/>
      <c r="I57" s="703"/>
      <c r="J57" s="703"/>
      <c r="K57" s="705"/>
      <c r="L57" s="1053"/>
      <c r="M57" s="1051"/>
      <c r="N57" s="1051"/>
      <c r="O57" s="1051"/>
      <c r="P57" s="2914"/>
      <c r="Q57" s="2915"/>
      <c r="R57" s="2901"/>
      <c r="S57" s="2901"/>
      <c r="T57" s="2901"/>
      <c r="U57" s="2901"/>
      <c r="V57" s="2901"/>
      <c r="W57" s="2901"/>
      <c r="X57" s="2901"/>
      <c r="Y57" s="2901"/>
      <c r="Z57" s="2901"/>
      <c r="AA57" s="2901"/>
      <c r="AB57" s="2901"/>
      <c r="AC57" s="2901"/>
    </row>
    <row r="58" spans="1:29" s="464" customFormat="1" ht="15">
      <c r="A58" s="461" t="s">
        <v>2128</v>
      </c>
      <c r="B58" s="462"/>
      <c r="C58" s="1297" t="str">
        <f>YEAR(C7)&amp;"-"&amp;MONTH(C7)</f>
        <v>2022-8</v>
      </c>
      <c r="D58" s="1298">
        <f>EDATE(C58,-1)</f>
        <v>44743</v>
      </c>
      <c r="E58" s="1298">
        <f t="shared" ref="E58:N58" si="16">EDATE(D58,-1)</f>
        <v>44713</v>
      </c>
      <c r="F58" s="1298">
        <f t="shared" si="16"/>
        <v>44682</v>
      </c>
      <c r="G58" s="1298">
        <f t="shared" si="16"/>
        <v>44652</v>
      </c>
      <c r="H58" s="1298">
        <f t="shared" si="16"/>
        <v>44621</v>
      </c>
      <c r="I58" s="1298">
        <f t="shared" si="16"/>
        <v>44593</v>
      </c>
      <c r="J58" s="1298">
        <f t="shared" si="16"/>
        <v>44562</v>
      </c>
      <c r="K58" s="1298">
        <f t="shared" si="16"/>
        <v>44531</v>
      </c>
      <c r="L58" s="1298">
        <f t="shared" si="16"/>
        <v>44501</v>
      </c>
      <c r="M58" s="1298">
        <f t="shared" si="16"/>
        <v>44470</v>
      </c>
      <c r="N58" s="1298">
        <f t="shared" si="16"/>
        <v>44440</v>
      </c>
      <c r="O58" s="1298">
        <f>EDATE(N58,-1)</f>
        <v>44409</v>
      </c>
      <c r="P58" s="2916"/>
      <c r="Q58" s="2917"/>
      <c r="R58" s="2917"/>
      <c r="S58" s="2917"/>
      <c r="T58" s="2917"/>
      <c r="U58" s="2917"/>
      <c r="V58" s="2917"/>
      <c r="W58" s="2917"/>
      <c r="X58" s="2917"/>
      <c r="Y58" s="2917"/>
      <c r="Z58" s="2917"/>
      <c r="AA58" s="2917"/>
      <c r="AB58" s="2917"/>
      <c r="AC58" s="2917"/>
    </row>
    <row r="59" spans="1:29" s="113" customFormat="1" ht="15">
      <c r="A59" s="465"/>
      <c r="B59" s="466"/>
      <c r="C59" s="1296">
        <v>100</v>
      </c>
      <c r="D59" s="468"/>
      <c r="E59" s="468"/>
      <c r="F59" s="468"/>
      <c r="G59" s="468"/>
      <c r="H59" s="468"/>
      <c r="I59" s="468"/>
      <c r="J59" s="468"/>
      <c r="K59" s="468"/>
      <c r="L59" s="468"/>
      <c r="M59" s="469"/>
      <c r="N59" s="468"/>
      <c r="O59" s="469"/>
      <c r="P59" s="2918"/>
      <c r="Q59" s="2835"/>
      <c r="R59" s="2835"/>
      <c r="S59" s="2835"/>
      <c r="T59" s="2835"/>
      <c r="U59" s="2835"/>
      <c r="V59" s="2835"/>
      <c r="W59" s="2835"/>
      <c r="X59" s="2835"/>
      <c r="Y59" s="2835"/>
      <c r="Z59" s="2835"/>
      <c r="AA59" s="2835"/>
      <c r="AB59" s="2835"/>
      <c r="AC59" s="2835"/>
    </row>
    <row r="60" spans="1:29" s="113" customFormat="1" ht="15.75" thickBot="1">
      <c r="A60" s="471" t="s">
        <v>2165</v>
      </c>
      <c r="B60" s="472"/>
      <c r="C60" s="473"/>
      <c r="D60" s="474"/>
      <c r="E60" s="474"/>
      <c r="F60" s="474"/>
      <c r="G60" s="474"/>
      <c r="H60" s="474"/>
      <c r="I60" s="474"/>
      <c r="J60" s="474"/>
      <c r="K60" s="474"/>
      <c r="L60" s="474"/>
      <c r="M60" s="475"/>
      <c r="N60" s="474"/>
      <c r="O60" s="475"/>
      <c r="P60" s="2918"/>
      <c r="Q60" s="2915"/>
      <c r="R60" s="2835"/>
      <c r="S60" s="2835"/>
      <c r="T60" s="2835"/>
      <c r="U60" s="2835"/>
      <c r="V60" s="2835"/>
      <c r="W60" s="2835"/>
      <c r="X60" s="2835"/>
      <c r="Y60" s="2835"/>
      <c r="Z60" s="2835"/>
      <c r="AA60" s="2835"/>
      <c r="AB60" s="2835"/>
      <c r="AC60" s="2835"/>
    </row>
    <row r="61" spans="1:29" s="113" customFormat="1" ht="15">
      <c r="A61" s="477" t="s">
        <v>2130</v>
      </c>
      <c r="B61" s="466"/>
      <c r="C61" s="478" t="s">
        <v>2232</v>
      </c>
      <c r="D61" s="479"/>
      <c r="E61" s="479"/>
      <c r="F61" s="479"/>
      <c r="G61" s="479"/>
      <c r="H61" s="479"/>
      <c r="I61" s="479"/>
      <c r="J61" s="479"/>
      <c r="K61" s="479"/>
      <c r="L61" s="480"/>
      <c r="M61" s="481"/>
      <c r="N61" s="2928"/>
      <c r="O61" s="2928"/>
      <c r="P61" s="2919"/>
      <c r="Q61" s="2915"/>
      <c r="R61" s="2835"/>
      <c r="S61" s="2835"/>
      <c r="T61" s="2835"/>
      <c r="U61" s="2835"/>
      <c r="V61" s="2835"/>
      <c r="W61" s="2835"/>
      <c r="X61" s="2835"/>
      <c r="Y61" s="2835"/>
      <c r="Z61" s="2835"/>
      <c r="AA61" s="2835"/>
      <c r="AB61" s="2835"/>
      <c r="AC61" s="2835"/>
    </row>
    <row r="62" spans="1:29" s="113" customFormat="1" ht="15.75" thickBot="1">
      <c r="A62" s="477"/>
      <c r="B62" s="466"/>
      <c r="C62" s="467">
        <v>100</v>
      </c>
      <c r="D62" s="468"/>
      <c r="E62" s="468"/>
      <c r="F62" s="468"/>
      <c r="G62" s="468"/>
      <c r="H62" s="468"/>
      <c r="I62" s="468"/>
      <c r="J62" s="468"/>
      <c r="K62" s="468"/>
      <c r="L62" s="468"/>
      <c r="M62" s="470"/>
      <c r="N62" s="2928"/>
      <c r="O62" s="2928"/>
      <c r="P62" s="2918"/>
      <c r="Q62" s="2915"/>
      <c r="R62" s="2835"/>
      <c r="S62" s="2835"/>
      <c r="T62" s="2835"/>
      <c r="U62" s="2835"/>
      <c r="V62" s="2835"/>
      <c r="W62" s="2835"/>
      <c r="X62" s="2835"/>
      <c r="Y62" s="2835"/>
      <c r="Z62" s="2835"/>
      <c r="AA62" s="2835"/>
      <c r="AB62" s="2835"/>
      <c r="AC62" s="2835"/>
    </row>
    <row r="63" spans="1:29">
      <c r="A63" s="483" t="s">
        <v>2168</v>
      </c>
      <c r="B63" s="484" t="s">
        <v>2134</v>
      </c>
      <c r="C63" s="485">
        <f>C9</f>
        <v>0</v>
      </c>
      <c r="D63" s="486"/>
      <c r="E63" s="486"/>
      <c r="F63" s="486"/>
      <c r="G63" s="486"/>
      <c r="H63" s="486"/>
      <c r="I63" s="486"/>
      <c r="J63" s="486"/>
      <c r="K63" s="487"/>
      <c r="L63" s="488"/>
      <c r="M63" s="489"/>
      <c r="N63" s="2929"/>
      <c r="O63" s="2929"/>
      <c r="P63" s="2920"/>
      <c r="Q63" s="2915"/>
      <c r="R63" s="2901"/>
      <c r="S63" s="2901"/>
      <c r="T63" s="2901"/>
      <c r="U63" s="2901"/>
      <c r="V63" s="2901"/>
      <c r="W63" s="2901"/>
      <c r="X63" s="2901"/>
      <c r="Y63" s="2901"/>
      <c r="Z63" s="2901"/>
      <c r="AA63" s="2901"/>
      <c r="AB63" s="2901"/>
      <c r="AC63" s="2901"/>
    </row>
    <row r="64" spans="1:29" ht="15.75" thickBot="1">
      <c r="A64" s="490"/>
      <c r="B64" s="491"/>
      <c r="C64" s="492">
        <v>100</v>
      </c>
      <c r="D64" s="492"/>
      <c r="E64" s="492"/>
      <c r="F64" s="492"/>
      <c r="G64" s="492"/>
      <c r="H64" s="492"/>
      <c r="I64" s="492"/>
      <c r="J64" s="492"/>
      <c r="K64" s="492"/>
      <c r="L64" s="492"/>
      <c r="M64" s="493"/>
      <c r="N64" s="2930"/>
      <c r="O64" s="2930"/>
      <c r="P64" s="2920"/>
      <c r="Q64" s="2915"/>
      <c r="R64" s="2901"/>
      <c r="S64" s="2901"/>
      <c r="T64" s="2901"/>
      <c r="U64" s="2901"/>
      <c r="V64" s="2901"/>
      <c r="W64" s="2901"/>
      <c r="X64" s="2901"/>
      <c r="Y64" s="2901"/>
      <c r="Z64" s="2901"/>
      <c r="AA64" s="2901"/>
      <c r="AB64" s="2901"/>
      <c r="AC64" s="2901"/>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9"/>
      <c r="O65" s="2929"/>
      <c r="P65" s="2920"/>
      <c r="Q65" s="2915"/>
      <c r="R65" s="2901"/>
      <c r="S65" s="2901"/>
      <c r="T65" s="2901"/>
      <c r="U65" s="2901"/>
      <c r="V65" s="2901"/>
      <c r="W65" s="2901"/>
      <c r="X65" s="2901"/>
      <c r="Y65" s="2901"/>
      <c r="Z65" s="2901"/>
      <c r="AA65" s="2901"/>
      <c r="AB65" s="2901"/>
      <c r="AC65" s="290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0"/>
      <c r="O66" s="2930"/>
      <c r="P66" s="2920"/>
      <c r="Q66" s="2915"/>
      <c r="R66" s="2901"/>
      <c r="S66" s="2901"/>
      <c r="T66" s="2901"/>
      <c r="U66" s="2901"/>
      <c r="V66" s="2901"/>
      <c r="W66" s="2901"/>
      <c r="X66" s="2901"/>
      <c r="Y66" s="2901"/>
      <c r="Z66" s="2901"/>
      <c r="AA66" s="2901"/>
      <c r="AB66" s="2901"/>
      <c r="AC66" s="2901"/>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0"/>
      <c r="B68" s="504"/>
      <c r="C68" s="505"/>
      <c r="D68" s="505"/>
      <c r="E68" s="505"/>
      <c r="F68" s="505"/>
      <c r="G68" s="505"/>
      <c r="H68" s="505"/>
      <c r="I68" s="505"/>
      <c r="J68" s="505"/>
      <c r="K68" s="506"/>
      <c r="L68" s="507"/>
      <c r="M68" s="508"/>
      <c r="N68" s="2929"/>
      <c r="O68" s="2929"/>
      <c r="P68" s="2920"/>
      <c r="Q68" s="2915"/>
      <c r="R68" s="2901"/>
      <c r="S68" s="2901"/>
      <c r="T68" s="2901"/>
      <c r="U68" s="2901"/>
      <c r="V68" s="2901"/>
      <c r="W68" s="2901"/>
      <c r="X68" s="2901"/>
      <c r="Y68" s="2901"/>
      <c r="Z68" s="2901"/>
      <c r="AA68" s="2901"/>
      <c r="AB68" s="2901"/>
      <c r="AC68" s="290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0"/>
      <c r="O69" s="2930"/>
      <c r="P69" s="2920"/>
      <c r="Q69" s="2915"/>
      <c r="R69" s="2901"/>
      <c r="S69" s="2901"/>
      <c r="T69" s="2901"/>
      <c r="U69" s="2901"/>
      <c r="V69" s="2901"/>
      <c r="W69" s="2901"/>
      <c r="X69" s="2901"/>
      <c r="Y69" s="2901"/>
      <c r="Z69" s="2901"/>
      <c r="AA69" s="2901"/>
      <c r="AB69" s="2901"/>
      <c r="AC69" s="2901"/>
    </row>
    <row r="70" spans="1:29" s="429" customFormat="1" ht="15.75" thickTop="1">
      <c r="A70" s="509"/>
      <c r="B70" s="494">
        <f>B12</f>
        <v>111</v>
      </c>
      <c r="C70" s="510"/>
      <c r="D70" s="510"/>
      <c r="E70" s="510"/>
      <c r="F70" s="510"/>
      <c r="G70" s="510"/>
      <c r="H70" s="511"/>
      <c r="I70" s="511"/>
      <c r="J70" s="511"/>
      <c r="K70" s="511"/>
      <c r="L70" s="512"/>
      <c r="M70" s="513"/>
      <c r="N70" s="2931"/>
      <c r="O70" s="2931"/>
      <c r="P70" s="2921"/>
      <c r="Q70" s="2922"/>
      <c r="R70" s="2923"/>
      <c r="S70" s="2923"/>
      <c r="T70" s="2923"/>
      <c r="U70" s="2923"/>
      <c r="V70" s="2923"/>
      <c r="W70" s="2923"/>
      <c r="X70" s="2923"/>
      <c r="Y70" s="2923"/>
      <c r="Z70" s="2923"/>
      <c r="AA70" s="2923"/>
      <c r="AB70" s="2923"/>
      <c r="AC70" s="2923"/>
    </row>
    <row r="71" spans="1:29" s="429" customFormat="1" ht="15.75" thickBot="1">
      <c r="A71" s="509"/>
      <c r="B71" s="499"/>
      <c r="C71" s="516"/>
      <c r="D71" s="492"/>
      <c r="E71" s="492"/>
      <c r="F71" s="492"/>
      <c r="G71" s="492"/>
      <c r="H71" s="492"/>
      <c r="I71" s="492"/>
      <c r="J71" s="492"/>
      <c r="K71" s="492"/>
      <c r="L71" s="492"/>
      <c r="M71" s="493"/>
      <c r="N71" s="2930"/>
      <c r="O71" s="2930"/>
      <c r="P71" s="2921"/>
      <c r="Q71" s="2922"/>
      <c r="R71" s="2923"/>
      <c r="S71" s="2923"/>
      <c r="T71" s="2923"/>
      <c r="U71" s="2923"/>
      <c r="V71" s="2923"/>
      <c r="W71" s="2923"/>
      <c r="X71" s="2923"/>
      <c r="Y71" s="2923"/>
      <c r="Z71" s="2923"/>
      <c r="AA71" s="2923"/>
      <c r="AB71" s="2923"/>
      <c r="AC71" s="2923"/>
    </row>
    <row r="72" spans="1:29" s="429" customFormat="1" ht="15.75" thickTop="1">
      <c r="A72" s="509"/>
      <c r="B72" s="494">
        <f>B13</f>
        <v>111</v>
      </c>
      <c r="C72" s="510"/>
      <c r="D72" s="510"/>
      <c r="E72" s="510"/>
      <c r="F72" s="510"/>
      <c r="G72" s="510"/>
      <c r="H72" s="511"/>
      <c r="I72" s="511"/>
      <c r="J72" s="511"/>
      <c r="K72" s="511"/>
      <c r="L72" s="512"/>
      <c r="M72" s="513"/>
      <c r="N72" s="2931"/>
      <c r="O72" s="2931"/>
      <c r="P72" s="2924"/>
      <c r="Q72" s="2925"/>
      <c r="R72" s="2923"/>
      <c r="S72" s="2923"/>
      <c r="T72" s="2923"/>
      <c r="U72" s="2923"/>
      <c r="V72" s="2923"/>
      <c r="W72" s="2923"/>
      <c r="X72" s="2923"/>
      <c r="Y72" s="2923"/>
      <c r="Z72" s="2923"/>
      <c r="AA72" s="2923"/>
      <c r="AB72" s="2923"/>
      <c r="AC72" s="2923"/>
    </row>
    <row r="73" spans="1:29" s="429" customFormat="1" ht="15.75" thickBot="1">
      <c r="A73" s="509"/>
      <c r="B73" s="499"/>
      <c r="C73" s="516"/>
      <c r="D73" s="492"/>
      <c r="E73" s="492"/>
      <c r="F73" s="492"/>
      <c r="G73" s="516"/>
      <c r="H73" s="518"/>
      <c r="I73" s="518"/>
      <c r="J73" s="518"/>
      <c r="K73" s="518"/>
      <c r="L73" s="518"/>
      <c r="M73" s="519"/>
      <c r="N73" s="2931"/>
      <c r="O73" s="2931"/>
      <c r="P73" s="2921"/>
      <c r="Q73" s="2922"/>
      <c r="R73" s="2923"/>
      <c r="S73" s="2923"/>
      <c r="T73" s="2923"/>
      <c r="U73" s="2923"/>
      <c r="V73" s="2923"/>
      <c r="W73" s="2923"/>
      <c r="X73" s="2923"/>
      <c r="Y73" s="2923"/>
      <c r="Z73" s="2923"/>
      <c r="AA73" s="2923"/>
      <c r="AB73" s="2923"/>
      <c r="AC73" s="2923"/>
    </row>
    <row r="74" spans="1:29" s="429" customFormat="1" ht="15.75" thickTop="1">
      <c r="A74" s="509"/>
      <c r="B74" s="502">
        <f>B14</f>
        <v>111</v>
      </c>
      <c r="C74" s="510"/>
      <c r="D74" s="510"/>
      <c r="E74" s="510"/>
      <c r="F74" s="510"/>
      <c r="G74" s="479"/>
      <c r="H74" s="520"/>
      <c r="I74" s="520"/>
      <c r="J74" s="520"/>
      <c r="K74" s="520"/>
      <c r="L74" s="521"/>
      <c r="M74" s="522"/>
      <c r="N74" s="2931"/>
      <c r="O74" s="2931"/>
      <c r="P74" s="2926"/>
      <c r="Q74" s="2922"/>
      <c r="R74" s="2923"/>
      <c r="S74" s="2923"/>
      <c r="T74" s="2923"/>
      <c r="U74" s="2923"/>
      <c r="V74" s="2923"/>
      <c r="W74" s="2923"/>
      <c r="X74" s="2923"/>
      <c r="Y74" s="2923"/>
      <c r="Z74" s="2923"/>
      <c r="AA74" s="2923"/>
      <c r="AB74" s="2923"/>
      <c r="AC74" s="2923"/>
    </row>
    <row r="75" spans="1:29" s="429" customFormat="1" ht="15.75" thickBot="1">
      <c r="A75" s="524"/>
      <c r="B75" s="525"/>
      <c r="C75" s="526"/>
      <c r="D75" s="526"/>
      <c r="E75" s="526"/>
      <c r="F75" s="526"/>
      <c r="G75" s="526"/>
      <c r="H75" s="527"/>
      <c r="I75" s="527"/>
      <c r="J75" s="527"/>
      <c r="K75" s="527"/>
      <c r="L75" s="527"/>
      <c r="M75" s="528"/>
      <c r="N75" s="2931"/>
      <c r="O75" s="2931"/>
      <c r="P75" s="2921"/>
      <c r="Q75" s="2922"/>
      <c r="R75" s="2923"/>
      <c r="S75" s="2923"/>
      <c r="T75" s="2923"/>
      <c r="U75" s="2923"/>
      <c r="V75" s="2923"/>
      <c r="W75" s="2923"/>
      <c r="X75" s="2923"/>
      <c r="Y75" s="2923"/>
      <c r="Z75" s="2923"/>
      <c r="AA75" s="2923"/>
      <c r="AB75" s="2923"/>
      <c r="AC75" s="2923"/>
    </row>
    <row r="76" spans="1:29">
      <c r="A76" s="483" t="s">
        <v>2139</v>
      </c>
      <c r="B76" s="484" t="s">
        <v>2176</v>
      </c>
      <c r="C76" s="529" t="s">
        <v>2177</v>
      </c>
      <c r="D76" s="529" t="s">
        <v>2178</v>
      </c>
      <c r="E76" s="529" t="s">
        <v>2179</v>
      </c>
      <c r="F76" s="529" t="s">
        <v>2180</v>
      </c>
      <c r="G76" s="529" t="s">
        <v>2181</v>
      </c>
      <c r="H76" s="485"/>
      <c r="I76" s="485"/>
      <c r="J76" s="485"/>
      <c r="K76" s="530"/>
      <c r="L76" s="531"/>
      <c r="M76" s="532"/>
      <c r="N76" s="2929"/>
      <c r="O76" s="2929"/>
      <c r="P76" s="2927"/>
      <c r="Q76" s="2915"/>
      <c r="R76" s="2901"/>
      <c r="S76" s="2901"/>
      <c r="T76" s="2901"/>
      <c r="U76" s="2901"/>
      <c r="V76" s="2901"/>
      <c r="W76" s="2901"/>
      <c r="X76" s="2901"/>
      <c r="Y76" s="2901"/>
      <c r="Z76" s="2901"/>
      <c r="AA76" s="2901"/>
      <c r="AB76" s="2901"/>
      <c r="AC76" s="290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0"/>
      <c r="O77" s="2930"/>
      <c r="P77" s="2920"/>
      <c r="Q77" s="2915"/>
      <c r="R77" s="2901"/>
      <c r="S77" s="2901"/>
      <c r="T77" s="2901"/>
      <c r="U77" s="2901"/>
      <c r="V77" s="2901"/>
      <c r="W77" s="2901"/>
      <c r="X77" s="2901"/>
      <c r="Y77" s="2901"/>
      <c r="Z77" s="2901"/>
      <c r="AA77" s="2901"/>
      <c r="AB77" s="2901"/>
      <c r="AC77" s="2901"/>
    </row>
    <row r="78" spans="1:29" ht="15.75" thickTop="1">
      <c r="A78" s="490"/>
      <c r="B78" s="494" t="s">
        <v>2182</v>
      </c>
      <c r="C78" s="534" t="s">
        <v>2177</v>
      </c>
      <c r="D78" s="534" t="s">
        <v>2178</v>
      </c>
      <c r="E78" s="534" t="s">
        <v>2179</v>
      </c>
      <c r="F78" s="534" t="s">
        <v>2180</v>
      </c>
      <c r="G78" s="534" t="s">
        <v>2181</v>
      </c>
      <c r="H78" s="495"/>
      <c r="I78" s="495"/>
      <c r="J78" s="495"/>
      <c r="K78" s="496"/>
      <c r="L78" s="497"/>
      <c r="M78" s="498"/>
      <c r="N78" s="2929"/>
      <c r="O78" s="2929"/>
      <c r="P78" s="2920"/>
      <c r="Q78" s="2915"/>
      <c r="R78" s="2901"/>
      <c r="S78" s="2901"/>
      <c r="T78" s="2901"/>
      <c r="U78" s="2901"/>
      <c r="V78" s="2901"/>
      <c r="W78" s="2901"/>
      <c r="X78" s="2901"/>
      <c r="Y78" s="2901"/>
      <c r="Z78" s="2901"/>
      <c r="AA78" s="2901"/>
      <c r="AB78" s="2901"/>
      <c r="AC78" s="290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0"/>
      <c r="O79" s="2930"/>
      <c r="P79" s="2920"/>
      <c r="Q79" s="2915"/>
      <c r="R79" s="2901"/>
      <c r="S79" s="2901"/>
      <c r="T79" s="2901"/>
      <c r="U79" s="2901"/>
      <c r="V79" s="2901"/>
      <c r="W79" s="2901"/>
      <c r="X79" s="2901"/>
      <c r="Y79" s="2901"/>
      <c r="Z79" s="2901"/>
      <c r="AA79" s="2901"/>
      <c r="AB79" s="2901"/>
      <c r="AC79" s="2901"/>
    </row>
    <row r="80" spans="1:29" ht="15.75" thickTop="1">
      <c r="A80" s="490"/>
      <c r="B80" s="494" t="s">
        <v>2183</v>
      </c>
      <c r="C80" s="534" t="s">
        <v>2177</v>
      </c>
      <c r="D80" s="534" t="s">
        <v>2178</v>
      </c>
      <c r="E80" s="534" t="s">
        <v>2179</v>
      </c>
      <c r="F80" s="534" t="s">
        <v>2180</v>
      </c>
      <c r="G80" s="534" t="s">
        <v>2181</v>
      </c>
      <c r="H80" s="495"/>
      <c r="I80" s="495"/>
      <c r="J80" s="495"/>
      <c r="K80" s="496"/>
      <c r="L80" s="497"/>
      <c r="M80" s="498"/>
      <c r="N80" s="2929"/>
      <c r="O80" s="2929"/>
      <c r="P80" s="2920"/>
      <c r="Q80" s="2915"/>
      <c r="R80" s="2901"/>
      <c r="S80" s="2901"/>
      <c r="T80" s="2901"/>
      <c r="U80" s="2901"/>
      <c r="V80" s="2901"/>
      <c r="W80" s="2901"/>
      <c r="X80" s="2901"/>
      <c r="Y80" s="2901"/>
      <c r="Z80" s="2901"/>
      <c r="AA80" s="2901"/>
      <c r="AB80" s="2901"/>
      <c r="AC80" s="290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0"/>
      <c r="O81" s="2930"/>
      <c r="P81" s="2920"/>
      <c r="Q81" s="2915"/>
      <c r="R81" s="2901"/>
      <c r="S81" s="2901"/>
      <c r="T81" s="2901"/>
      <c r="U81" s="2901"/>
      <c r="V81" s="2901"/>
      <c r="W81" s="2901"/>
      <c r="X81" s="2901"/>
      <c r="Y81" s="2901"/>
      <c r="Z81" s="2901"/>
      <c r="AA81" s="2901"/>
      <c r="AB81" s="2901"/>
      <c r="AC81" s="2901"/>
    </row>
    <row r="82" spans="1:29" ht="15.75" thickTop="1">
      <c r="A82" s="490"/>
      <c r="B82" s="502" t="s">
        <v>2235</v>
      </c>
      <c r="C82" s="615" t="s">
        <v>2255</v>
      </c>
      <c r="D82" s="615" t="s">
        <v>2256</v>
      </c>
      <c r="E82" s="615" t="s">
        <v>2257</v>
      </c>
      <c r="F82" s="615" t="s">
        <v>2258</v>
      </c>
      <c r="G82" s="615" t="s">
        <v>2259</v>
      </c>
      <c r="H82" s="495"/>
      <c r="I82" s="495"/>
      <c r="J82" s="495"/>
      <c r="K82" s="495"/>
      <c r="L82" s="495"/>
      <c r="M82" s="1243"/>
      <c r="N82" s="2930"/>
      <c r="O82" s="2930"/>
      <c r="P82" s="2920"/>
      <c r="Q82" s="2915"/>
      <c r="R82" s="2901"/>
      <c r="S82" s="2901"/>
      <c r="T82" s="2901"/>
      <c r="U82" s="2901"/>
      <c r="V82" s="2901"/>
      <c r="W82" s="2901"/>
      <c r="X82" s="2901"/>
      <c r="Y82" s="2901"/>
      <c r="Z82" s="2901"/>
      <c r="AA82" s="2901"/>
      <c r="AB82" s="2901"/>
      <c r="AC82" s="290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0"/>
      <c r="O83" s="2930"/>
      <c r="P83" s="2920"/>
      <c r="Q83" s="2915"/>
      <c r="R83" s="2901"/>
      <c r="S83" s="2901"/>
      <c r="T83" s="2901"/>
      <c r="U83" s="2901"/>
      <c r="V83" s="2901"/>
      <c r="W83" s="2901"/>
      <c r="X83" s="2901"/>
      <c r="Y83" s="2901"/>
      <c r="Z83" s="2901"/>
      <c r="AA83" s="2901"/>
      <c r="AB83" s="2901"/>
      <c r="AC83" s="2901"/>
    </row>
    <row r="84" spans="1:29" ht="15.75" thickTop="1">
      <c r="A84" s="490"/>
      <c r="B84" s="494" t="s">
        <v>2189</v>
      </c>
      <c r="C84" s="534" t="s">
        <v>2177</v>
      </c>
      <c r="D84" s="534" t="s">
        <v>2178</v>
      </c>
      <c r="E84" s="534" t="s">
        <v>2179</v>
      </c>
      <c r="F84" s="534" t="s">
        <v>2180</v>
      </c>
      <c r="G84" s="534" t="s">
        <v>2181</v>
      </c>
      <c r="H84" s="495"/>
      <c r="I84" s="495"/>
      <c r="J84" s="495"/>
      <c r="K84" s="496"/>
      <c r="L84" s="497"/>
      <c r="M84" s="498"/>
      <c r="N84" s="2929"/>
      <c r="O84" s="2929"/>
      <c r="P84" s="2920"/>
      <c r="Q84" s="2915"/>
      <c r="R84" s="2901"/>
      <c r="S84" s="2901"/>
      <c r="T84" s="2901"/>
      <c r="U84" s="2901"/>
      <c r="V84" s="2901"/>
      <c r="W84" s="2901"/>
      <c r="X84" s="2901"/>
      <c r="Y84" s="2901"/>
      <c r="Z84" s="2901"/>
      <c r="AA84" s="2901"/>
      <c r="AB84" s="2901"/>
      <c r="AC84" s="290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0"/>
      <c r="O85" s="2930"/>
      <c r="P85" s="2920"/>
      <c r="Q85" s="2915"/>
      <c r="R85" s="2901"/>
      <c r="S85" s="2901"/>
      <c r="T85" s="2901"/>
      <c r="U85" s="2901"/>
      <c r="V85" s="2901"/>
      <c r="W85" s="2901"/>
      <c r="X85" s="2901"/>
      <c r="Y85" s="2901"/>
      <c r="Z85" s="2901"/>
      <c r="AA85" s="2901"/>
      <c r="AB85" s="2901"/>
      <c r="AC85" s="2901"/>
    </row>
    <row r="86" spans="1:29" s="113" customFormat="1" ht="15.75" thickTop="1">
      <c r="A86" s="535"/>
      <c r="B86" s="494" t="s">
        <v>2260</v>
      </c>
      <c r="C86" s="510"/>
      <c r="D86" s="510"/>
      <c r="E86" s="510"/>
      <c r="F86" s="510"/>
      <c r="G86" s="510"/>
      <c r="H86" s="510"/>
      <c r="I86" s="510"/>
      <c r="J86" s="510"/>
      <c r="K86" s="510"/>
      <c r="L86" s="536"/>
      <c r="M86" s="537"/>
      <c r="N86" s="2928"/>
      <c r="O86" s="2928"/>
      <c r="P86" s="2920"/>
      <c r="Q86" s="2915"/>
      <c r="R86" s="2835"/>
      <c r="S86" s="2835"/>
      <c r="T86" s="2835"/>
      <c r="U86" s="2835"/>
      <c r="V86" s="2835"/>
      <c r="W86" s="2835"/>
      <c r="X86" s="2835"/>
      <c r="Y86" s="2835"/>
      <c r="Z86" s="2835"/>
      <c r="AA86" s="2835"/>
      <c r="AB86" s="2835"/>
      <c r="AC86" s="283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5"/>
      <c r="B88" s="494" t="str">
        <f>B26</f>
        <v>平面位置/可视性</v>
      </c>
      <c r="C88" s="510"/>
      <c r="D88" s="510"/>
      <c r="E88" s="510"/>
      <c r="F88" s="2062"/>
      <c r="G88" s="510"/>
      <c r="H88" s="510"/>
      <c r="I88" s="510"/>
      <c r="J88" s="510"/>
      <c r="K88" s="510"/>
      <c r="L88" s="510"/>
      <c r="M88" s="537"/>
      <c r="N88" s="2928"/>
      <c r="O88" s="2928"/>
      <c r="P88" s="2920"/>
      <c r="Q88" s="2915"/>
      <c r="R88" s="2835"/>
      <c r="S88" s="2835"/>
      <c r="T88" s="2835"/>
      <c r="U88" s="2835"/>
      <c r="V88" s="2835"/>
      <c r="W88" s="2835"/>
      <c r="X88" s="2835"/>
      <c r="Y88" s="2835"/>
      <c r="Z88" s="2835"/>
      <c r="AA88" s="2835"/>
      <c r="AB88" s="2835"/>
      <c r="AC88" s="2835"/>
    </row>
    <row r="89" spans="1:29" s="113" customFormat="1" ht="15.75" thickBot="1">
      <c r="A89" s="535"/>
      <c r="B89" s="499"/>
      <c r="C89" s="516"/>
      <c r="D89" s="492"/>
      <c r="E89" s="492"/>
      <c r="F89" s="492"/>
      <c r="G89" s="492"/>
      <c r="H89" s="492"/>
      <c r="I89" s="492"/>
      <c r="J89" s="492"/>
      <c r="K89" s="492"/>
      <c r="L89" s="492"/>
      <c r="M89" s="492"/>
      <c r="N89" s="2930"/>
      <c r="O89" s="2930"/>
      <c r="P89" s="2920"/>
      <c r="Q89" s="2915"/>
      <c r="R89" s="2835"/>
      <c r="S89" s="2835"/>
      <c r="T89" s="2835"/>
      <c r="U89" s="2835"/>
      <c r="V89" s="2835"/>
      <c r="W89" s="2835"/>
      <c r="X89" s="2835"/>
      <c r="Y89" s="2835"/>
      <c r="Z89" s="2835"/>
      <c r="AA89" s="2835"/>
      <c r="AB89" s="2835"/>
      <c r="AC89" s="2835"/>
    </row>
    <row r="90" spans="1:29" s="429" customFormat="1" ht="15.75" thickTop="1">
      <c r="A90" s="509"/>
      <c r="B90" s="494" t="str">
        <f>B27</f>
        <v>人流量</v>
      </c>
      <c r="C90" s="510"/>
      <c r="D90" s="510"/>
      <c r="E90" s="510"/>
      <c r="F90" s="510"/>
      <c r="G90" s="510"/>
      <c r="H90" s="511"/>
      <c r="I90" s="511"/>
      <c r="J90" s="511"/>
      <c r="K90" s="511"/>
      <c r="L90" s="512"/>
      <c r="M90" s="513"/>
      <c r="N90" s="2931"/>
      <c r="O90" s="2931"/>
      <c r="P90" s="2921"/>
      <c r="Q90" s="2922"/>
      <c r="R90" s="2923"/>
      <c r="S90" s="2923"/>
      <c r="T90" s="2923"/>
      <c r="U90" s="2923"/>
      <c r="V90" s="2923"/>
      <c r="W90" s="2923"/>
      <c r="X90" s="2923"/>
      <c r="Y90" s="2923"/>
      <c r="Z90" s="2923"/>
      <c r="AA90" s="2923"/>
      <c r="AB90" s="2923"/>
      <c r="AC90" s="292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0"/>
      <c r="B92" s="494" t="str">
        <f>B28</f>
        <v>楼层</v>
      </c>
      <c r="C92" s="510"/>
      <c r="D92" s="510"/>
      <c r="E92" s="510"/>
      <c r="F92" s="510"/>
      <c r="G92" s="510"/>
      <c r="H92" s="510"/>
      <c r="I92" s="510"/>
      <c r="J92" s="510"/>
      <c r="K92" s="510"/>
      <c r="L92" s="536"/>
      <c r="M92" s="537"/>
      <c r="N92" s="2929"/>
      <c r="O92" s="2929"/>
      <c r="P92" s="2920"/>
      <c r="Q92" s="2915"/>
      <c r="R92" s="2901"/>
      <c r="S92" s="2901"/>
      <c r="T92" s="2901"/>
      <c r="U92" s="2901"/>
      <c r="V92" s="2901"/>
      <c r="W92" s="2901"/>
      <c r="X92" s="2901"/>
      <c r="Y92" s="2901"/>
      <c r="Z92" s="2901"/>
      <c r="AA92" s="2901"/>
      <c r="AB92" s="2901"/>
      <c r="AC92" s="2901"/>
    </row>
    <row r="93" spans="1:29" ht="15.75" thickBot="1">
      <c r="A93" s="490"/>
      <c r="B93" s="499"/>
      <c r="C93" s="492"/>
      <c r="D93" s="492"/>
      <c r="E93" s="492"/>
      <c r="F93" s="492"/>
      <c r="G93" s="492"/>
      <c r="H93" s="492"/>
      <c r="I93" s="492"/>
      <c r="J93" s="492"/>
      <c r="K93" s="492"/>
      <c r="L93" s="492"/>
      <c r="M93" s="493"/>
      <c r="N93" s="2930"/>
      <c r="O93" s="2930"/>
      <c r="P93" s="2920"/>
      <c r="Q93" s="2915"/>
      <c r="R93" s="2901"/>
      <c r="S93" s="2901"/>
      <c r="T93" s="2901"/>
      <c r="U93" s="2901"/>
      <c r="V93" s="2901"/>
      <c r="W93" s="2901"/>
      <c r="X93" s="2901"/>
      <c r="Y93" s="2901"/>
      <c r="Z93" s="2901"/>
      <c r="AA93" s="2901"/>
      <c r="AB93" s="2901"/>
      <c r="AC93" s="2901"/>
    </row>
    <row r="94" spans="1:29" ht="15.75" thickTop="1">
      <c r="A94" s="490"/>
      <c r="B94" s="494">
        <f>B29</f>
        <v>111</v>
      </c>
      <c r="C94" s="510"/>
      <c r="D94" s="510"/>
      <c r="E94" s="510"/>
      <c r="F94" s="510"/>
      <c r="G94" s="539"/>
      <c r="H94" s="539"/>
      <c r="I94" s="539"/>
      <c r="J94" s="539"/>
      <c r="K94" s="540"/>
      <c r="L94" s="541"/>
      <c r="M94" s="542"/>
      <c r="N94" s="2929"/>
      <c r="O94" s="2929"/>
      <c r="P94" s="2920"/>
      <c r="Q94" s="2915"/>
      <c r="R94" s="2901"/>
      <c r="S94" s="2901"/>
      <c r="T94" s="2901"/>
      <c r="U94" s="2901"/>
      <c r="V94" s="2901"/>
      <c r="W94" s="2901"/>
      <c r="X94" s="2901"/>
      <c r="Y94" s="2901"/>
      <c r="Z94" s="2901"/>
      <c r="AA94" s="2901"/>
      <c r="AB94" s="2901"/>
      <c r="AC94" s="2901"/>
    </row>
    <row r="95" spans="1:29" ht="15.75" thickBot="1">
      <c r="A95" s="490"/>
      <c r="B95" s="499"/>
      <c r="C95" s="516"/>
      <c r="D95" s="492"/>
      <c r="E95" s="492"/>
      <c r="F95" s="492"/>
      <c r="G95" s="492"/>
      <c r="H95" s="492"/>
      <c r="I95" s="492"/>
      <c r="J95" s="492"/>
      <c r="K95" s="492"/>
      <c r="L95" s="492"/>
      <c r="M95" s="493"/>
      <c r="N95" s="2930"/>
      <c r="O95" s="2930"/>
      <c r="P95" s="2920"/>
      <c r="Q95" s="2915"/>
      <c r="R95" s="2901"/>
      <c r="S95" s="2901"/>
      <c r="T95" s="2901"/>
      <c r="U95" s="2901"/>
      <c r="V95" s="2901"/>
      <c r="W95" s="2901"/>
      <c r="X95" s="2901"/>
      <c r="Y95" s="2901"/>
      <c r="Z95" s="2901"/>
      <c r="AA95" s="2901"/>
      <c r="AB95" s="2901"/>
      <c r="AC95" s="2901"/>
    </row>
    <row r="96" spans="1:29" ht="15.75" thickTop="1">
      <c r="A96" s="490"/>
      <c r="B96" s="494">
        <f>B30</f>
        <v>111</v>
      </c>
      <c r="C96" s="510"/>
      <c r="D96" s="510"/>
      <c r="E96" s="510"/>
      <c r="F96" s="510"/>
      <c r="G96" s="539"/>
      <c r="H96" s="539"/>
      <c r="I96" s="539"/>
      <c r="J96" s="539"/>
      <c r="K96" s="540"/>
      <c r="L96" s="541"/>
      <c r="M96" s="542"/>
      <c r="N96" s="2929"/>
      <c r="O96" s="2929"/>
      <c r="P96" s="2920"/>
      <c r="Q96" s="2915"/>
      <c r="R96" s="2901"/>
      <c r="S96" s="2901"/>
      <c r="T96" s="2901"/>
      <c r="U96" s="2901"/>
      <c r="V96" s="2901"/>
      <c r="W96" s="2901"/>
      <c r="X96" s="2901"/>
      <c r="Y96" s="2901"/>
      <c r="Z96" s="2901"/>
      <c r="AA96" s="2901"/>
      <c r="AB96" s="2901"/>
      <c r="AC96" s="2901"/>
    </row>
    <row r="97" spans="1:29" ht="15.75" thickBot="1">
      <c r="A97" s="490"/>
      <c r="B97" s="499"/>
      <c r="C97" s="516"/>
      <c r="D97" s="492"/>
      <c r="E97" s="492"/>
      <c r="F97" s="492"/>
      <c r="G97" s="492"/>
      <c r="H97" s="492"/>
      <c r="I97" s="492"/>
      <c r="J97" s="492"/>
      <c r="K97" s="492"/>
      <c r="L97" s="492"/>
      <c r="M97" s="493"/>
      <c r="N97" s="2930"/>
      <c r="O97" s="2930"/>
      <c r="P97" s="2920"/>
      <c r="Q97" s="2915"/>
      <c r="R97" s="2901"/>
      <c r="S97" s="2901"/>
      <c r="T97" s="2901"/>
      <c r="U97" s="2901"/>
      <c r="V97" s="2901"/>
      <c r="W97" s="2901"/>
      <c r="X97" s="2901"/>
      <c r="Y97" s="2901"/>
      <c r="Z97" s="2901"/>
      <c r="AA97" s="2901"/>
      <c r="AB97" s="2901"/>
      <c r="AC97" s="2901"/>
    </row>
    <row r="98" spans="1:29" ht="15.75" thickTop="1">
      <c r="A98" s="490"/>
      <c r="B98" s="502">
        <f>B31</f>
        <v>111</v>
      </c>
      <c r="C98" s="510"/>
      <c r="D98" s="510"/>
      <c r="E98" s="510"/>
      <c r="F98" s="510"/>
      <c r="G98" s="543"/>
      <c r="H98" s="543"/>
      <c r="I98" s="543"/>
      <c r="J98" s="543"/>
      <c r="K98" s="544"/>
      <c r="L98" s="545"/>
      <c r="M98" s="546"/>
      <c r="N98" s="2929"/>
      <c r="O98" s="2929"/>
      <c r="P98" s="2920"/>
      <c r="Q98" s="2915"/>
      <c r="R98" s="2901"/>
      <c r="S98" s="2901"/>
      <c r="T98" s="2901"/>
      <c r="U98" s="2901"/>
      <c r="V98" s="2901"/>
      <c r="W98" s="2901"/>
      <c r="X98" s="2901"/>
      <c r="Y98" s="2901"/>
      <c r="Z98" s="2901"/>
      <c r="AA98" s="2901"/>
      <c r="AB98" s="2901"/>
      <c r="AC98" s="2901"/>
    </row>
    <row r="99" spans="1:29" ht="15.75" thickBot="1">
      <c r="A99" s="2063"/>
      <c r="B99" s="525"/>
      <c r="C99" s="526"/>
      <c r="D99" s="526"/>
      <c r="E99" s="526"/>
      <c r="F99" s="526"/>
      <c r="G99" s="547"/>
      <c r="H99" s="547"/>
      <c r="I99" s="547"/>
      <c r="J99" s="547"/>
      <c r="K99" s="547"/>
      <c r="L99" s="547"/>
      <c r="M99" s="548"/>
      <c r="N99" s="2930"/>
      <c r="O99" s="2930"/>
      <c r="P99" s="2920"/>
      <c r="Q99" s="2915"/>
      <c r="R99" s="2901"/>
      <c r="S99" s="2901"/>
      <c r="T99" s="2901"/>
      <c r="U99" s="2901"/>
      <c r="V99" s="2901"/>
      <c r="W99" s="2901"/>
      <c r="X99" s="2901"/>
      <c r="Y99" s="2901"/>
      <c r="Z99" s="2901"/>
      <c r="AA99" s="2901"/>
      <c r="AB99" s="2901"/>
      <c r="AC99" s="2901"/>
    </row>
    <row r="100" spans="1:29">
      <c r="A100" s="483" t="s">
        <v>2143</v>
      </c>
      <c r="B100" s="484" t="s">
        <v>2261</v>
      </c>
      <c r="C100" s="486"/>
      <c r="D100" s="486"/>
      <c r="E100" s="486"/>
      <c r="F100" s="486"/>
      <c r="G100" s="486"/>
      <c r="H100" s="486"/>
      <c r="I100" s="486"/>
      <c r="J100" s="486"/>
      <c r="K100" s="487"/>
      <c r="L100" s="488"/>
      <c r="M100" s="489"/>
      <c r="N100" s="2929"/>
      <c r="O100" s="2929"/>
      <c r="P100" s="2920"/>
      <c r="Q100" s="2915"/>
      <c r="R100" s="2901"/>
      <c r="S100" s="2901"/>
      <c r="T100" s="2901"/>
      <c r="U100" s="2901"/>
      <c r="V100" s="2901"/>
      <c r="W100" s="2901"/>
      <c r="X100" s="2901"/>
      <c r="Y100" s="2901"/>
      <c r="Z100" s="2901"/>
      <c r="AA100" s="2901"/>
      <c r="AB100" s="2901"/>
      <c r="AC100" s="290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29" customFormat="1">
      <c r="A103" s="549"/>
      <c r="B103" s="550"/>
      <c r="C103" s="551"/>
      <c r="D103" s="551"/>
      <c r="E103" s="551"/>
      <c r="F103" s="551"/>
      <c r="G103" s="551"/>
      <c r="H103" s="551"/>
      <c r="I103" s="551"/>
      <c r="J103" s="552"/>
      <c r="K103" s="552"/>
      <c r="L103" s="553"/>
      <c r="M103" s="554"/>
      <c r="N103" s="2931"/>
      <c r="O103" s="2931"/>
      <c r="P103" s="2921"/>
      <c r="Q103" s="2922"/>
      <c r="R103" s="2923"/>
      <c r="S103" s="2923"/>
      <c r="T103" s="2923"/>
      <c r="U103" s="2923"/>
      <c r="V103" s="2923"/>
      <c r="W103" s="2923"/>
      <c r="X103" s="2923"/>
      <c r="Y103" s="2923"/>
      <c r="Z103" s="2923"/>
      <c r="AA103" s="2923"/>
      <c r="AB103" s="2923"/>
      <c r="AC103" s="2923"/>
    </row>
    <row r="104" spans="1:29" s="429" customFormat="1" ht="15.75" thickBot="1">
      <c r="A104" s="509"/>
      <c r="B104" s="499"/>
      <c r="C104" s="516"/>
      <c r="D104" s="492"/>
      <c r="E104" s="492"/>
      <c r="F104" s="492"/>
      <c r="G104" s="492"/>
      <c r="H104" s="492"/>
      <c r="I104" s="492"/>
      <c r="J104" s="492"/>
      <c r="K104" s="492"/>
      <c r="L104" s="492"/>
      <c r="M104" s="493"/>
      <c r="N104" s="2930"/>
      <c r="O104" s="2930"/>
      <c r="P104" s="2921"/>
      <c r="Q104" s="2922"/>
      <c r="R104" s="2923"/>
      <c r="S104" s="2923"/>
      <c r="T104" s="2923"/>
      <c r="U104" s="2923"/>
      <c r="V104" s="2923"/>
      <c r="W104" s="2923"/>
      <c r="X104" s="2923"/>
      <c r="Y104" s="2923"/>
      <c r="Z104" s="2923"/>
      <c r="AA104" s="2923"/>
      <c r="AB104" s="2923"/>
      <c r="AC104" s="2923"/>
    </row>
    <row r="105" spans="1:29" ht="15" thickTop="1">
      <c r="A105" s="555"/>
      <c r="B105" s="494" t="s">
        <v>2194</v>
      </c>
      <c r="C105" s="510"/>
      <c r="D105" s="510"/>
      <c r="E105" s="539"/>
      <c r="F105" s="539"/>
      <c r="G105" s="539"/>
      <c r="H105" s="539"/>
      <c r="I105" s="539"/>
      <c r="J105" s="539"/>
      <c r="K105" s="540"/>
      <c r="L105" s="541"/>
      <c r="M105" s="542"/>
      <c r="N105" s="2929"/>
      <c r="O105" s="2929"/>
      <c r="P105" s="2920"/>
      <c r="Q105" s="2915"/>
      <c r="R105" s="2901"/>
      <c r="S105" s="2901"/>
      <c r="T105" s="2901"/>
      <c r="U105" s="2901"/>
      <c r="V105" s="2901"/>
      <c r="W105" s="2901"/>
      <c r="X105" s="2901"/>
      <c r="Y105" s="2901"/>
      <c r="Z105" s="2901"/>
      <c r="AA105" s="2901"/>
      <c r="AB105" s="2901"/>
      <c r="AC105" s="290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5"/>
      <c r="B107" s="494" t="s">
        <v>2196</v>
      </c>
      <c r="C107" s="510"/>
      <c r="D107" s="510"/>
      <c r="E107" s="510"/>
      <c r="F107" s="539"/>
      <c r="G107" s="539"/>
      <c r="H107" s="539"/>
      <c r="I107" s="539"/>
      <c r="J107" s="539"/>
      <c r="K107" s="540"/>
      <c r="L107" s="541"/>
      <c r="M107" s="542"/>
      <c r="N107" s="2929"/>
      <c r="O107" s="2929"/>
      <c r="P107" s="2920"/>
      <c r="Q107" s="2915"/>
      <c r="R107" s="2901"/>
      <c r="S107" s="2901"/>
      <c r="T107" s="2901"/>
      <c r="U107" s="2901"/>
      <c r="V107" s="2901"/>
      <c r="W107" s="2901"/>
      <c r="X107" s="2901"/>
      <c r="Y107" s="2901"/>
      <c r="Z107" s="2901"/>
      <c r="AA107" s="2901"/>
      <c r="AB107" s="2901"/>
      <c r="AC107" s="290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9"/>
      <c r="O109" s="2929"/>
      <c r="P109" s="2920"/>
      <c r="Q109" s="2915"/>
      <c r="R109" s="2901"/>
      <c r="S109" s="2901"/>
      <c r="T109" s="2901"/>
      <c r="U109" s="2901"/>
      <c r="V109" s="2901"/>
      <c r="W109" s="2901"/>
      <c r="X109" s="2901"/>
      <c r="Y109" s="2901"/>
      <c r="Z109" s="2901"/>
      <c r="AA109" s="2901"/>
      <c r="AB109" s="2901"/>
      <c r="AC109" s="2901"/>
    </row>
    <row r="110" spans="1:29">
      <c r="A110" s="555"/>
      <c r="B110" s="502"/>
      <c r="C110" s="559">
        <v>0.5</v>
      </c>
      <c r="D110" s="559">
        <v>0.6</v>
      </c>
      <c r="E110" s="559">
        <v>0.7</v>
      </c>
      <c r="F110" s="559">
        <v>0.8</v>
      </c>
      <c r="G110" s="559">
        <v>0.9</v>
      </c>
      <c r="H110" s="559">
        <v>1.0001</v>
      </c>
      <c r="I110" s="578"/>
      <c r="J110" s="578"/>
      <c r="K110" s="579"/>
      <c r="L110" s="580"/>
      <c r="M110" s="581"/>
      <c r="N110" s="2929"/>
      <c r="O110" s="2929"/>
      <c r="P110" s="2920"/>
      <c r="Q110" s="2915"/>
      <c r="R110" s="2901"/>
      <c r="S110" s="2901"/>
      <c r="T110" s="2901"/>
      <c r="U110" s="2901"/>
      <c r="V110" s="2901"/>
      <c r="W110" s="2901"/>
      <c r="X110" s="2901"/>
      <c r="Y110" s="2901"/>
      <c r="Z110" s="2901"/>
      <c r="AA110" s="2901"/>
      <c r="AB110" s="2901"/>
      <c r="AC110" s="290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0"/>
      <c r="O111" s="2930"/>
      <c r="P111" s="2920"/>
      <c r="Q111" s="2915"/>
      <c r="R111" s="2901"/>
      <c r="S111" s="2901"/>
      <c r="T111" s="2901"/>
      <c r="U111" s="2901"/>
      <c r="V111" s="2901"/>
      <c r="W111" s="2901"/>
      <c r="X111" s="2901"/>
      <c r="Y111" s="2901"/>
      <c r="Z111" s="2901"/>
      <c r="AA111" s="2901"/>
      <c r="AB111" s="2901"/>
      <c r="AC111" s="2901"/>
    </row>
    <row r="112" spans="1:29" s="429" customFormat="1" ht="15" thickTop="1">
      <c r="A112" s="549"/>
      <c r="B112" s="494" t="s">
        <v>2198</v>
      </c>
      <c r="C112" s="510"/>
      <c r="D112" s="510"/>
      <c r="E112" s="510"/>
      <c r="F112" s="510"/>
      <c r="G112" s="510"/>
      <c r="H112" s="539"/>
      <c r="I112" s="539"/>
      <c r="J112" s="539"/>
      <c r="K112" s="540"/>
      <c r="L112" s="541"/>
      <c r="M112" s="542"/>
      <c r="N112" s="2931"/>
      <c r="O112" s="2931"/>
      <c r="P112" s="2921"/>
      <c r="Q112" s="2922"/>
      <c r="R112" s="2923"/>
      <c r="S112" s="2923"/>
      <c r="T112" s="2923"/>
      <c r="U112" s="2923"/>
      <c r="V112" s="2923"/>
      <c r="W112" s="2923"/>
      <c r="X112" s="2923"/>
      <c r="Y112" s="2923"/>
      <c r="Z112" s="2923"/>
      <c r="AA112" s="2923"/>
      <c r="AB112" s="2923"/>
      <c r="AC112" s="292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5"/>
      <c r="B114" s="494" t="s">
        <v>2262</v>
      </c>
      <c r="C114" s="510"/>
      <c r="D114" s="510"/>
      <c r="E114" s="539"/>
      <c r="F114" s="539"/>
      <c r="G114" s="539"/>
      <c r="H114" s="539"/>
      <c r="I114" s="539"/>
      <c r="J114" s="539"/>
      <c r="K114" s="540"/>
      <c r="L114" s="541"/>
      <c r="M114" s="542"/>
      <c r="N114" s="2929"/>
      <c r="O114" s="2929"/>
      <c r="P114" s="2920"/>
      <c r="Q114" s="2915"/>
      <c r="R114" s="2901"/>
      <c r="S114" s="2901"/>
      <c r="T114" s="2901"/>
      <c r="U114" s="2901"/>
      <c r="V114" s="2901"/>
      <c r="W114" s="2901"/>
      <c r="X114" s="2901"/>
      <c r="Y114" s="2901"/>
      <c r="Z114" s="2901"/>
      <c r="AA114" s="2901"/>
      <c r="AB114" s="2901"/>
      <c r="AC114" s="290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5"/>
      <c r="B116" s="494" t="s">
        <v>2263</v>
      </c>
      <c r="C116" s="510"/>
      <c r="D116" s="510"/>
      <c r="E116" s="510"/>
      <c r="F116" s="510"/>
      <c r="G116" s="510"/>
      <c r="H116" s="539"/>
      <c r="I116" s="539"/>
      <c r="J116" s="539"/>
      <c r="K116" s="540"/>
      <c r="L116" s="541"/>
      <c r="M116" s="542"/>
      <c r="N116" s="2929"/>
      <c r="O116" s="2929"/>
      <c r="P116" s="2920"/>
      <c r="Q116" s="2915"/>
      <c r="R116" s="2901"/>
      <c r="S116" s="2901"/>
      <c r="T116" s="2901"/>
      <c r="U116" s="2901"/>
      <c r="V116" s="2901"/>
      <c r="W116" s="2901"/>
      <c r="X116" s="2901"/>
      <c r="Y116" s="2901"/>
      <c r="Z116" s="2901"/>
      <c r="AA116" s="2901"/>
      <c r="AB116" s="2901"/>
      <c r="AC116" s="290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0"/>
      <c r="O117" s="2930"/>
      <c r="P117" s="2920"/>
      <c r="Q117" s="2915"/>
      <c r="R117" s="2901"/>
      <c r="S117" s="2901"/>
      <c r="T117" s="2901"/>
      <c r="U117" s="2901"/>
      <c r="V117" s="2901"/>
      <c r="W117" s="2901"/>
      <c r="X117" s="2901"/>
      <c r="Y117" s="2901"/>
      <c r="Z117" s="2901"/>
      <c r="AA117" s="2901"/>
      <c r="AB117" s="2901"/>
      <c r="AC117" s="2901"/>
    </row>
    <row r="118" spans="1:29" ht="15" thickTop="1">
      <c r="A118" s="555"/>
      <c r="B118" s="494" t="s">
        <v>2264</v>
      </c>
      <c r="C118" s="582"/>
      <c r="D118" s="582"/>
      <c r="E118" s="582"/>
      <c r="F118" s="582"/>
      <c r="G118" s="582"/>
      <c r="H118" s="511"/>
      <c r="I118" s="511"/>
      <c r="J118" s="511"/>
      <c r="K118" s="511"/>
      <c r="L118" s="512"/>
      <c r="M118" s="513"/>
      <c r="N118" s="2929"/>
      <c r="O118" s="2929"/>
      <c r="P118" s="2920"/>
      <c r="Q118" s="2915"/>
      <c r="R118" s="2901"/>
      <c r="S118" s="2901"/>
      <c r="T118" s="2901"/>
      <c r="U118" s="2901"/>
      <c r="V118" s="2901"/>
      <c r="W118" s="2901"/>
      <c r="X118" s="2901"/>
      <c r="Y118" s="2901"/>
      <c r="Z118" s="2901"/>
      <c r="AA118" s="2901"/>
      <c r="AB118" s="2901"/>
      <c r="AC118" s="2901"/>
    </row>
    <row r="119" spans="1:29" ht="15.75" thickBot="1">
      <c r="A119" s="490"/>
      <c r="B119" s="499"/>
      <c r="C119" s="516"/>
      <c r="D119" s="492"/>
      <c r="E119" s="492"/>
      <c r="F119" s="492"/>
      <c r="G119" s="492"/>
      <c r="H119" s="492"/>
      <c r="I119" s="492"/>
      <c r="J119" s="492"/>
      <c r="K119" s="492"/>
      <c r="L119" s="492"/>
      <c r="M119" s="493"/>
      <c r="N119" s="2930"/>
      <c r="O119" s="2930"/>
      <c r="P119" s="2920"/>
      <c r="Q119" s="2915"/>
      <c r="R119" s="2901"/>
      <c r="S119" s="2901"/>
      <c r="T119" s="2901"/>
      <c r="U119" s="2901"/>
      <c r="V119" s="2901"/>
      <c r="W119" s="2901"/>
      <c r="X119" s="2901"/>
      <c r="Y119" s="2901"/>
      <c r="Z119" s="2901"/>
      <c r="AA119" s="2901"/>
      <c r="AB119" s="2901"/>
      <c r="AC119" s="2901"/>
    </row>
    <row r="120" spans="1:29" s="429" customFormat="1" ht="15" thickTop="1">
      <c r="A120" s="549"/>
      <c r="B120" s="494" t="s">
        <v>2265</v>
      </c>
      <c r="C120" s="539"/>
      <c r="D120" s="539"/>
      <c r="E120" s="539"/>
      <c r="F120" s="539"/>
      <c r="G120" s="511"/>
      <c r="H120" s="511"/>
      <c r="I120" s="511"/>
      <c r="J120" s="511"/>
      <c r="K120" s="511"/>
      <c r="L120" s="512"/>
      <c r="M120" s="513"/>
      <c r="N120" s="2931"/>
      <c r="O120" s="2931"/>
      <c r="P120" s="2921"/>
      <c r="Q120" s="2922"/>
      <c r="R120" s="2923"/>
      <c r="S120" s="2923"/>
      <c r="T120" s="2923"/>
      <c r="U120" s="2923"/>
      <c r="V120" s="2923"/>
      <c r="W120" s="2923"/>
      <c r="X120" s="2923"/>
      <c r="Y120" s="2923"/>
      <c r="Z120" s="2923"/>
      <c r="AA120" s="2923"/>
      <c r="AB120" s="2923"/>
      <c r="AC120" s="292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5"/>
      <c r="B122" s="494" t="s">
        <v>2200</v>
      </c>
      <c r="C122" s="510"/>
      <c r="D122" s="510"/>
      <c r="E122" s="510"/>
      <c r="F122" s="539"/>
      <c r="G122" s="539"/>
      <c r="H122" s="539"/>
      <c r="I122" s="539"/>
      <c r="J122" s="539"/>
      <c r="K122" s="540"/>
      <c r="L122" s="541"/>
      <c r="M122" s="542"/>
      <c r="N122" s="2929"/>
      <c r="O122" s="2929"/>
      <c r="P122" s="2920"/>
      <c r="Q122" s="2915"/>
      <c r="R122" s="2901"/>
      <c r="S122" s="2901"/>
      <c r="T122" s="2901"/>
      <c r="U122" s="2901"/>
      <c r="V122" s="2901"/>
      <c r="W122" s="2901"/>
      <c r="X122" s="2901"/>
      <c r="Y122" s="2901"/>
      <c r="Z122" s="2901"/>
      <c r="AA122" s="2901"/>
      <c r="AB122" s="2901"/>
      <c r="AC122" s="290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9"/>
      <c r="O124" s="2929"/>
      <c r="P124" s="2921"/>
      <c r="Q124" s="2915"/>
      <c r="R124" s="2901"/>
      <c r="S124" s="2901"/>
      <c r="T124" s="2901"/>
      <c r="U124" s="2901"/>
      <c r="V124" s="2901"/>
      <c r="W124" s="2901"/>
      <c r="X124" s="2901"/>
      <c r="Y124" s="2901"/>
      <c r="Z124" s="2901"/>
      <c r="AA124" s="2901"/>
      <c r="AB124" s="2901"/>
      <c r="AC124" s="290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0"/>
      <c r="O125" s="2930"/>
      <c r="P125" s="2920"/>
      <c r="Q125" s="2915"/>
      <c r="R125" s="2901"/>
      <c r="S125" s="2901"/>
      <c r="T125" s="2901"/>
      <c r="U125" s="2901"/>
      <c r="V125" s="2901"/>
      <c r="W125" s="2901"/>
      <c r="X125" s="2901"/>
      <c r="Y125" s="2901"/>
      <c r="Z125" s="2901"/>
      <c r="AA125" s="2901"/>
      <c r="AB125" s="2901"/>
      <c r="AC125" s="2901"/>
    </row>
    <row r="126" spans="1:29" s="429" customFormat="1" ht="15" thickTop="1">
      <c r="A126" s="549"/>
      <c r="B126" s="494">
        <f>B44</f>
        <v>111</v>
      </c>
      <c r="C126" s="510"/>
      <c r="D126" s="510"/>
      <c r="E126" s="510"/>
      <c r="F126" s="510"/>
      <c r="G126" s="510"/>
      <c r="H126" s="511"/>
      <c r="I126" s="511"/>
      <c r="J126" s="511"/>
      <c r="K126" s="511"/>
      <c r="L126" s="512"/>
      <c r="M126" s="513"/>
      <c r="N126" s="2931"/>
      <c r="O126" s="2931"/>
      <c r="P126" s="2921"/>
      <c r="Q126" s="2922"/>
      <c r="R126" s="2923"/>
      <c r="S126" s="2923"/>
      <c r="T126" s="2923"/>
      <c r="U126" s="2923"/>
      <c r="V126" s="2923"/>
      <c r="W126" s="2923"/>
      <c r="X126" s="2923"/>
      <c r="Y126" s="2923"/>
      <c r="Z126" s="2923"/>
      <c r="AA126" s="2923"/>
      <c r="AB126" s="2923"/>
      <c r="AC126" s="2923"/>
    </row>
    <row r="127" spans="1:29" s="429" customFormat="1" ht="15.75" thickBot="1">
      <c r="A127" s="509"/>
      <c r="B127" s="499"/>
      <c r="C127" s="516"/>
      <c r="D127" s="492"/>
      <c r="E127" s="492"/>
      <c r="F127" s="492"/>
      <c r="G127" s="516"/>
      <c r="H127" s="518"/>
      <c r="I127" s="518"/>
      <c r="J127" s="518"/>
      <c r="K127" s="518"/>
      <c r="L127" s="518"/>
      <c r="M127" s="519"/>
      <c r="N127" s="2931"/>
      <c r="O127" s="2931"/>
      <c r="P127" s="2921"/>
      <c r="Q127" s="2922"/>
      <c r="R127" s="2923"/>
      <c r="S127" s="2923"/>
      <c r="T127" s="2923"/>
      <c r="U127" s="2923"/>
      <c r="V127" s="2923"/>
      <c r="W127" s="2923"/>
      <c r="X127" s="2923"/>
      <c r="Y127" s="2923"/>
      <c r="Z127" s="2923"/>
      <c r="AA127" s="2923"/>
      <c r="AB127" s="2923"/>
      <c r="AC127" s="2923"/>
    </row>
    <row r="128" spans="1:29" ht="15" thickTop="1">
      <c r="A128" s="555"/>
      <c r="B128" s="494">
        <f>B45</f>
        <v>111</v>
      </c>
      <c r="C128" s="510"/>
      <c r="D128" s="510"/>
      <c r="E128" s="510"/>
      <c r="F128" s="510"/>
      <c r="G128" s="539"/>
      <c r="H128" s="539"/>
      <c r="I128" s="539"/>
      <c r="J128" s="539"/>
      <c r="K128" s="540"/>
      <c r="L128" s="541"/>
      <c r="M128" s="542"/>
      <c r="N128" s="2929"/>
      <c r="O128" s="2929"/>
      <c r="P128" s="2920"/>
      <c r="Q128" s="2915"/>
      <c r="R128" s="2901"/>
      <c r="S128" s="2901"/>
      <c r="T128" s="2901"/>
      <c r="U128" s="2901"/>
      <c r="V128" s="2901"/>
      <c r="W128" s="2901"/>
      <c r="X128" s="2901"/>
      <c r="Y128" s="2901"/>
      <c r="Z128" s="2901"/>
      <c r="AA128" s="2901"/>
      <c r="AB128" s="2901"/>
      <c r="AC128" s="2901"/>
    </row>
    <row r="129" spans="1:29" ht="15.75" thickBot="1">
      <c r="A129" s="490"/>
      <c r="B129" s="499"/>
      <c r="C129" s="516"/>
      <c r="D129" s="492"/>
      <c r="E129" s="492"/>
      <c r="F129" s="492"/>
      <c r="G129" s="492"/>
      <c r="H129" s="492"/>
      <c r="I129" s="492"/>
      <c r="J129" s="492"/>
      <c r="K129" s="492"/>
      <c r="L129" s="492"/>
      <c r="M129" s="493"/>
      <c r="N129" s="2930"/>
      <c r="O129" s="2930"/>
      <c r="P129" s="2920"/>
      <c r="Q129" s="2915"/>
      <c r="R129" s="2901"/>
      <c r="S129" s="2901"/>
      <c r="T129" s="2901"/>
      <c r="U129" s="2901"/>
      <c r="V129" s="2901"/>
      <c r="W129" s="2901"/>
      <c r="X129" s="2901"/>
      <c r="Y129" s="2901"/>
      <c r="Z129" s="2901"/>
      <c r="AA129" s="2901"/>
      <c r="AB129" s="2901"/>
      <c r="AC129" s="2901"/>
    </row>
    <row r="130" spans="1:29" ht="15" thickTop="1">
      <c r="A130" s="555"/>
      <c r="B130" s="502">
        <f>B46</f>
        <v>111</v>
      </c>
      <c r="C130" s="510"/>
      <c r="D130" s="510"/>
      <c r="E130" s="510"/>
      <c r="F130" s="510"/>
      <c r="G130" s="543"/>
      <c r="H130" s="543"/>
      <c r="I130" s="543"/>
      <c r="J130" s="543"/>
      <c r="K130" s="479"/>
      <c r="L130" s="480"/>
      <c r="M130" s="546"/>
      <c r="N130" s="2929"/>
      <c r="O130" s="2929"/>
      <c r="P130" s="2920"/>
      <c r="Q130" s="2915"/>
      <c r="R130" s="2901"/>
      <c r="S130" s="2901"/>
      <c r="T130" s="2901"/>
      <c r="U130" s="2901"/>
      <c r="V130" s="2901"/>
      <c r="W130" s="2901"/>
      <c r="X130" s="2901"/>
      <c r="Y130" s="2901"/>
      <c r="Z130" s="2901"/>
      <c r="AA130" s="2901"/>
      <c r="AB130" s="2901"/>
      <c r="AC130" s="2901"/>
    </row>
    <row r="131" spans="1:29" ht="15.75" thickBot="1">
      <c r="A131" s="2063"/>
      <c r="B131" s="525"/>
      <c r="C131" s="526"/>
      <c r="D131" s="526"/>
      <c r="E131" s="526"/>
      <c r="F131" s="526"/>
      <c r="G131" s="547"/>
      <c r="H131" s="547"/>
      <c r="I131" s="547"/>
      <c r="J131" s="547"/>
      <c r="K131" s="547"/>
      <c r="L131" s="547"/>
      <c r="M131" s="548"/>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估价对象为房地产，为所有。根据《国有土地使用证》[]，估价对象（分摊）出让国有建设用地使用权面积为17188平方米，建筑面积为13867.57平方米。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估价对象为房地产,属开发建设的，该项目尚在开发建设中。根据《国有土地使用证》[]，估价对象（分摊）出让国有建设用地使用权面积为17188平方米，规划建筑面积为13867.57平方米。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2022年8月8日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10"/>
      <c r="M2" s="2911"/>
      <c r="N2" s="2911"/>
      <c r="O2" s="2911"/>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13867.57</v>
      </c>
      <c r="E3" s="2089"/>
      <c r="F3" s="1020"/>
      <c r="G3" s="1019"/>
      <c r="H3" s="1019"/>
      <c r="I3" s="1019"/>
      <c r="J3" s="1019"/>
      <c r="K3" s="1021"/>
      <c r="L3" s="2910"/>
      <c r="M3" s="2911"/>
      <c r="N3" s="2911"/>
      <c r="O3" s="2911"/>
      <c r="P3" s="707"/>
      <c r="Q3" s="707"/>
      <c r="R3" s="707"/>
      <c r="S3" s="707"/>
      <c r="T3" s="707"/>
      <c r="U3" s="707"/>
      <c r="V3" s="707"/>
      <c r="W3" s="707"/>
      <c r="X3" s="707"/>
      <c r="Y3" s="707"/>
      <c r="Z3" s="707"/>
      <c r="AA3" s="707"/>
      <c r="AB3" s="707"/>
      <c r="AC3" s="708"/>
    </row>
    <row r="4" spans="1:29" ht="15">
      <c r="A4" s="360" t="s">
        <v>2225</v>
      </c>
      <c r="B4" s="361"/>
      <c r="C4" s="3447" t="s">
        <v>2226</v>
      </c>
      <c r="D4" s="3459"/>
      <c r="E4" s="3460" t="s">
        <v>2227</v>
      </c>
      <c r="F4" s="3461"/>
      <c r="G4" s="3447" t="s">
        <v>2228</v>
      </c>
      <c r="H4" s="3459"/>
      <c r="I4" s="3447" t="s">
        <v>2229</v>
      </c>
      <c r="J4" s="3459"/>
      <c r="K4" s="566" t="s">
        <v>2230</v>
      </c>
      <c r="L4" s="2891"/>
      <c r="M4" s="2892"/>
      <c r="N4" s="2892"/>
      <c r="O4" s="2892"/>
      <c r="P4" s="3529" t="s">
        <v>2231</v>
      </c>
      <c r="Q4" s="3530"/>
      <c r="R4" s="3533" t="s">
        <v>2227</v>
      </c>
      <c r="S4" s="3534"/>
      <c r="T4" s="3533" t="s">
        <v>2228</v>
      </c>
      <c r="U4" s="3534"/>
      <c r="V4" s="3535" t="s">
        <v>2229</v>
      </c>
      <c r="W4" s="3535"/>
      <c r="X4" s="2093"/>
      <c r="Y4" s="3533" t="s">
        <v>2231</v>
      </c>
      <c r="Z4" s="3534"/>
      <c r="AA4" s="3537" t="s">
        <v>2227</v>
      </c>
      <c r="AB4" s="3537" t="s">
        <v>2228</v>
      </c>
      <c r="AC4" s="3526" t="s">
        <v>2229</v>
      </c>
    </row>
    <row r="5" spans="1:29" ht="15">
      <c r="A5" s="363"/>
      <c r="B5" s="364"/>
      <c r="C5" s="3476" t="s">
        <v>2122</v>
      </c>
      <c r="D5" s="3477"/>
      <c r="E5" s="3483" t="s">
        <v>2123</v>
      </c>
      <c r="F5" s="3484"/>
      <c r="G5" s="3476" t="s">
        <v>2124</v>
      </c>
      <c r="H5" s="3477"/>
      <c r="I5" s="3476" t="s">
        <v>2125</v>
      </c>
      <c r="J5" s="3477"/>
      <c r="K5" s="566"/>
      <c r="L5" s="2891"/>
      <c r="M5" s="2892"/>
      <c r="N5" s="2892"/>
      <c r="O5" s="2892"/>
      <c r="P5" s="3531"/>
      <c r="Q5" s="3465"/>
      <c r="R5" s="3470"/>
      <c r="S5" s="3471"/>
      <c r="T5" s="3470"/>
      <c r="U5" s="3471"/>
      <c r="V5" s="3455"/>
      <c r="W5" s="3455"/>
      <c r="X5" s="1488"/>
      <c r="Y5" s="3470"/>
      <c r="Z5" s="3471"/>
      <c r="AA5" s="3457"/>
      <c r="AB5" s="3457"/>
      <c r="AC5" s="3527"/>
    </row>
    <row r="6" spans="1:29" ht="15.75" thickBot="1">
      <c r="A6" s="365"/>
      <c r="B6" s="366"/>
      <c r="C6" s="3474" t="s">
        <v>2126</v>
      </c>
      <c r="D6" s="3475"/>
      <c r="E6" s="3481" t="s">
        <v>2126</v>
      </c>
      <c r="F6" s="3482"/>
      <c r="G6" s="3474" t="s">
        <v>2126</v>
      </c>
      <c r="H6" s="3475"/>
      <c r="I6" s="3474" t="s">
        <v>2126</v>
      </c>
      <c r="J6" s="3475"/>
      <c r="K6" s="566" t="s">
        <v>2127</v>
      </c>
      <c r="L6" s="2891"/>
      <c r="M6" s="2892"/>
      <c r="N6" s="2892"/>
      <c r="O6" s="2892"/>
      <c r="P6" s="3532"/>
      <c r="Q6" s="3467"/>
      <c r="R6" s="3470"/>
      <c r="S6" s="3471"/>
      <c r="T6" s="3472"/>
      <c r="U6" s="3473"/>
      <c r="V6" s="3455"/>
      <c r="W6" s="3455"/>
      <c r="X6" s="1488"/>
      <c r="Y6" s="3472"/>
      <c r="Z6" s="3473"/>
      <c r="AA6" s="3458"/>
      <c r="AB6" s="3458"/>
      <c r="AC6" s="3528"/>
    </row>
    <row r="7" spans="1:29" s="113" customFormat="1" ht="15.75" thickBot="1">
      <c r="A7" s="367" t="s">
        <v>2128</v>
      </c>
      <c r="B7" s="368"/>
      <c r="C7" s="369">
        <f>'数据-取费表'!B2</f>
        <v>44781</v>
      </c>
      <c r="D7" s="370">
        <v>100</v>
      </c>
      <c r="E7" s="371"/>
      <c r="F7" s="372">
        <f>SUMIF(59:59,YEAR(E7)&amp;"-"&amp;MONTH(E7),60:60)</f>
        <v>0</v>
      </c>
      <c r="G7" s="371"/>
      <c r="H7" s="370">
        <f>SUMIF(59:59,YEAR(G7)&amp;"-"&amp;MONTH(G7),60:60)</f>
        <v>0</v>
      </c>
      <c r="I7" s="371"/>
      <c r="J7" s="370">
        <f>SUMIF(59:59,YEAR(I7)&amp;"-"&amp;MONTH(I7),60:60)</f>
        <v>0</v>
      </c>
      <c r="K7" s="567"/>
      <c r="L7" s="2893"/>
      <c r="M7" s="2894"/>
      <c r="N7" s="2894"/>
      <c r="O7" s="2894"/>
      <c r="P7" s="3536" t="s">
        <v>2129</v>
      </c>
      <c r="Q7" s="3480"/>
      <c r="R7" s="709" t="s">
        <v>17</v>
      </c>
      <c r="S7" s="710">
        <f t="shared" ref="S7:S15" si="0">F7</f>
        <v>0</v>
      </c>
      <c r="T7" s="709" t="s">
        <v>17</v>
      </c>
      <c r="U7" s="710">
        <f t="shared" ref="U7:U15" si="1">H7</f>
        <v>0</v>
      </c>
      <c r="V7" s="709" t="s">
        <v>17</v>
      </c>
      <c r="W7" s="710">
        <f t="shared" ref="W7:W15" si="2">J7</f>
        <v>0</v>
      </c>
      <c r="X7" s="711"/>
      <c r="Y7" s="3478" t="s">
        <v>2129</v>
      </c>
      <c r="Z7" s="3479"/>
      <c r="AA7" s="712" t="e">
        <f>D7/F7</f>
        <v>#DIV/0!</v>
      </c>
      <c r="AB7" s="712" t="e">
        <f>D7/H7</f>
        <v>#DIV/0!</v>
      </c>
      <c r="AC7" s="2094" t="e">
        <f>D7/J7</f>
        <v>#DIV/0!</v>
      </c>
    </row>
    <row r="8" spans="1:29" s="113"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3"/>
      <c r="M8" s="2894"/>
      <c r="N8" s="2894"/>
      <c r="O8" s="2894"/>
      <c r="P8" s="3536" t="s">
        <v>2132</v>
      </c>
      <c r="Q8" s="3479"/>
      <c r="R8" s="709" t="s">
        <v>17</v>
      </c>
      <c r="S8" s="710">
        <f t="shared" si="0"/>
        <v>0</v>
      </c>
      <c r="T8" s="709" t="s">
        <v>17</v>
      </c>
      <c r="U8" s="710">
        <f t="shared" si="1"/>
        <v>0</v>
      </c>
      <c r="V8" s="709" t="s">
        <v>17</v>
      </c>
      <c r="W8" s="710">
        <f t="shared" si="2"/>
        <v>0</v>
      </c>
      <c r="X8" s="711"/>
      <c r="Y8" s="3478" t="s">
        <v>2132</v>
      </c>
      <c r="Z8" s="3479"/>
      <c r="AA8" s="712" t="e">
        <f t="shared" ref="AA8:AA47" si="3">D8/F8</f>
        <v>#DIV/0!</v>
      </c>
      <c r="AB8" s="712" t="e">
        <f t="shared" ref="AB8:AB47" si="4">D8/H8</f>
        <v>#DIV/0!</v>
      </c>
      <c r="AC8" s="2094" t="e">
        <f t="shared" ref="AC8:AC47" si="5">D8/J8</f>
        <v>#DIV/0!</v>
      </c>
    </row>
    <row r="9" spans="1:29" s="113"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3"/>
      <c r="M9" s="2894"/>
      <c r="N9" s="2894"/>
      <c r="O9" s="2894"/>
      <c r="P9" s="3449"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2094">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5"/>
      <c r="M10" s="2896"/>
      <c r="N10" s="2896"/>
      <c r="O10" s="2896"/>
      <c r="P10" s="3449"/>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2094">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7"/>
      <c r="M11" s="2892"/>
      <c r="N11" s="2892"/>
      <c r="O11" s="2892"/>
      <c r="P11" s="3449"/>
      <c r="Q11" s="1476" t="str">
        <f t="shared" si="6"/>
        <v>容积率</v>
      </c>
      <c r="R11" s="709" t="s">
        <v>17</v>
      </c>
      <c r="S11" s="710" t="e">
        <f t="shared" si="0"/>
        <v>#N/A</v>
      </c>
      <c r="T11" s="709" t="s">
        <v>17</v>
      </c>
      <c r="U11" s="710" t="e">
        <f t="shared" si="1"/>
        <v>#N/A</v>
      </c>
      <c r="V11" s="709" t="s">
        <v>17</v>
      </c>
      <c r="W11" s="710" t="e">
        <f t="shared" si="2"/>
        <v>#N/A</v>
      </c>
      <c r="X11" s="711"/>
      <c r="Y11" s="3344"/>
      <c r="Z11" s="55" t="str">
        <f t="shared" si="7"/>
        <v>容积率</v>
      </c>
      <c r="AA11" s="712" t="e">
        <f t="shared" si="3"/>
        <v>#N/A</v>
      </c>
      <c r="AB11" s="712" t="e">
        <f t="shared" si="4"/>
        <v>#N/A</v>
      </c>
      <c r="AC11" s="2094" t="e">
        <f t="shared" si="5"/>
        <v>#N/A</v>
      </c>
    </row>
    <row r="12" spans="1:29" s="113"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3"/>
      <c r="M12" s="2894"/>
      <c r="N12" s="2894"/>
      <c r="O12" s="2894"/>
      <c r="P12" s="3449"/>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8"/>
      <c r="M13" s="2892"/>
      <c r="N13" s="2892"/>
      <c r="O13" s="2892"/>
      <c r="P13" s="3449"/>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8"/>
      <c r="M14" s="2892"/>
      <c r="N14" s="2892"/>
      <c r="O14" s="2892"/>
      <c r="P14" s="3449"/>
      <c r="Q14" s="1476">
        <f t="shared" si="6"/>
        <v>111</v>
      </c>
      <c r="R14" s="709" t="s">
        <v>17</v>
      </c>
      <c r="S14" s="710">
        <f t="shared" si="0"/>
        <v>100</v>
      </c>
      <c r="T14" s="709" t="s">
        <v>17</v>
      </c>
      <c r="U14" s="710">
        <f t="shared" si="1"/>
        <v>100</v>
      </c>
      <c r="V14" s="709" t="s">
        <v>17</v>
      </c>
      <c r="W14" s="710">
        <f t="shared" si="2"/>
        <v>100</v>
      </c>
      <c r="X14" s="711"/>
      <c r="Y14" s="3344"/>
      <c r="Z14" s="55">
        <f t="shared" si="7"/>
        <v>111</v>
      </c>
      <c r="AA14" s="712">
        <f t="shared" si="3"/>
        <v>1</v>
      </c>
      <c r="AB14" s="712">
        <f t="shared" si="4"/>
        <v>1</v>
      </c>
      <c r="AC14" s="2094">
        <f t="shared" si="5"/>
        <v>1</v>
      </c>
    </row>
    <row r="15" spans="1:29" ht="71.25">
      <c r="A15" s="398" t="s">
        <v>2139</v>
      </c>
      <c r="B15" s="584" t="s">
        <v>2267</v>
      </c>
      <c r="C15" s="209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8"/>
      <c r="M15" s="2892"/>
      <c r="N15" s="2892"/>
      <c r="O15" s="2892"/>
      <c r="P15" s="3521" t="s">
        <v>2140</v>
      </c>
      <c r="Q15" s="1485" t="str">
        <f t="shared" si="6"/>
        <v>办公集聚程度</v>
      </c>
      <c r="R15" s="713" t="s">
        <v>17</v>
      </c>
      <c r="S15" s="714">
        <f t="shared" si="0"/>
        <v>100</v>
      </c>
      <c r="T15" s="713" t="s">
        <v>17</v>
      </c>
      <c r="U15" s="714">
        <f t="shared" si="1"/>
        <v>100</v>
      </c>
      <c r="V15" s="713" t="s">
        <v>17</v>
      </c>
      <c r="W15" s="714">
        <f t="shared" si="2"/>
        <v>100</v>
      </c>
      <c r="X15" s="1488"/>
      <c r="Y15" s="3451" t="s">
        <v>2140</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8"/>
      <c r="M16" s="2892"/>
      <c r="N16" s="2892"/>
      <c r="O16" s="2892"/>
      <c r="P16" s="3522"/>
      <c r="Q16" s="1485"/>
      <c r="R16" s="713"/>
      <c r="S16" s="714"/>
      <c r="T16" s="713"/>
      <c r="U16" s="714"/>
      <c r="V16" s="713"/>
      <c r="W16" s="714"/>
      <c r="X16" s="1488"/>
      <c r="Y16" s="3452"/>
      <c r="Z16" s="1489"/>
      <c r="AA16" s="1486">
        <v>1</v>
      </c>
      <c r="AB16" s="1486">
        <v>1</v>
      </c>
      <c r="AC16" s="2097">
        <v>1</v>
      </c>
    </row>
    <row r="17" spans="1:29" ht="71.25">
      <c r="A17" s="386"/>
      <c r="B17" s="586" t="s">
        <v>1704</v>
      </c>
      <c r="C17" s="209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8"/>
      <c r="M17" s="2892"/>
      <c r="N17" s="2892"/>
      <c r="O17" s="2892"/>
      <c r="P17" s="3522"/>
      <c r="Q17" s="1485" t="str">
        <f>B17</f>
        <v>交通便捷度</v>
      </c>
      <c r="R17" s="713" t="s">
        <v>17</v>
      </c>
      <c r="S17" s="714">
        <f>F17</f>
        <v>100</v>
      </c>
      <c r="T17" s="713" t="s">
        <v>17</v>
      </c>
      <c r="U17" s="714">
        <f>H17</f>
        <v>100</v>
      </c>
      <c r="V17" s="713" t="s">
        <v>17</v>
      </c>
      <c r="W17" s="714">
        <f>J17</f>
        <v>100</v>
      </c>
      <c r="X17" s="1488"/>
      <c r="Y17" s="3452"/>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8"/>
      <c r="M18" s="2892"/>
      <c r="N18" s="2892"/>
      <c r="O18" s="2892"/>
      <c r="P18" s="3522"/>
      <c r="Q18" s="1485"/>
      <c r="R18" s="713"/>
      <c r="S18" s="714"/>
      <c r="T18" s="713"/>
      <c r="U18" s="714"/>
      <c r="V18" s="713"/>
      <c r="W18" s="714"/>
      <c r="X18" s="1488"/>
      <c r="Y18" s="3452"/>
      <c r="Z18" s="1489"/>
      <c r="AA18" s="1486">
        <v>1</v>
      </c>
      <c r="AB18" s="1486">
        <v>1</v>
      </c>
      <c r="AC18" s="2097">
        <v>1</v>
      </c>
    </row>
    <row r="19" spans="1:29" ht="42.75">
      <c r="A19" s="386"/>
      <c r="B19" s="586" t="s">
        <v>2268</v>
      </c>
      <c r="C19" s="209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8"/>
      <c r="M19" s="2892"/>
      <c r="N19" s="2892"/>
      <c r="O19" s="2892"/>
      <c r="P19" s="3522"/>
      <c r="Q19" s="1485" t="str">
        <f>B19</f>
        <v>公共配套设施</v>
      </c>
      <c r="R19" s="713" t="s">
        <v>17</v>
      </c>
      <c r="S19" s="714">
        <f>F19</f>
        <v>100</v>
      </c>
      <c r="T19" s="713" t="s">
        <v>17</v>
      </c>
      <c r="U19" s="714">
        <f>H19</f>
        <v>100</v>
      </c>
      <c r="V19" s="713" t="s">
        <v>17</v>
      </c>
      <c r="W19" s="714">
        <f>J19</f>
        <v>100</v>
      </c>
      <c r="X19" s="1488"/>
      <c r="Y19" s="3452"/>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8"/>
      <c r="M20" s="2892"/>
      <c r="N20" s="2892"/>
      <c r="O20" s="2892"/>
      <c r="P20" s="3522"/>
      <c r="Q20" s="1485"/>
      <c r="R20" s="713"/>
      <c r="S20" s="714"/>
      <c r="T20" s="713"/>
      <c r="U20" s="714"/>
      <c r="V20" s="713"/>
      <c r="W20" s="714"/>
      <c r="X20" s="1488"/>
      <c r="Y20" s="3452"/>
      <c r="Z20" s="1489"/>
      <c r="AA20" s="1486">
        <v>1</v>
      </c>
      <c r="AB20" s="1486">
        <v>1</v>
      </c>
      <c r="AC20" s="2097">
        <v>1</v>
      </c>
    </row>
    <row r="21" spans="1:29" ht="28.5">
      <c r="A21" s="386"/>
      <c r="B21" s="588" t="s">
        <v>2269</v>
      </c>
      <c r="C21" s="209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8"/>
      <c r="M21" s="2892"/>
      <c r="N21" s="2892"/>
      <c r="O21" s="2892"/>
      <c r="P21" s="3522"/>
      <c r="Q21" s="1485" t="str">
        <f>B21</f>
        <v>基础设施水平</v>
      </c>
      <c r="R21" s="713" t="s">
        <v>17</v>
      </c>
      <c r="S21" s="714">
        <f>F21</f>
        <v>100</v>
      </c>
      <c r="T21" s="713" t="s">
        <v>17</v>
      </c>
      <c r="U21" s="714">
        <f>H21</f>
        <v>100</v>
      </c>
      <c r="V21" s="713" t="s">
        <v>17</v>
      </c>
      <c r="W21" s="714">
        <f>J21</f>
        <v>100</v>
      </c>
      <c r="X21" s="1488"/>
      <c r="Y21" s="3452"/>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8"/>
      <c r="M22" s="2892"/>
      <c r="N22" s="2892"/>
      <c r="O22" s="2892"/>
      <c r="P22" s="3522"/>
      <c r="Q22" s="1485"/>
      <c r="R22" s="713"/>
      <c r="S22" s="714"/>
      <c r="T22" s="713"/>
      <c r="U22" s="714"/>
      <c r="V22" s="713"/>
      <c r="W22" s="714"/>
      <c r="X22" s="1488"/>
      <c r="Y22" s="3452"/>
      <c r="Z22" s="1489"/>
      <c r="AA22" s="1486">
        <v>1</v>
      </c>
      <c r="AB22" s="1486">
        <v>1</v>
      </c>
      <c r="AC22" s="2097">
        <v>1</v>
      </c>
    </row>
    <row r="23" spans="1:29" ht="42.75">
      <c r="A23" s="386"/>
      <c r="B23" s="586" t="s">
        <v>2270</v>
      </c>
      <c r="C23" s="209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8"/>
      <c r="M23" s="2892"/>
      <c r="N23" s="2892"/>
      <c r="O23" s="2892"/>
      <c r="P23" s="3522"/>
      <c r="Q23" s="1485" t="str">
        <f>B23</f>
        <v>环境质量</v>
      </c>
      <c r="R23" s="713" t="s">
        <v>17</v>
      </c>
      <c r="S23" s="714">
        <f>F23</f>
        <v>100</v>
      </c>
      <c r="T23" s="713" t="s">
        <v>17</v>
      </c>
      <c r="U23" s="714">
        <f>H23</f>
        <v>100</v>
      </c>
      <c r="V23" s="713" t="s">
        <v>17</v>
      </c>
      <c r="W23" s="714">
        <f>J23</f>
        <v>100</v>
      </c>
      <c r="X23" s="1488"/>
      <c r="Y23" s="3452"/>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8"/>
      <c r="M24" s="2892"/>
      <c r="N24" s="2892"/>
      <c r="O24" s="2892"/>
      <c r="P24" s="3522"/>
      <c r="Q24" s="1485"/>
      <c r="R24" s="713"/>
      <c r="S24" s="714"/>
      <c r="T24" s="713"/>
      <c r="U24" s="714"/>
      <c r="V24" s="713"/>
      <c r="W24" s="714"/>
      <c r="X24" s="1488"/>
      <c r="Y24" s="3452"/>
      <c r="Z24" s="1489"/>
      <c r="AA24" s="1486">
        <v>1</v>
      </c>
      <c r="AB24" s="1486">
        <v>1</v>
      </c>
      <c r="AC24" s="2097">
        <v>1</v>
      </c>
    </row>
    <row r="25" spans="1:29" ht="27">
      <c r="A25" s="363"/>
      <c r="B25" s="586"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8"/>
      <c r="M25" s="2892"/>
      <c r="N25" s="2892"/>
      <c r="O25" s="2892"/>
      <c r="P25" s="3522"/>
      <c r="Q25" s="1485" t="str">
        <f>B25</f>
        <v>毗邻道路的类型与等级</v>
      </c>
      <c r="R25" s="713" t="s">
        <v>17</v>
      </c>
      <c r="S25" s="714">
        <f>F25</f>
        <v>100</v>
      </c>
      <c r="T25" s="713" t="s">
        <v>17</v>
      </c>
      <c r="U25" s="714">
        <f>H25</f>
        <v>100</v>
      </c>
      <c r="V25" s="713" t="s">
        <v>17</v>
      </c>
      <c r="W25" s="714">
        <f>J25</f>
        <v>100</v>
      </c>
      <c r="X25" s="1488"/>
      <c r="Y25" s="3452"/>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8"/>
      <c r="M26" s="2892"/>
      <c r="N26" s="2892"/>
      <c r="O26" s="2892"/>
      <c r="P26" s="3522"/>
      <c r="Q26" s="1485"/>
      <c r="R26" s="713"/>
      <c r="S26" s="714"/>
      <c r="T26" s="713"/>
      <c r="U26" s="714"/>
      <c r="V26" s="713"/>
      <c r="W26" s="714"/>
      <c r="X26" s="1488"/>
      <c r="Y26" s="3452"/>
      <c r="Z26" s="1489"/>
      <c r="AA26" s="1486">
        <v>1</v>
      </c>
      <c r="AB26" s="1486">
        <v>1</v>
      </c>
      <c r="AC26" s="2097">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8"/>
      <c r="M27" s="2892"/>
      <c r="N27" s="2892"/>
      <c r="O27" s="2892"/>
      <c r="P27" s="3522"/>
      <c r="Q27" s="1485" t="str">
        <f t="shared" ref="Q27:Q47" si="11">B27</f>
        <v>楼层</v>
      </c>
      <c r="R27" s="713" t="s">
        <v>17</v>
      </c>
      <c r="S27" s="714">
        <f>F27</f>
        <v>100</v>
      </c>
      <c r="T27" s="713" t="s">
        <v>17</v>
      </c>
      <c r="U27" s="714">
        <f>H27</f>
        <v>100</v>
      </c>
      <c r="V27" s="713" t="s">
        <v>17</v>
      </c>
      <c r="W27" s="714">
        <f>J27</f>
        <v>100</v>
      </c>
      <c r="X27" s="1488"/>
      <c r="Y27" s="3452"/>
      <c r="Z27" s="1489" t="str">
        <f>Q27</f>
        <v>楼层</v>
      </c>
      <c r="AA27" s="1486">
        <f t="shared" si="3"/>
        <v>1</v>
      </c>
      <c r="AB27" s="1486">
        <f t="shared" si="4"/>
        <v>1</v>
      </c>
      <c r="AC27" s="2097">
        <f t="shared" si="5"/>
        <v>1</v>
      </c>
    </row>
    <row r="28" spans="1:29" s="113" customFormat="1" ht="15">
      <c r="A28" s="389"/>
      <c r="B28" s="586"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3"/>
      <c r="M28" s="2894"/>
      <c r="N28" s="2894"/>
      <c r="O28" s="2894"/>
      <c r="P28" s="3522"/>
      <c r="Q28" s="1476" t="str">
        <f t="shared" si="11"/>
        <v>朝向</v>
      </c>
      <c r="R28" s="709" t="s">
        <v>17</v>
      </c>
      <c r="S28" s="710">
        <f>F28</f>
        <v>100</v>
      </c>
      <c r="T28" s="709" t="s">
        <v>17</v>
      </c>
      <c r="U28" s="710">
        <f>H28</f>
        <v>100</v>
      </c>
      <c r="V28" s="709" t="s">
        <v>17</v>
      </c>
      <c r="W28" s="710">
        <f>J28</f>
        <v>100</v>
      </c>
      <c r="X28" s="711"/>
      <c r="Y28" s="3452"/>
      <c r="Z28" s="55"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8"/>
      <c r="M29" s="2892"/>
      <c r="N29" s="2892"/>
      <c r="O29" s="2892"/>
      <c r="P29" s="3522"/>
      <c r="Q29" s="1485">
        <f t="shared" si="11"/>
        <v>111</v>
      </c>
      <c r="R29" s="713" t="s">
        <v>17</v>
      </c>
      <c r="S29" s="714">
        <f t="shared" ref="S29:S47" si="12">F29</f>
        <v>100</v>
      </c>
      <c r="T29" s="713" t="s">
        <v>17</v>
      </c>
      <c r="U29" s="714">
        <f t="shared" ref="U29:U47" si="13">H29</f>
        <v>100</v>
      </c>
      <c r="V29" s="713" t="s">
        <v>17</v>
      </c>
      <c r="W29" s="714">
        <f t="shared" ref="W29:W47" si="14">J29</f>
        <v>100</v>
      </c>
      <c r="X29" s="1488"/>
      <c r="Y29" s="3452"/>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8"/>
      <c r="M30" s="2892"/>
      <c r="N30" s="2892"/>
      <c r="O30" s="2892"/>
      <c r="P30" s="3522"/>
      <c r="Q30" s="1485">
        <f t="shared" si="11"/>
        <v>111</v>
      </c>
      <c r="R30" s="713" t="s">
        <v>17</v>
      </c>
      <c r="S30" s="714">
        <f t="shared" si="12"/>
        <v>100</v>
      </c>
      <c r="T30" s="713" t="s">
        <v>17</v>
      </c>
      <c r="U30" s="714">
        <f t="shared" si="13"/>
        <v>100</v>
      </c>
      <c r="V30" s="713" t="s">
        <v>17</v>
      </c>
      <c r="W30" s="714">
        <f t="shared" si="14"/>
        <v>100</v>
      </c>
      <c r="X30" s="1488"/>
      <c r="Y30" s="3452"/>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8"/>
      <c r="M31" s="2892"/>
      <c r="N31" s="2892"/>
      <c r="O31" s="2892"/>
      <c r="P31" s="3522"/>
      <c r="Q31" s="1485">
        <f t="shared" si="11"/>
        <v>111</v>
      </c>
      <c r="R31" s="713" t="s">
        <v>17</v>
      </c>
      <c r="S31" s="714">
        <f t="shared" si="12"/>
        <v>100</v>
      </c>
      <c r="T31" s="713" t="s">
        <v>17</v>
      </c>
      <c r="U31" s="714">
        <f t="shared" si="13"/>
        <v>100</v>
      </c>
      <c r="V31" s="713" t="s">
        <v>17</v>
      </c>
      <c r="W31" s="714">
        <f t="shared" si="14"/>
        <v>100</v>
      </c>
      <c r="X31" s="1488"/>
      <c r="Y31" s="3452"/>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8"/>
      <c r="M32" s="2892"/>
      <c r="N32" s="2892"/>
      <c r="O32" s="2892"/>
      <c r="P32" s="3522"/>
      <c r="Q32" s="1485">
        <f t="shared" si="11"/>
        <v>111</v>
      </c>
      <c r="R32" s="713" t="s">
        <v>17</v>
      </c>
      <c r="S32" s="714">
        <f t="shared" si="12"/>
        <v>100</v>
      </c>
      <c r="T32" s="713" t="s">
        <v>17</v>
      </c>
      <c r="U32" s="714">
        <f t="shared" si="13"/>
        <v>100</v>
      </c>
      <c r="V32" s="713" t="s">
        <v>17</v>
      </c>
      <c r="W32" s="714">
        <f t="shared" si="14"/>
        <v>100</v>
      </c>
      <c r="X32" s="1488"/>
      <c r="Y32" s="3452"/>
      <c r="Z32" s="1489">
        <f t="shared" si="15"/>
        <v>111</v>
      </c>
      <c r="AA32" s="1486">
        <f t="shared" si="3"/>
        <v>1</v>
      </c>
      <c r="AB32" s="1486">
        <f t="shared" si="4"/>
        <v>1</v>
      </c>
      <c r="AC32" s="2097">
        <f t="shared" si="5"/>
        <v>1</v>
      </c>
    </row>
    <row r="33" spans="1:29" ht="15">
      <c r="A33" s="398" t="s">
        <v>2143</v>
      </c>
      <c r="B33" s="67" t="s">
        <v>2273</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8"/>
      <c r="M33" s="2892"/>
      <c r="N33" s="2892"/>
      <c r="O33" s="2892"/>
      <c r="P33" s="3517" t="s">
        <v>2145</v>
      </c>
      <c r="Q33" s="1485" t="str">
        <f t="shared" si="11"/>
        <v>建筑类型</v>
      </c>
      <c r="R33" s="713" t="s">
        <v>17</v>
      </c>
      <c r="S33" s="714">
        <f t="shared" si="12"/>
        <v>100</v>
      </c>
      <c r="T33" s="713" t="s">
        <v>17</v>
      </c>
      <c r="U33" s="714">
        <f t="shared" si="13"/>
        <v>100</v>
      </c>
      <c r="V33" s="713" t="s">
        <v>17</v>
      </c>
      <c r="W33" s="714">
        <f t="shared" si="14"/>
        <v>100</v>
      </c>
      <c r="X33" s="1488"/>
      <c r="Y33" s="3454" t="s">
        <v>2145</v>
      </c>
      <c r="Z33" s="1489" t="str">
        <f t="shared" si="15"/>
        <v>建筑类型</v>
      </c>
      <c r="AA33" s="1486">
        <f t="shared" si="3"/>
        <v>1</v>
      </c>
      <c r="AB33" s="1486">
        <f t="shared" si="4"/>
        <v>1</v>
      </c>
      <c r="AC33" s="2097">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7"/>
      <c r="M34" s="2899"/>
      <c r="N34" s="2899"/>
      <c r="O34" s="2899"/>
      <c r="P34" s="3518"/>
      <c r="Q34" s="715" t="str">
        <f t="shared" si="11"/>
        <v>项目建筑规模</v>
      </c>
      <c r="R34" s="716" t="s">
        <v>17</v>
      </c>
      <c r="S34" s="717" t="e">
        <f t="shared" si="12"/>
        <v>#N/A</v>
      </c>
      <c r="T34" s="716" t="s">
        <v>17</v>
      </c>
      <c r="U34" s="717" t="e">
        <f t="shared" si="13"/>
        <v>#N/A</v>
      </c>
      <c r="V34" s="716" t="s">
        <v>17</v>
      </c>
      <c r="W34" s="717" t="e">
        <f t="shared" si="14"/>
        <v>#N/A</v>
      </c>
      <c r="X34" s="718"/>
      <c r="Y34" s="3454"/>
      <c r="Z34" s="719" t="str">
        <f t="shared" si="15"/>
        <v>项目建筑规模</v>
      </c>
      <c r="AA34" s="1486" t="e">
        <f t="shared" si="3"/>
        <v>#N/A</v>
      </c>
      <c r="AB34" s="1486" t="e">
        <f t="shared" si="4"/>
        <v>#N/A</v>
      </c>
      <c r="AC34" s="2097"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8"/>
      <c r="M35" s="2892"/>
      <c r="N35" s="2892"/>
      <c r="O35" s="2892"/>
      <c r="P35" s="3518"/>
      <c r="Q35" s="1485" t="str">
        <f t="shared" si="11"/>
        <v>建筑结构</v>
      </c>
      <c r="R35" s="713" t="s">
        <v>17</v>
      </c>
      <c r="S35" s="714">
        <f t="shared" si="12"/>
        <v>100</v>
      </c>
      <c r="T35" s="713" t="s">
        <v>17</v>
      </c>
      <c r="U35" s="714">
        <f t="shared" si="13"/>
        <v>100</v>
      </c>
      <c r="V35" s="713" t="s">
        <v>17</v>
      </c>
      <c r="W35" s="714">
        <f t="shared" si="14"/>
        <v>100</v>
      </c>
      <c r="X35" s="1488"/>
      <c r="Y35" s="3454"/>
      <c r="Z35" s="1489" t="str">
        <f t="shared" si="15"/>
        <v>建筑结构</v>
      </c>
      <c r="AA35" s="1486">
        <f t="shared" si="3"/>
        <v>1</v>
      </c>
      <c r="AB35" s="1486">
        <f t="shared" si="4"/>
        <v>1</v>
      </c>
      <c r="AC35" s="2097">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8"/>
      <c r="M36" s="2892"/>
      <c r="N36" s="2892"/>
      <c r="O36" s="2892"/>
      <c r="P36" s="3518"/>
      <c r="Q36" s="1485" t="str">
        <f t="shared" si="11"/>
        <v>公共部分装修</v>
      </c>
      <c r="R36" s="713" t="s">
        <v>17</v>
      </c>
      <c r="S36" s="714">
        <f t="shared" si="12"/>
        <v>100</v>
      </c>
      <c r="T36" s="713" t="s">
        <v>17</v>
      </c>
      <c r="U36" s="714">
        <f t="shared" si="13"/>
        <v>100</v>
      </c>
      <c r="V36" s="713" t="s">
        <v>17</v>
      </c>
      <c r="W36" s="714">
        <f t="shared" si="14"/>
        <v>100</v>
      </c>
      <c r="X36" s="1488"/>
      <c r="Y36" s="3454"/>
      <c r="Z36" s="1489" t="str">
        <f t="shared" si="15"/>
        <v>公共部分装修</v>
      </c>
      <c r="AA36" s="1486">
        <f t="shared" si="3"/>
        <v>1</v>
      </c>
      <c r="AB36" s="1486">
        <f t="shared" si="4"/>
        <v>1</v>
      </c>
      <c r="AC36" s="2097">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8"/>
      <c r="M37" s="2892"/>
      <c r="N37" s="2892"/>
      <c r="O37" s="2892"/>
      <c r="P37" s="3518"/>
      <c r="Q37" s="1485" t="str">
        <f t="shared" si="11"/>
        <v>成新度</v>
      </c>
      <c r="R37" s="713" t="s">
        <v>17</v>
      </c>
      <c r="S37" s="714" t="e">
        <f t="shared" si="12"/>
        <v>#N/A</v>
      </c>
      <c r="T37" s="713" t="s">
        <v>17</v>
      </c>
      <c r="U37" s="714" t="e">
        <f t="shared" si="13"/>
        <v>#N/A</v>
      </c>
      <c r="V37" s="713" t="s">
        <v>17</v>
      </c>
      <c r="W37" s="714" t="e">
        <f t="shared" si="14"/>
        <v>#N/A</v>
      </c>
      <c r="X37" s="1488"/>
      <c r="Y37" s="3454"/>
      <c r="Z37" s="1489" t="str">
        <f t="shared" si="15"/>
        <v>成新度</v>
      </c>
      <c r="AA37" s="1486" t="e">
        <f t="shared" si="3"/>
        <v>#N/A</v>
      </c>
      <c r="AB37" s="1486" t="e">
        <f t="shared" si="4"/>
        <v>#N/A</v>
      </c>
      <c r="AC37" s="2097" t="e">
        <f t="shared" si="5"/>
        <v>#N/A</v>
      </c>
    </row>
    <row r="38" spans="1:29" s="113"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3"/>
      <c r="M38" s="2894"/>
      <c r="N38" s="2894"/>
      <c r="O38" s="2894"/>
      <c r="P38" s="3518"/>
      <c r="Q38" s="1476" t="str">
        <f t="shared" si="11"/>
        <v>写字楼等级</v>
      </c>
      <c r="R38" s="709" t="s">
        <v>17</v>
      </c>
      <c r="S38" s="710">
        <f t="shared" si="12"/>
        <v>100</v>
      </c>
      <c r="T38" s="709" t="s">
        <v>17</v>
      </c>
      <c r="U38" s="710">
        <f t="shared" si="13"/>
        <v>100</v>
      </c>
      <c r="V38" s="709" t="s">
        <v>17</v>
      </c>
      <c r="W38" s="710">
        <f t="shared" si="14"/>
        <v>100</v>
      </c>
      <c r="X38" s="711"/>
      <c r="Y38" s="3454"/>
      <c r="Z38" s="55" t="str">
        <f t="shared" si="15"/>
        <v>写字楼等级</v>
      </c>
      <c r="AA38" s="712">
        <f t="shared" si="3"/>
        <v>1</v>
      </c>
      <c r="AB38" s="712">
        <f t="shared" si="4"/>
        <v>1</v>
      </c>
      <c r="AC38" s="2094">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8"/>
      <c r="M39" s="2892"/>
      <c r="N39" s="2892"/>
      <c r="O39" s="2892"/>
      <c r="P39" s="3518" t="s">
        <v>2145</v>
      </c>
      <c r="Q39" s="1485" t="str">
        <f t="shared" si="11"/>
        <v>物业管理</v>
      </c>
      <c r="R39" s="713" t="s">
        <v>17</v>
      </c>
      <c r="S39" s="714">
        <f t="shared" si="12"/>
        <v>100</v>
      </c>
      <c r="T39" s="713" t="s">
        <v>17</v>
      </c>
      <c r="U39" s="714">
        <f t="shared" si="13"/>
        <v>100</v>
      </c>
      <c r="V39" s="713" t="s">
        <v>17</v>
      </c>
      <c r="W39" s="714">
        <f t="shared" si="14"/>
        <v>100</v>
      </c>
      <c r="X39" s="1488"/>
      <c r="Y39" s="3454" t="s">
        <v>2145</v>
      </c>
      <c r="Z39" s="1489" t="str">
        <f t="shared" si="15"/>
        <v>物业管理</v>
      </c>
      <c r="AA39" s="1486">
        <f t="shared" si="3"/>
        <v>1</v>
      </c>
      <c r="AB39" s="1486">
        <f t="shared" si="4"/>
        <v>1</v>
      </c>
      <c r="AC39" s="2097">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8"/>
      <c r="M40" s="2892"/>
      <c r="N40" s="2892"/>
      <c r="O40" s="2892"/>
      <c r="P40" s="3518"/>
      <c r="Q40" s="1485" t="str">
        <f t="shared" si="11"/>
        <v>市政基础设施</v>
      </c>
      <c r="R40" s="713" t="s">
        <v>17</v>
      </c>
      <c r="S40" s="714">
        <f t="shared" si="12"/>
        <v>100</v>
      </c>
      <c r="T40" s="713" t="s">
        <v>17</v>
      </c>
      <c r="U40" s="714">
        <f t="shared" si="13"/>
        <v>100</v>
      </c>
      <c r="V40" s="713" t="s">
        <v>17</v>
      </c>
      <c r="W40" s="714">
        <f t="shared" si="14"/>
        <v>100</v>
      </c>
      <c r="X40" s="1488"/>
      <c r="Y40" s="3454"/>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8"/>
      <c r="M41" s="2892"/>
      <c r="N41" s="2892"/>
      <c r="O41" s="2892"/>
      <c r="P41" s="3518"/>
      <c r="Q41" s="1485" t="str">
        <f t="shared" si="11"/>
        <v>层高</v>
      </c>
      <c r="R41" s="713" t="s">
        <v>17</v>
      </c>
      <c r="S41" s="714">
        <f t="shared" si="12"/>
        <v>100</v>
      </c>
      <c r="T41" s="713" t="s">
        <v>17</v>
      </c>
      <c r="U41" s="714">
        <f t="shared" si="13"/>
        <v>100</v>
      </c>
      <c r="V41" s="713" t="s">
        <v>17</v>
      </c>
      <c r="W41" s="714">
        <f t="shared" si="14"/>
        <v>100</v>
      </c>
      <c r="X41" s="1488"/>
      <c r="Y41" s="3454"/>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7"/>
      <c r="M42" s="2899"/>
      <c r="N42" s="2899"/>
      <c r="O42" s="2899"/>
      <c r="P42" s="3518"/>
      <c r="Q42" s="715" t="str">
        <f t="shared" si="11"/>
        <v>单套建筑面积</v>
      </c>
      <c r="R42" s="716" t="s">
        <v>17</v>
      </c>
      <c r="S42" s="717">
        <f t="shared" si="12"/>
        <v>100</v>
      </c>
      <c r="T42" s="716" t="s">
        <v>17</v>
      </c>
      <c r="U42" s="717">
        <f t="shared" si="13"/>
        <v>100</v>
      </c>
      <c r="V42" s="716" t="s">
        <v>17</v>
      </c>
      <c r="W42" s="717">
        <f t="shared" si="14"/>
        <v>100</v>
      </c>
      <c r="X42" s="718"/>
      <c r="Y42" s="3454"/>
      <c r="Z42" s="719" t="str">
        <f t="shared" si="15"/>
        <v>单套建筑面积</v>
      </c>
      <c r="AA42" s="1486">
        <f t="shared" si="3"/>
        <v>1</v>
      </c>
      <c r="AB42" s="1486">
        <f t="shared" si="4"/>
        <v>1</v>
      </c>
      <c r="AC42" s="2097">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8"/>
      <c r="M43" s="2892"/>
      <c r="N43" s="2892"/>
      <c r="O43" s="2892"/>
      <c r="P43" s="3518"/>
      <c r="Q43" s="1485" t="str">
        <f t="shared" si="11"/>
        <v>内部装修</v>
      </c>
      <c r="R43" s="713" t="s">
        <v>17</v>
      </c>
      <c r="S43" s="714">
        <f t="shared" si="12"/>
        <v>100</v>
      </c>
      <c r="T43" s="713" t="s">
        <v>17</v>
      </c>
      <c r="U43" s="714">
        <f t="shared" si="13"/>
        <v>100</v>
      </c>
      <c r="V43" s="713" t="s">
        <v>17</v>
      </c>
      <c r="W43" s="714">
        <f t="shared" si="14"/>
        <v>100</v>
      </c>
      <c r="X43" s="1488"/>
      <c r="Y43" s="3454"/>
      <c r="Z43" s="1489" t="str">
        <f t="shared" si="15"/>
        <v>内部装修</v>
      </c>
      <c r="AA43" s="1486">
        <f t="shared" si="3"/>
        <v>1</v>
      </c>
      <c r="AB43" s="1486">
        <f t="shared" si="4"/>
        <v>1</v>
      </c>
      <c r="AC43" s="2097">
        <f t="shared" si="5"/>
        <v>1</v>
      </c>
    </row>
    <row r="44" spans="1:29" ht="15">
      <c r="A44" s="430"/>
      <c r="B44" s="380" t="s">
        <v>2156</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8"/>
      <c r="M44" s="2892"/>
      <c r="N44" s="2892"/>
      <c r="O44" s="2892"/>
      <c r="P44" s="3518"/>
      <c r="Q44" s="1485" t="str">
        <f t="shared" si="11"/>
        <v>内部装修维护情况</v>
      </c>
      <c r="R44" s="713" t="s">
        <v>17</v>
      </c>
      <c r="S44" s="714">
        <f t="shared" si="12"/>
        <v>100</v>
      </c>
      <c r="T44" s="713" t="s">
        <v>17</v>
      </c>
      <c r="U44" s="714">
        <f t="shared" si="13"/>
        <v>100</v>
      </c>
      <c r="V44" s="713" t="s">
        <v>17</v>
      </c>
      <c r="W44" s="714">
        <f t="shared" si="14"/>
        <v>100</v>
      </c>
      <c r="X44" s="1488"/>
      <c r="Y44" s="3454"/>
      <c r="Z44" s="1489" t="str">
        <f t="shared" si="15"/>
        <v>内部装修维护情况</v>
      </c>
      <c r="AA44" s="1486">
        <f t="shared" si="3"/>
        <v>1</v>
      </c>
      <c r="AB44" s="1486">
        <f t="shared" si="4"/>
        <v>1</v>
      </c>
      <c r="AC44" s="2097">
        <f t="shared" si="5"/>
        <v>1</v>
      </c>
    </row>
    <row r="45" spans="1:29" s="113"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3"/>
      <c r="M45" s="2894"/>
      <c r="N45" s="2894"/>
      <c r="O45" s="2894"/>
      <c r="P45" s="3518"/>
      <c r="Q45" s="1476">
        <f t="shared" si="11"/>
        <v>111</v>
      </c>
      <c r="R45" s="709" t="s">
        <v>17</v>
      </c>
      <c r="S45" s="710">
        <f t="shared" si="12"/>
        <v>100</v>
      </c>
      <c r="T45" s="709" t="s">
        <v>17</v>
      </c>
      <c r="U45" s="710">
        <f t="shared" si="13"/>
        <v>100</v>
      </c>
      <c r="V45" s="709" t="s">
        <v>17</v>
      </c>
      <c r="W45" s="710">
        <f t="shared" si="14"/>
        <v>100</v>
      </c>
      <c r="X45" s="711"/>
      <c r="Y45" s="3454"/>
      <c r="Z45" s="55">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8"/>
      <c r="M46" s="2892"/>
      <c r="N46" s="2892"/>
      <c r="O46" s="2892"/>
      <c r="P46" s="3518"/>
      <c r="Q46" s="1485">
        <f t="shared" si="11"/>
        <v>111</v>
      </c>
      <c r="R46" s="713" t="s">
        <v>17</v>
      </c>
      <c r="S46" s="714">
        <f t="shared" si="12"/>
        <v>100</v>
      </c>
      <c r="T46" s="713" t="s">
        <v>17</v>
      </c>
      <c r="U46" s="714">
        <f t="shared" si="13"/>
        <v>100</v>
      </c>
      <c r="V46" s="713" t="s">
        <v>17</v>
      </c>
      <c r="W46" s="714">
        <f t="shared" si="14"/>
        <v>100</v>
      </c>
      <c r="X46" s="1488"/>
      <c r="Y46" s="3454"/>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8"/>
      <c r="M47" s="2892"/>
      <c r="N47" s="2892"/>
      <c r="O47" s="2892"/>
      <c r="P47" s="3519"/>
      <c r="Q47" s="1485">
        <f t="shared" si="11"/>
        <v>111</v>
      </c>
      <c r="R47" s="713" t="s">
        <v>17</v>
      </c>
      <c r="S47" s="714">
        <f t="shared" si="12"/>
        <v>100</v>
      </c>
      <c r="T47" s="713" t="s">
        <v>17</v>
      </c>
      <c r="U47" s="714">
        <f t="shared" si="13"/>
        <v>100</v>
      </c>
      <c r="V47" s="713" t="s">
        <v>17</v>
      </c>
      <c r="W47" s="714">
        <f t="shared" si="14"/>
        <v>100</v>
      </c>
      <c r="X47" s="1488"/>
      <c r="Y47" s="3520"/>
      <c r="Z47" s="1489">
        <f t="shared" si="15"/>
        <v>111</v>
      </c>
      <c r="AA47" s="1486">
        <f t="shared" si="3"/>
        <v>1</v>
      </c>
      <c r="AB47" s="1486">
        <f t="shared" si="4"/>
        <v>1</v>
      </c>
      <c r="AC47" s="2097">
        <f t="shared" si="5"/>
        <v>1</v>
      </c>
    </row>
    <row r="48" spans="1:29" ht="15">
      <c r="A48" s="437" t="s">
        <v>2157</v>
      </c>
      <c r="B48" s="438"/>
      <c r="C48" s="1268" t="s">
        <v>1</v>
      </c>
      <c r="D48" s="1269"/>
      <c r="E48" s="1270"/>
      <c r="F48" s="1271"/>
      <c r="G48" s="1272"/>
      <c r="H48" s="1273"/>
      <c r="I48" s="1270"/>
      <c r="J48" s="443"/>
      <c r="K48" s="722"/>
      <c r="L48" s="2900"/>
      <c r="M48" s="2892"/>
      <c r="N48" s="2892"/>
      <c r="O48" s="2892"/>
      <c r="P48" s="3449" t="str">
        <f>A48</f>
        <v>成交单价（元/平方米）</v>
      </c>
      <c r="Q48" s="3450"/>
      <c r="R48" s="3516">
        <f>E48</f>
        <v>0</v>
      </c>
      <c r="S48" s="3516"/>
      <c r="T48" s="3516">
        <f>G48</f>
        <v>0</v>
      </c>
      <c r="U48" s="3516"/>
      <c r="V48" s="3516">
        <f>I48</f>
        <v>0</v>
      </c>
      <c r="W48" s="3516"/>
      <c r="X48" s="404"/>
      <c r="Y48" s="720"/>
      <c r="Z48" s="404"/>
      <c r="AA48" s="404"/>
      <c r="AB48" s="404"/>
      <c r="AC48" s="585"/>
    </row>
    <row r="49" spans="1:29" ht="15.75" thickBot="1">
      <c r="A49" s="444" t="s">
        <v>2249</v>
      </c>
      <c r="B49" s="445"/>
      <c r="C49" s="1274" t="e">
        <f>R50</f>
        <v>#DIV/0!</v>
      </c>
      <c r="D49" s="2486" t="s">
        <v>2637</v>
      </c>
      <c r="E49" s="1275" t="e">
        <f>R49</f>
        <v>#DIV/0!</v>
      </c>
      <c r="F49" s="2487"/>
      <c r="G49" s="1274" t="e">
        <f>T49</f>
        <v>#DIV/0!</v>
      </c>
      <c r="H49" s="2487"/>
      <c r="I49" s="1275" t="e">
        <f>V49</f>
        <v>#DIV/0!</v>
      </c>
      <c r="J49" s="2487"/>
      <c r="K49" s="2489">
        <f>F49+H49+J49</f>
        <v>0</v>
      </c>
      <c r="L49" s="2900"/>
      <c r="M49" s="2892"/>
      <c r="N49" s="2892"/>
      <c r="O49" s="2892"/>
      <c r="P49" s="3449" t="str">
        <f>A49</f>
        <v>比较价值（元/平方米）</v>
      </c>
      <c r="Q49" s="3450"/>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0"/>
      <c r="M50" s="2892"/>
      <c r="N50" s="2892"/>
      <c r="O50" s="2892"/>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2081"/>
      <c r="Y50" s="2081"/>
      <c r="Z50" s="2081"/>
      <c r="AA50" s="2081"/>
      <c r="AB50" s="2081"/>
      <c r="AC50" s="2082"/>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8" customFormat="1" ht="13.5" customHeight="1">
      <c r="A55" s="2904"/>
      <c r="B55" s="2904"/>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8"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2" t="s">
        <v>2254</v>
      </c>
      <c r="B58" s="698"/>
      <c r="C58" s="703"/>
      <c r="D58" s="703"/>
      <c r="E58" s="703"/>
      <c r="F58" s="704"/>
      <c r="G58" s="704"/>
      <c r="H58" s="703"/>
      <c r="I58" s="703"/>
      <c r="J58" s="703"/>
      <c r="K58" s="705"/>
      <c r="L58" s="1053"/>
      <c r="M58" s="1051"/>
      <c r="N58" s="2945"/>
      <c r="O58" s="2945"/>
      <c r="P58" s="2934"/>
      <c r="Q58" s="2915"/>
      <c r="R58" s="2901"/>
      <c r="S58" s="2901"/>
      <c r="T58" s="2901"/>
      <c r="U58" s="2901"/>
      <c r="V58" s="2901"/>
      <c r="W58" s="2901"/>
      <c r="X58" s="2901"/>
      <c r="Y58" s="2901"/>
      <c r="Z58" s="2901"/>
      <c r="AA58" s="2901"/>
      <c r="AB58" s="2901"/>
      <c r="AC58" s="2901"/>
    </row>
    <row r="59" spans="1:29" s="464" customFormat="1" ht="15">
      <c r="A59" s="461" t="s">
        <v>2128</v>
      </c>
      <c r="B59" s="462"/>
      <c r="C59" s="1297" t="str">
        <f>YEAR(C7)&amp;"-"&amp;MONTH(C7)</f>
        <v>2022-8</v>
      </c>
      <c r="D59" s="1298">
        <f>EDATE(C59,-1)</f>
        <v>44743</v>
      </c>
      <c r="E59" s="1298">
        <f>EDATE(D59,-1)</f>
        <v>44713</v>
      </c>
      <c r="F59" s="1298">
        <f t="shared" ref="F59:O59" si="16">EDATE(E59,-1)</f>
        <v>44682</v>
      </c>
      <c r="G59" s="1298">
        <f t="shared" si="16"/>
        <v>44652</v>
      </c>
      <c r="H59" s="1298">
        <f t="shared" si="16"/>
        <v>44621</v>
      </c>
      <c r="I59" s="1298">
        <f t="shared" si="16"/>
        <v>44593</v>
      </c>
      <c r="J59" s="1298">
        <f t="shared" si="16"/>
        <v>44562</v>
      </c>
      <c r="K59" s="1298">
        <f t="shared" si="16"/>
        <v>44531</v>
      </c>
      <c r="L59" s="1298">
        <f t="shared" si="16"/>
        <v>44501</v>
      </c>
      <c r="M59" s="1298">
        <f t="shared" si="16"/>
        <v>44470</v>
      </c>
      <c r="N59" s="1298">
        <f t="shared" si="16"/>
        <v>44440</v>
      </c>
      <c r="O59" s="1298">
        <f t="shared" si="16"/>
        <v>44409</v>
      </c>
      <c r="P59" s="2935"/>
      <c r="Q59" s="2917"/>
      <c r="R59" s="2917"/>
      <c r="S59" s="2917"/>
      <c r="T59" s="2917"/>
      <c r="U59" s="2917"/>
      <c r="V59" s="2917"/>
      <c r="W59" s="2917"/>
      <c r="X59" s="2917"/>
      <c r="Y59" s="2917"/>
      <c r="Z59" s="2917"/>
      <c r="AA59" s="2917"/>
      <c r="AB59" s="2917"/>
      <c r="AC59" s="2917"/>
    </row>
    <row r="60" spans="1:29" s="113" customFormat="1" ht="15">
      <c r="A60" s="465"/>
      <c r="B60" s="466"/>
      <c r="C60" s="1296">
        <v>100</v>
      </c>
      <c r="D60" s="468"/>
      <c r="E60" s="468"/>
      <c r="F60" s="468"/>
      <c r="G60" s="468"/>
      <c r="H60" s="468"/>
      <c r="I60" s="468"/>
      <c r="J60" s="468"/>
      <c r="K60" s="468"/>
      <c r="L60" s="468"/>
      <c r="M60" s="469"/>
      <c r="N60" s="468"/>
      <c r="O60" s="469"/>
      <c r="P60" s="2936"/>
      <c r="Q60" s="2835"/>
      <c r="R60" s="2835"/>
      <c r="S60" s="2835"/>
      <c r="T60" s="2835"/>
      <c r="U60" s="2835"/>
      <c r="V60" s="2835"/>
      <c r="W60" s="2835"/>
      <c r="X60" s="2835"/>
      <c r="Y60" s="2835"/>
      <c r="Z60" s="2835"/>
      <c r="AA60" s="2835"/>
      <c r="AB60" s="2835"/>
      <c r="AC60" s="2835"/>
    </row>
    <row r="61" spans="1:29" s="113" customFormat="1" ht="15.75" thickBot="1">
      <c r="A61" s="471" t="s">
        <v>2165</v>
      </c>
      <c r="B61" s="472"/>
      <c r="C61" s="473"/>
      <c r="D61" s="474"/>
      <c r="E61" s="474"/>
      <c r="F61" s="474"/>
      <c r="G61" s="474"/>
      <c r="H61" s="474"/>
      <c r="I61" s="474"/>
      <c r="J61" s="474"/>
      <c r="K61" s="474"/>
      <c r="L61" s="474"/>
      <c r="M61" s="475"/>
      <c r="N61" s="474"/>
      <c r="O61" s="475"/>
      <c r="P61" s="2936"/>
      <c r="Q61" s="2915"/>
      <c r="R61" s="2835"/>
      <c r="S61" s="2835"/>
      <c r="T61" s="2835"/>
      <c r="U61" s="2835"/>
      <c r="V61" s="2835"/>
      <c r="W61" s="2835"/>
      <c r="X61" s="2835"/>
      <c r="Y61" s="2835"/>
      <c r="Z61" s="2835"/>
      <c r="AA61" s="2835"/>
      <c r="AB61" s="2835"/>
      <c r="AC61" s="2835"/>
    </row>
    <row r="62" spans="1:29" s="113" customFormat="1" ht="15">
      <c r="A62" s="477" t="s">
        <v>2130</v>
      </c>
      <c r="B62" s="466"/>
      <c r="C62" s="478" t="s">
        <v>2232</v>
      </c>
      <c r="D62" s="479"/>
      <c r="E62" s="479"/>
      <c r="F62" s="479"/>
      <c r="G62" s="479"/>
      <c r="H62" s="479"/>
      <c r="I62" s="479"/>
      <c r="J62" s="479"/>
      <c r="K62" s="479"/>
      <c r="L62" s="480"/>
      <c r="M62" s="481"/>
      <c r="N62" s="2928"/>
      <c r="O62" s="2928"/>
      <c r="P62" s="2937"/>
      <c r="Q62" s="2915"/>
      <c r="R62" s="2835"/>
      <c r="S62" s="2835"/>
      <c r="T62" s="2835"/>
      <c r="U62" s="2835"/>
      <c r="V62" s="2835"/>
      <c r="W62" s="2835"/>
      <c r="X62" s="2835"/>
      <c r="Y62" s="2835"/>
      <c r="Z62" s="2835"/>
      <c r="AA62" s="2835"/>
      <c r="AB62" s="2835"/>
      <c r="AC62" s="2835"/>
    </row>
    <row r="63" spans="1:29" s="113" customFormat="1" ht="15.75" thickBot="1">
      <c r="A63" s="477"/>
      <c r="B63" s="466"/>
      <c r="C63" s="467">
        <v>100</v>
      </c>
      <c r="D63" s="468"/>
      <c r="E63" s="468"/>
      <c r="F63" s="468"/>
      <c r="G63" s="468"/>
      <c r="H63" s="468"/>
      <c r="I63" s="468"/>
      <c r="J63" s="468"/>
      <c r="K63" s="468"/>
      <c r="L63" s="468"/>
      <c r="M63" s="470"/>
      <c r="N63" s="2928"/>
      <c r="O63" s="2928"/>
      <c r="P63" s="2936"/>
      <c r="Q63" s="2915"/>
      <c r="R63" s="2835"/>
      <c r="S63" s="2835"/>
      <c r="T63" s="2835"/>
      <c r="U63" s="2835"/>
      <c r="V63" s="2835"/>
      <c r="W63" s="2835"/>
      <c r="X63" s="2835"/>
      <c r="Y63" s="2835"/>
      <c r="Z63" s="2835"/>
      <c r="AA63" s="2835"/>
      <c r="AB63" s="2835"/>
      <c r="AC63" s="2835"/>
    </row>
    <row r="64" spans="1:29">
      <c r="A64" s="483" t="s">
        <v>2168</v>
      </c>
      <c r="B64" s="484" t="s">
        <v>2134</v>
      </c>
      <c r="C64" s="485">
        <f>C9</f>
        <v>0</v>
      </c>
      <c r="D64" s="486"/>
      <c r="E64" s="486"/>
      <c r="F64" s="486"/>
      <c r="G64" s="486"/>
      <c r="H64" s="486"/>
      <c r="I64" s="486"/>
      <c r="J64" s="486"/>
      <c r="K64" s="487"/>
      <c r="L64" s="488"/>
      <c r="M64" s="489"/>
      <c r="N64" s="2929"/>
      <c r="O64" s="2929"/>
      <c r="P64" s="2938"/>
      <c r="Q64" s="2915"/>
      <c r="R64" s="2901"/>
      <c r="S64" s="2901"/>
      <c r="T64" s="2901"/>
      <c r="U64" s="2901"/>
      <c r="V64" s="2901"/>
      <c r="W64" s="2901"/>
      <c r="X64" s="2901"/>
      <c r="Y64" s="2901"/>
      <c r="Z64" s="2901"/>
      <c r="AA64" s="2901"/>
      <c r="AB64" s="2901"/>
      <c r="AC64" s="2901"/>
    </row>
    <row r="65" spans="1:29" ht="15.75" thickBot="1">
      <c r="A65" s="490"/>
      <c r="B65" s="491"/>
      <c r="C65" s="492">
        <v>100</v>
      </c>
      <c r="D65" s="492"/>
      <c r="E65" s="492"/>
      <c r="F65" s="492"/>
      <c r="G65" s="492"/>
      <c r="H65" s="492"/>
      <c r="I65" s="492"/>
      <c r="J65" s="492"/>
      <c r="K65" s="492"/>
      <c r="L65" s="492"/>
      <c r="M65" s="493"/>
      <c r="N65" s="2930"/>
      <c r="O65" s="2930"/>
      <c r="P65" s="2938"/>
      <c r="Q65" s="2915"/>
      <c r="R65" s="2901"/>
      <c r="S65" s="2901"/>
      <c r="T65" s="2901"/>
      <c r="U65" s="2901"/>
      <c r="V65" s="2901"/>
      <c r="W65" s="2901"/>
      <c r="X65" s="2901"/>
      <c r="Y65" s="2901"/>
      <c r="Z65" s="2901"/>
      <c r="AA65" s="2901"/>
      <c r="AB65" s="2901"/>
      <c r="AC65" s="2901"/>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9"/>
      <c r="O66" s="2929"/>
      <c r="P66" s="2938"/>
      <c r="Q66" s="2915"/>
      <c r="R66" s="2901"/>
      <c r="S66" s="2901"/>
      <c r="T66" s="2901"/>
      <c r="U66" s="2901"/>
      <c r="V66" s="2901"/>
      <c r="W66" s="2901"/>
      <c r="X66" s="2901"/>
      <c r="Y66" s="2901"/>
      <c r="Z66" s="2901"/>
      <c r="AA66" s="2901"/>
      <c r="AB66" s="2901"/>
      <c r="AC66" s="290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0"/>
      <c r="O67" s="2930"/>
      <c r="P67" s="2938"/>
      <c r="Q67" s="2915"/>
      <c r="R67" s="2901"/>
      <c r="S67" s="2901"/>
      <c r="T67" s="2901"/>
      <c r="U67" s="2901"/>
      <c r="V67" s="2901"/>
      <c r="W67" s="2901"/>
      <c r="X67" s="2901"/>
      <c r="Y67" s="2901"/>
      <c r="Z67" s="2901"/>
      <c r="AA67" s="2901"/>
      <c r="AB67" s="2901"/>
      <c r="AC67" s="2901"/>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0"/>
      <c r="B69" s="504"/>
      <c r="C69" s="505"/>
      <c r="D69" s="505"/>
      <c r="E69" s="505"/>
      <c r="F69" s="505"/>
      <c r="G69" s="505"/>
      <c r="H69" s="505"/>
      <c r="I69" s="505"/>
      <c r="J69" s="505"/>
      <c r="K69" s="506"/>
      <c r="L69" s="507"/>
      <c r="M69" s="508"/>
      <c r="N69" s="2929"/>
      <c r="O69" s="2929"/>
      <c r="P69" s="2938"/>
      <c r="Q69" s="2915"/>
      <c r="R69" s="2901"/>
      <c r="S69" s="2901"/>
      <c r="T69" s="2901"/>
      <c r="U69" s="2901"/>
      <c r="V69" s="2901"/>
      <c r="W69" s="2901"/>
      <c r="X69" s="2901"/>
      <c r="Y69" s="2901"/>
      <c r="Z69" s="2901"/>
      <c r="AA69" s="2901"/>
      <c r="AB69" s="2901"/>
      <c r="AC69" s="290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0"/>
      <c r="O70" s="2930"/>
      <c r="P70" s="2938"/>
      <c r="Q70" s="2915"/>
      <c r="R70" s="2901"/>
      <c r="S70" s="2901"/>
      <c r="T70" s="2901"/>
      <c r="U70" s="2901"/>
      <c r="V70" s="2901"/>
      <c r="W70" s="2901"/>
      <c r="X70" s="2901"/>
      <c r="Y70" s="2901"/>
      <c r="Z70" s="2901"/>
      <c r="AA70" s="2901"/>
      <c r="AB70" s="2901"/>
      <c r="AC70" s="2901"/>
    </row>
    <row r="71" spans="1:29" s="429" customFormat="1" ht="15.75" thickTop="1">
      <c r="A71" s="509"/>
      <c r="B71" s="494">
        <f>B12</f>
        <v>111</v>
      </c>
      <c r="C71" s="510"/>
      <c r="D71" s="510"/>
      <c r="E71" s="510"/>
      <c r="F71" s="510"/>
      <c r="G71" s="510"/>
      <c r="H71" s="511"/>
      <c r="I71" s="511"/>
      <c r="J71" s="511"/>
      <c r="K71" s="511"/>
      <c r="L71" s="512"/>
      <c r="M71" s="513"/>
      <c r="N71" s="2931"/>
      <c r="O71" s="2931"/>
      <c r="P71" s="2939"/>
      <c r="Q71" s="2922"/>
      <c r="R71" s="2923"/>
      <c r="S71" s="2923"/>
      <c r="T71" s="2923"/>
      <c r="U71" s="2923"/>
      <c r="V71" s="2923"/>
      <c r="W71" s="2923"/>
      <c r="X71" s="2923"/>
      <c r="Y71" s="2923"/>
      <c r="Z71" s="2923"/>
      <c r="AA71" s="2923"/>
      <c r="AB71" s="2923"/>
      <c r="AC71" s="2923"/>
    </row>
    <row r="72" spans="1:29" s="429" customFormat="1" ht="15.75" thickBot="1">
      <c r="A72" s="509"/>
      <c r="B72" s="499"/>
      <c r="C72" s="516"/>
      <c r="D72" s="492"/>
      <c r="E72" s="492"/>
      <c r="F72" s="492"/>
      <c r="G72" s="492"/>
      <c r="H72" s="492"/>
      <c r="I72" s="492"/>
      <c r="J72" s="492"/>
      <c r="K72" s="492"/>
      <c r="L72" s="492"/>
      <c r="M72" s="493"/>
      <c r="N72" s="2930"/>
      <c r="O72" s="2930"/>
      <c r="P72" s="2939"/>
      <c r="Q72" s="2922"/>
      <c r="R72" s="2923"/>
      <c r="S72" s="2923"/>
      <c r="T72" s="2923"/>
      <c r="U72" s="2923"/>
      <c r="V72" s="2923"/>
      <c r="W72" s="2923"/>
      <c r="X72" s="2923"/>
      <c r="Y72" s="2923"/>
      <c r="Z72" s="2923"/>
      <c r="AA72" s="2923"/>
      <c r="AB72" s="2923"/>
      <c r="AC72" s="2923"/>
    </row>
    <row r="73" spans="1:29" s="429" customFormat="1" ht="15.75" thickTop="1">
      <c r="A73" s="509"/>
      <c r="B73" s="494">
        <f>B13</f>
        <v>111</v>
      </c>
      <c r="C73" s="510"/>
      <c r="D73" s="510"/>
      <c r="E73" s="510"/>
      <c r="F73" s="510"/>
      <c r="G73" s="510"/>
      <c r="H73" s="511"/>
      <c r="I73" s="511"/>
      <c r="J73" s="511"/>
      <c r="K73" s="511"/>
      <c r="L73" s="512"/>
      <c r="M73" s="513"/>
      <c r="N73" s="2931"/>
      <c r="O73" s="2931"/>
      <c r="P73" s="2940"/>
      <c r="Q73" s="2925"/>
      <c r="R73" s="2923"/>
      <c r="S73" s="2923"/>
      <c r="T73" s="2923"/>
      <c r="U73" s="2923"/>
      <c r="V73" s="2923"/>
      <c r="W73" s="2923"/>
      <c r="X73" s="2923"/>
      <c r="Y73" s="2923"/>
      <c r="Z73" s="2923"/>
      <c r="AA73" s="2923"/>
      <c r="AB73" s="2923"/>
      <c r="AC73" s="2923"/>
    </row>
    <row r="74" spans="1:29" s="429" customFormat="1" ht="15.75" thickBot="1">
      <c r="A74" s="509"/>
      <c r="B74" s="499"/>
      <c r="C74" s="516"/>
      <c r="D74" s="516"/>
      <c r="E74" s="516"/>
      <c r="F74" s="516"/>
      <c r="G74" s="516"/>
      <c r="H74" s="518"/>
      <c r="I74" s="518"/>
      <c r="J74" s="518"/>
      <c r="K74" s="518"/>
      <c r="L74" s="518"/>
      <c r="M74" s="519"/>
      <c r="N74" s="2931"/>
      <c r="O74" s="2931"/>
      <c r="P74" s="2939"/>
      <c r="Q74" s="2922"/>
      <c r="R74" s="2923"/>
      <c r="S74" s="2923"/>
      <c r="T74" s="2923"/>
      <c r="U74" s="2923"/>
      <c r="V74" s="2923"/>
      <c r="W74" s="2923"/>
      <c r="X74" s="2923"/>
      <c r="Y74" s="2923"/>
      <c r="Z74" s="2923"/>
      <c r="AA74" s="2923"/>
      <c r="AB74" s="2923"/>
      <c r="AC74" s="2923"/>
    </row>
    <row r="75" spans="1:29" s="429" customFormat="1" ht="15.75" thickTop="1">
      <c r="A75" s="509"/>
      <c r="B75" s="502">
        <f>B14</f>
        <v>111</v>
      </c>
      <c r="C75" s="479"/>
      <c r="D75" s="479"/>
      <c r="E75" s="479"/>
      <c r="F75" s="479"/>
      <c r="G75" s="479"/>
      <c r="H75" s="520"/>
      <c r="I75" s="520"/>
      <c r="J75" s="520"/>
      <c r="K75" s="520"/>
      <c r="L75" s="521"/>
      <c r="M75" s="522"/>
      <c r="N75" s="2931"/>
      <c r="O75" s="2931"/>
      <c r="P75" s="2941"/>
      <c r="Q75" s="2922"/>
      <c r="R75" s="2923"/>
      <c r="S75" s="2923"/>
      <c r="T75" s="2923"/>
      <c r="U75" s="2923"/>
      <c r="V75" s="2923"/>
      <c r="W75" s="2923"/>
      <c r="X75" s="2923"/>
      <c r="Y75" s="2923"/>
      <c r="Z75" s="2923"/>
      <c r="AA75" s="2923"/>
      <c r="AB75" s="2923"/>
      <c r="AC75" s="2923"/>
    </row>
    <row r="76" spans="1:29" s="429" customFormat="1" ht="15.75" thickBot="1">
      <c r="A76" s="524"/>
      <c r="B76" s="525"/>
      <c r="C76" s="526"/>
      <c r="D76" s="526"/>
      <c r="E76" s="526"/>
      <c r="F76" s="526"/>
      <c r="G76" s="526"/>
      <c r="H76" s="527"/>
      <c r="I76" s="527"/>
      <c r="J76" s="527"/>
      <c r="K76" s="527"/>
      <c r="L76" s="527"/>
      <c r="M76" s="528"/>
      <c r="N76" s="2931"/>
      <c r="O76" s="2931"/>
      <c r="P76" s="2939"/>
      <c r="Q76" s="2922"/>
      <c r="R76" s="2923"/>
      <c r="S76" s="2923"/>
      <c r="T76" s="2923"/>
      <c r="U76" s="2923"/>
      <c r="V76" s="2923"/>
      <c r="W76" s="2923"/>
      <c r="X76" s="2923"/>
      <c r="Y76" s="2923"/>
      <c r="Z76" s="2923"/>
      <c r="AA76" s="2923"/>
      <c r="AB76" s="2923"/>
      <c r="AC76" s="2923"/>
    </row>
    <row r="77" spans="1:29">
      <c r="A77" s="483" t="s">
        <v>2139</v>
      </c>
      <c r="B77" s="484" t="s">
        <v>2277</v>
      </c>
      <c r="C77" s="529" t="s">
        <v>2177</v>
      </c>
      <c r="D77" s="529" t="s">
        <v>2178</v>
      </c>
      <c r="E77" s="529" t="s">
        <v>2179</v>
      </c>
      <c r="F77" s="529" t="s">
        <v>2180</v>
      </c>
      <c r="G77" s="529" t="s">
        <v>2181</v>
      </c>
      <c r="H77" s="485"/>
      <c r="I77" s="485"/>
      <c r="J77" s="485"/>
      <c r="K77" s="530"/>
      <c r="L77" s="531"/>
      <c r="M77" s="532"/>
      <c r="N77" s="2929"/>
      <c r="O77" s="2929"/>
      <c r="P77" s="2942"/>
      <c r="Q77" s="2915"/>
      <c r="R77" s="2901"/>
      <c r="S77" s="2901"/>
      <c r="T77" s="2901"/>
      <c r="U77" s="2901"/>
      <c r="V77" s="2901"/>
      <c r="W77" s="2901"/>
      <c r="X77" s="2901"/>
      <c r="Y77" s="2901"/>
      <c r="Z77" s="2901"/>
      <c r="AA77" s="2901"/>
      <c r="AB77" s="2901"/>
      <c r="AC77" s="290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0"/>
      <c r="O78" s="2930"/>
      <c r="P78" s="2938"/>
      <c r="Q78" s="2915"/>
      <c r="R78" s="2901"/>
      <c r="S78" s="2901"/>
      <c r="T78" s="2901"/>
      <c r="U78" s="2901"/>
      <c r="V78" s="2901"/>
      <c r="W78" s="2901"/>
      <c r="X78" s="2901"/>
      <c r="Y78" s="2901"/>
      <c r="Z78" s="2901"/>
      <c r="AA78" s="2901"/>
      <c r="AB78" s="2901"/>
      <c r="AC78" s="2901"/>
    </row>
    <row r="79" spans="1:29" ht="15.75" thickTop="1">
      <c r="A79" s="490"/>
      <c r="B79" s="494" t="s">
        <v>2182</v>
      </c>
      <c r="C79" s="534" t="s">
        <v>2177</v>
      </c>
      <c r="D79" s="534" t="s">
        <v>2178</v>
      </c>
      <c r="E79" s="534" t="s">
        <v>2179</v>
      </c>
      <c r="F79" s="534" t="s">
        <v>2180</v>
      </c>
      <c r="G79" s="534" t="s">
        <v>2181</v>
      </c>
      <c r="H79" s="495"/>
      <c r="I79" s="495"/>
      <c r="J79" s="495"/>
      <c r="K79" s="496"/>
      <c r="L79" s="497"/>
      <c r="M79" s="498"/>
      <c r="N79" s="2929"/>
      <c r="O79" s="2929"/>
      <c r="P79" s="2938"/>
      <c r="Q79" s="2915"/>
      <c r="R79" s="2901"/>
      <c r="S79" s="2901"/>
      <c r="T79" s="2901"/>
      <c r="U79" s="2901"/>
      <c r="V79" s="2901"/>
      <c r="W79" s="2901"/>
      <c r="X79" s="2901"/>
      <c r="Y79" s="2901"/>
      <c r="Z79" s="2901"/>
      <c r="AA79" s="2901"/>
      <c r="AB79" s="2901"/>
      <c r="AC79" s="290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0"/>
      <c r="O80" s="2930"/>
      <c r="P80" s="2938"/>
      <c r="Q80" s="2915"/>
      <c r="R80" s="2901"/>
      <c r="S80" s="2901"/>
      <c r="T80" s="2901"/>
      <c r="U80" s="2901"/>
      <c r="V80" s="2901"/>
      <c r="W80" s="2901"/>
      <c r="X80" s="2901"/>
      <c r="Y80" s="2901"/>
      <c r="Z80" s="2901"/>
      <c r="AA80" s="2901"/>
      <c r="AB80" s="2901"/>
      <c r="AC80" s="2901"/>
    </row>
    <row r="81" spans="1:29" ht="15.75" thickTop="1">
      <c r="A81" s="490"/>
      <c r="B81" s="494" t="s">
        <v>2183</v>
      </c>
      <c r="C81" s="534" t="s">
        <v>2177</v>
      </c>
      <c r="D81" s="534" t="s">
        <v>2178</v>
      </c>
      <c r="E81" s="534" t="s">
        <v>2179</v>
      </c>
      <c r="F81" s="534" t="s">
        <v>2180</v>
      </c>
      <c r="G81" s="534" t="s">
        <v>2181</v>
      </c>
      <c r="H81" s="495"/>
      <c r="I81" s="495"/>
      <c r="J81" s="495"/>
      <c r="K81" s="496"/>
      <c r="L81" s="497"/>
      <c r="M81" s="498"/>
      <c r="N81" s="2929"/>
      <c r="O81" s="2929"/>
      <c r="P81" s="2938"/>
      <c r="Q81" s="2915"/>
      <c r="R81" s="2901"/>
      <c r="S81" s="2901"/>
      <c r="T81" s="2901"/>
      <c r="U81" s="2901"/>
      <c r="V81" s="2901"/>
      <c r="W81" s="2901"/>
      <c r="X81" s="2901"/>
      <c r="Y81" s="2901"/>
      <c r="Z81" s="2901"/>
      <c r="AA81" s="2901"/>
      <c r="AB81" s="2901"/>
      <c r="AC81" s="290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0"/>
      <c r="O82" s="2930"/>
      <c r="P82" s="2938"/>
      <c r="Q82" s="2915"/>
      <c r="R82" s="2901"/>
      <c r="S82" s="2901"/>
      <c r="T82" s="2901"/>
      <c r="U82" s="2901"/>
      <c r="V82" s="2901"/>
      <c r="W82" s="2901"/>
      <c r="X82" s="2901"/>
      <c r="Y82" s="2901"/>
      <c r="Z82" s="2901"/>
      <c r="AA82" s="2901"/>
      <c r="AB82" s="2901"/>
      <c r="AC82" s="2901"/>
    </row>
    <row r="83" spans="1:29" ht="15.75" thickTop="1">
      <c r="A83" s="490"/>
      <c r="B83" s="502" t="s">
        <v>2269</v>
      </c>
      <c r="C83" s="615" t="s">
        <v>2255</v>
      </c>
      <c r="D83" s="615" t="s">
        <v>2256</v>
      </c>
      <c r="E83" s="615" t="s">
        <v>2257</v>
      </c>
      <c r="F83" s="615" t="s">
        <v>2258</v>
      </c>
      <c r="G83" s="615" t="s">
        <v>2259</v>
      </c>
      <c r="H83" s="495"/>
      <c r="I83" s="495"/>
      <c r="J83" s="495"/>
      <c r="K83" s="495"/>
      <c r="L83" s="495"/>
      <c r="M83" s="1243"/>
      <c r="N83" s="2930"/>
      <c r="O83" s="2930"/>
      <c r="P83" s="2938"/>
      <c r="Q83" s="2915"/>
      <c r="R83" s="2901"/>
      <c r="S83" s="2901"/>
      <c r="T83" s="2901"/>
      <c r="U83" s="2901"/>
      <c r="V83" s="2901"/>
      <c r="W83" s="2901"/>
      <c r="X83" s="2901"/>
      <c r="Y83" s="2901"/>
      <c r="Z83" s="2901"/>
      <c r="AA83" s="2901"/>
      <c r="AB83" s="2901"/>
      <c r="AC83" s="290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0"/>
      <c r="O84" s="2930"/>
      <c r="P84" s="2938"/>
      <c r="Q84" s="2915"/>
      <c r="R84" s="2901"/>
      <c r="S84" s="2901"/>
      <c r="T84" s="2901"/>
      <c r="U84" s="2901"/>
      <c r="V84" s="2901"/>
      <c r="W84" s="2901"/>
      <c r="X84" s="2901"/>
      <c r="Y84" s="2901"/>
      <c r="Z84" s="2901"/>
      <c r="AA84" s="2901"/>
      <c r="AB84" s="2901"/>
      <c r="AC84" s="2901"/>
    </row>
    <row r="85" spans="1:29" ht="15.75" thickTop="1">
      <c r="A85" s="490"/>
      <c r="B85" s="494" t="s">
        <v>2278</v>
      </c>
      <c r="C85" s="534" t="s">
        <v>2177</v>
      </c>
      <c r="D85" s="534" t="s">
        <v>2178</v>
      </c>
      <c r="E85" s="534" t="s">
        <v>2179</v>
      </c>
      <c r="F85" s="534" t="s">
        <v>2180</v>
      </c>
      <c r="G85" s="534" t="s">
        <v>2181</v>
      </c>
      <c r="H85" s="495"/>
      <c r="I85" s="495"/>
      <c r="J85" s="495"/>
      <c r="K85" s="496"/>
      <c r="L85" s="497"/>
      <c r="M85" s="498"/>
      <c r="N85" s="2929"/>
      <c r="O85" s="2929"/>
      <c r="P85" s="2938"/>
      <c r="Q85" s="2915"/>
      <c r="R85" s="2901"/>
      <c r="S85" s="2901"/>
      <c r="T85" s="2901"/>
      <c r="U85" s="2901"/>
      <c r="V85" s="2901"/>
      <c r="W85" s="2901"/>
      <c r="X85" s="2901"/>
      <c r="Y85" s="2901"/>
      <c r="Z85" s="2901"/>
      <c r="AA85" s="2901"/>
      <c r="AB85" s="2901"/>
      <c r="AC85" s="290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0"/>
      <c r="O86" s="2930"/>
      <c r="P86" s="2938"/>
      <c r="Q86" s="2915"/>
      <c r="R86" s="2901"/>
      <c r="S86" s="2901"/>
      <c r="T86" s="2901"/>
      <c r="U86" s="2901"/>
      <c r="V86" s="2901"/>
      <c r="W86" s="2901"/>
      <c r="X86" s="2901"/>
      <c r="Y86" s="2901"/>
      <c r="Z86" s="2901"/>
      <c r="AA86" s="2901"/>
      <c r="AB86" s="2901"/>
      <c r="AC86" s="2901"/>
    </row>
    <row r="87" spans="1:29" s="113" customFormat="1" ht="27.75" thickTop="1">
      <c r="A87" s="535"/>
      <c r="B87" s="494" t="s">
        <v>2279</v>
      </c>
      <c r="C87" s="510"/>
      <c r="D87" s="510"/>
      <c r="E87" s="510"/>
      <c r="F87" s="510"/>
      <c r="G87" s="510"/>
      <c r="H87" s="510"/>
      <c r="I87" s="510"/>
      <c r="J87" s="510"/>
      <c r="K87" s="510"/>
      <c r="L87" s="536"/>
      <c r="M87" s="537"/>
      <c r="N87" s="2928"/>
      <c r="O87" s="2928"/>
      <c r="P87" s="2938"/>
      <c r="Q87" s="2915"/>
      <c r="R87" s="2835"/>
      <c r="S87" s="2835"/>
      <c r="T87" s="2835"/>
      <c r="U87" s="2835"/>
      <c r="V87" s="2835"/>
      <c r="W87" s="2835"/>
      <c r="X87" s="2835"/>
      <c r="Y87" s="2835"/>
      <c r="Z87" s="2835"/>
      <c r="AA87" s="2835"/>
      <c r="AB87" s="2835"/>
      <c r="AC87" s="283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5"/>
      <c r="B89" s="494" t="str">
        <f>B27</f>
        <v>楼层</v>
      </c>
      <c r="C89" s="510"/>
      <c r="D89" s="510"/>
      <c r="E89" s="510"/>
      <c r="F89" s="2062"/>
      <c r="G89" s="510"/>
      <c r="H89" s="510"/>
      <c r="I89" s="510"/>
      <c r="J89" s="510"/>
      <c r="K89" s="510"/>
      <c r="L89" s="510"/>
      <c r="M89" s="537"/>
      <c r="N89" s="2928"/>
      <c r="O89" s="2928"/>
      <c r="P89" s="2938"/>
      <c r="Q89" s="2915"/>
      <c r="R89" s="2835"/>
      <c r="S89" s="2835"/>
      <c r="T89" s="2835"/>
      <c r="U89" s="2835"/>
      <c r="V89" s="2835"/>
      <c r="W89" s="2835"/>
      <c r="X89" s="2835"/>
      <c r="Y89" s="2835"/>
      <c r="Z89" s="2835"/>
      <c r="AA89" s="2835"/>
      <c r="AB89" s="2835"/>
      <c r="AC89" s="283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0"/>
      <c r="O90" s="2930"/>
      <c r="P90" s="2938"/>
      <c r="Q90" s="2915"/>
      <c r="R90" s="2835"/>
      <c r="S90" s="2835"/>
      <c r="T90" s="2835"/>
      <c r="U90" s="2835"/>
      <c r="V90" s="2835"/>
      <c r="W90" s="2835"/>
      <c r="X90" s="2835"/>
      <c r="Y90" s="2835"/>
      <c r="Z90" s="2835"/>
      <c r="AA90" s="2835"/>
      <c r="AB90" s="2835"/>
      <c r="AC90" s="2835"/>
    </row>
    <row r="91" spans="1:29" s="429" customFormat="1" ht="15.75" thickTop="1">
      <c r="A91" s="509"/>
      <c r="B91" s="494" t="str">
        <f>B28</f>
        <v>朝向</v>
      </c>
      <c r="C91" s="510"/>
      <c r="D91" s="510"/>
      <c r="E91" s="510"/>
      <c r="F91" s="510"/>
      <c r="G91" s="510"/>
      <c r="H91" s="511"/>
      <c r="I91" s="511"/>
      <c r="J91" s="511"/>
      <c r="K91" s="511"/>
      <c r="L91" s="512"/>
      <c r="M91" s="513"/>
      <c r="N91" s="2931"/>
      <c r="O91" s="2931"/>
      <c r="P91" s="2939"/>
      <c r="Q91" s="2922"/>
      <c r="R91" s="2923"/>
      <c r="S91" s="2923"/>
      <c r="T91" s="2923"/>
      <c r="U91" s="2923"/>
      <c r="V91" s="2923"/>
      <c r="W91" s="2923"/>
      <c r="X91" s="2923"/>
      <c r="Y91" s="2923"/>
      <c r="Z91" s="2923"/>
      <c r="AA91" s="2923"/>
      <c r="AB91" s="2923"/>
      <c r="AC91" s="292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0"/>
      <c r="B93" s="494">
        <f>B29</f>
        <v>111</v>
      </c>
      <c r="C93" s="510"/>
      <c r="D93" s="510"/>
      <c r="E93" s="510"/>
      <c r="F93" s="510"/>
      <c r="G93" s="510"/>
      <c r="H93" s="510"/>
      <c r="I93" s="510"/>
      <c r="J93" s="510"/>
      <c r="K93" s="510"/>
      <c r="L93" s="536"/>
      <c r="M93" s="537"/>
      <c r="N93" s="2929"/>
      <c r="O93" s="2929"/>
      <c r="P93" s="2938"/>
      <c r="Q93" s="2915"/>
      <c r="R93" s="2901"/>
      <c r="S93" s="2901"/>
      <c r="T93" s="2901"/>
      <c r="U93" s="2901"/>
      <c r="V93" s="2901"/>
      <c r="W93" s="2901"/>
      <c r="X93" s="2901"/>
      <c r="Y93" s="2901"/>
      <c r="Z93" s="2901"/>
      <c r="AA93" s="2901"/>
      <c r="AB93" s="2901"/>
      <c r="AC93" s="2901"/>
    </row>
    <row r="94" spans="1:29" ht="15.75" thickBot="1">
      <c r="A94" s="490"/>
      <c r="B94" s="499"/>
      <c r="C94" s="516"/>
      <c r="D94" s="492"/>
      <c r="E94" s="492"/>
      <c r="F94" s="492"/>
      <c r="G94" s="492"/>
      <c r="H94" s="492"/>
      <c r="I94" s="492"/>
      <c r="J94" s="492"/>
      <c r="K94" s="492"/>
      <c r="L94" s="492"/>
      <c r="M94" s="493"/>
      <c r="N94" s="2930"/>
      <c r="O94" s="2930"/>
      <c r="P94" s="2938"/>
      <c r="Q94" s="2915"/>
      <c r="R94" s="2901"/>
      <c r="S94" s="2901"/>
      <c r="T94" s="2901"/>
      <c r="U94" s="2901"/>
      <c r="V94" s="2901"/>
      <c r="W94" s="2901"/>
      <c r="X94" s="2901"/>
      <c r="Y94" s="2901"/>
      <c r="Z94" s="2901"/>
      <c r="AA94" s="2901"/>
      <c r="AB94" s="2901"/>
      <c r="AC94" s="2901"/>
    </row>
    <row r="95" spans="1:29" ht="15.75" thickTop="1">
      <c r="A95" s="490"/>
      <c r="B95" s="494">
        <f>B30</f>
        <v>111</v>
      </c>
      <c r="C95" s="510"/>
      <c r="D95" s="510"/>
      <c r="E95" s="510"/>
      <c r="F95" s="510"/>
      <c r="G95" s="539"/>
      <c r="H95" s="539"/>
      <c r="I95" s="539"/>
      <c r="J95" s="539"/>
      <c r="K95" s="540"/>
      <c r="L95" s="541"/>
      <c r="M95" s="542"/>
      <c r="N95" s="2929"/>
      <c r="O95" s="2929"/>
      <c r="P95" s="2938"/>
      <c r="Q95" s="2915"/>
      <c r="R95" s="2901"/>
      <c r="S95" s="2901"/>
      <c r="T95" s="2901"/>
      <c r="U95" s="2901"/>
      <c r="V95" s="2901"/>
      <c r="W95" s="2901"/>
      <c r="X95" s="2901"/>
      <c r="Y95" s="2901"/>
      <c r="Z95" s="2901"/>
      <c r="AA95" s="2901"/>
      <c r="AB95" s="2901"/>
      <c r="AC95" s="2901"/>
    </row>
    <row r="96" spans="1:29" ht="15.75" thickBot="1">
      <c r="A96" s="490"/>
      <c r="B96" s="499"/>
      <c r="C96" s="516"/>
      <c r="D96" s="516"/>
      <c r="E96" s="516"/>
      <c r="F96" s="516"/>
      <c r="G96" s="492"/>
      <c r="H96" s="492"/>
      <c r="I96" s="492"/>
      <c r="J96" s="492"/>
      <c r="K96" s="492"/>
      <c r="L96" s="492"/>
      <c r="M96" s="493"/>
      <c r="N96" s="2930"/>
      <c r="O96" s="2930"/>
      <c r="P96" s="2938"/>
      <c r="Q96" s="2915"/>
      <c r="R96" s="2901"/>
      <c r="S96" s="2901"/>
      <c r="T96" s="2901"/>
      <c r="U96" s="2901"/>
      <c r="V96" s="2901"/>
      <c r="W96" s="2901"/>
      <c r="X96" s="2901"/>
      <c r="Y96" s="2901"/>
      <c r="Z96" s="2901"/>
      <c r="AA96" s="2901"/>
      <c r="AB96" s="2901"/>
      <c r="AC96" s="2901"/>
    </row>
    <row r="97" spans="1:29" ht="15.75" thickTop="1">
      <c r="A97" s="490"/>
      <c r="B97" s="494">
        <f>B31</f>
        <v>111</v>
      </c>
      <c r="C97" s="510"/>
      <c r="D97" s="510"/>
      <c r="E97" s="510"/>
      <c r="F97" s="510"/>
      <c r="G97" s="539"/>
      <c r="H97" s="539"/>
      <c r="I97" s="539"/>
      <c r="J97" s="539"/>
      <c r="K97" s="540"/>
      <c r="L97" s="541"/>
      <c r="M97" s="542"/>
      <c r="N97" s="2929"/>
      <c r="O97" s="2929"/>
      <c r="P97" s="2938"/>
      <c r="Q97" s="2915"/>
      <c r="R97" s="2901"/>
      <c r="S97" s="2901"/>
      <c r="T97" s="2901"/>
      <c r="U97" s="2901"/>
      <c r="V97" s="2901"/>
      <c r="W97" s="2901"/>
      <c r="X97" s="2901"/>
      <c r="Y97" s="2901"/>
      <c r="Z97" s="2901"/>
      <c r="AA97" s="2901"/>
      <c r="AB97" s="2901"/>
      <c r="AC97" s="2901"/>
    </row>
    <row r="98" spans="1:29" ht="15.75" thickBot="1">
      <c r="A98" s="490"/>
      <c r="B98" s="499"/>
      <c r="C98" s="516"/>
      <c r="D98" s="492"/>
      <c r="E98" s="492"/>
      <c r="F98" s="492"/>
      <c r="G98" s="492"/>
      <c r="H98" s="492"/>
      <c r="I98" s="492"/>
      <c r="J98" s="492"/>
      <c r="K98" s="492"/>
      <c r="L98" s="492"/>
      <c r="M98" s="493"/>
      <c r="N98" s="2930"/>
      <c r="O98" s="2930"/>
      <c r="P98" s="2938"/>
      <c r="Q98" s="2915"/>
      <c r="R98" s="2901"/>
      <c r="S98" s="2901"/>
      <c r="T98" s="2901"/>
      <c r="U98" s="2901"/>
      <c r="V98" s="2901"/>
      <c r="W98" s="2901"/>
      <c r="X98" s="2901"/>
      <c r="Y98" s="2901"/>
      <c r="Z98" s="2901"/>
      <c r="AA98" s="2901"/>
      <c r="AB98" s="2901"/>
      <c r="AC98" s="2901"/>
    </row>
    <row r="99" spans="1:29" ht="15.75" thickTop="1">
      <c r="A99" s="490"/>
      <c r="B99" s="502">
        <f>B32</f>
        <v>111</v>
      </c>
      <c r="C99" s="479"/>
      <c r="D99" s="479"/>
      <c r="E99" s="479"/>
      <c r="F99" s="479"/>
      <c r="G99" s="543"/>
      <c r="H99" s="543"/>
      <c r="I99" s="543"/>
      <c r="J99" s="543"/>
      <c r="K99" s="544"/>
      <c r="L99" s="545"/>
      <c r="M99" s="546"/>
      <c r="N99" s="2929"/>
      <c r="O99" s="2929"/>
      <c r="P99" s="2938"/>
      <c r="Q99" s="2915"/>
      <c r="R99" s="2901"/>
      <c r="S99" s="2901"/>
      <c r="T99" s="2901"/>
      <c r="U99" s="2901"/>
      <c r="V99" s="2901"/>
      <c r="W99" s="2901"/>
      <c r="X99" s="2901"/>
      <c r="Y99" s="2901"/>
      <c r="Z99" s="2901"/>
      <c r="AA99" s="2901"/>
      <c r="AB99" s="2901"/>
      <c r="AC99" s="2901"/>
    </row>
    <row r="100" spans="1:29" ht="15.75" thickBot="1">
      <c r="A100" s="2063"/>
      <c r="B100" s="525"/>
      <c r="C100" s="526"/>
      <c r="D100" s="526"/>
      <c r="E100" s="526"/>
      <c r="F100" s="526"/>
      <c r="G100" s="547"/>
      <c r="H100" s="547"/>
      <c r="I100" s="547"/>
      <c r="J100" s="547"/>
      <c r="K100" s="547"/>
      <c r="L100" s="547"/>
      <c r="M100" s="548"/>
      <c r="N100" s="2930"/>
      <c r="O100" s="2930"/>
      <c r="P100" s="2938"/>
      <c r="Q100" s="2915"/>
      <c r="R100" s="2901"/>
      <c r="S100" s="2901"/>
      <c r="T100" s="2901"/>
      <c r="U100" s="2901"/>
      <c r="V100" s="2901"/>
      <c r="W100" s="2901"/>
      <c r="X100" s="2901"/>
      <c r="Y100" s="2901"/>
      <c r="Z100" s="2901"/>
      <c r="AA100" s="2901"/>
      <c r="AB100" s="2901"/>
      <c r="AC100" s="2901"/>
    </row>
    <row r="101" spans="1:29">
      <c r="A101" s="483" t="s">
        <v>2143</v>
      </c>
      <c r="B101" s="484" t="s">
        <v>2192</v>
      </c>
      <c r="C101" s="486"/>
      <c r="D101" s="486"/>
      <c r="E101" s="486"/>
      <c r="F101" s="486"/>
      <c r="G101" s="486"/>
      <c r="H101" s="486"/>
      <c r="I101" s="486"/>
      <c r="J101" s="486"/>
      <c r="K101" s="487"/>
      <c r="L101" s="488"/>
      <c r="M101" s="489"/>
      <c r="N101" s="2929"/>
      <c r="O101" s="2929"/>
      <c r="P101" s="2938"/>
      <c r="Q101" s="2915"/>
      <c r="R101" s="2901"/>
      <c r="S101" s="2901"/>
      <c r="T101" s="2901"/>
      <c r="U101" s="2901"/>
      <c r="V101" s="2901"/>
      <c r="W101" s="2901"/>
      <c r="X101" s="2901"/>
      <c r="Y101" s="2901"/>
      <c r="Z101" s="2901"/>
      <c r="AA101" s="2901"/>
      <c r="AB101" s="2901"/>
      <c r="AC101" s="290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29" customFormat="1">
      <c r="A104" s="549"/>
      <c r="B104" s="550"/>
      <c r="C104" s="551"/>
      <c r="D104" s="551"/>
      <c r="E104" s="551"/>
      <c r="F104" s="551"/>
      <c r="G104" s="551"/>
      <c r="H104" s="551"/>
      <c r="I104" s="551"/>
      <c r="J104" s="552"/>
      <c r="K104" s="552"/>
      <c r="L104" s="553"/>
      <c r="M104" s="554"/>
      <c r="N104" s="2931"/>
      <c r="O104" s="2931"/>
      <c r="P104" s="2939"/>
      <c r="Q104" s="2922"/>
      <c r="R104" s="2923"/>
      <c r="S104" s="2923"/>
      <c r="T104" s="2923"/>
      <c r="U104" s="2923"/>
      <c r="V104" s="2923"/>
      <c r="W104" s="2923"/>
      <c r="X104" s="2923"/>
      <c r="Y104" s="2923"/>
      <c r="Z104" s="2923"/>
      <c r="AA104" s="2923"/>
      <c r="AB104" s="2923"/>
      <c r="AC104" s="2923"/>
    </row>
    <row r="105" spans="1:29" s="429" customFormat="1" ht="15.75" thickBot="1">
      <c r="A105" s="509"/>
      <c r="B105" s="499"/>
      <c r="C105" s="516"/>
      <c r="D105" s="492"/>
      <c r="E105" s="492"/>
      <c r="F105" s="492"/>
      <c r="G105" s="492"/>
      <c r="H105" s="492"/>
      <c r="I105" s="492"/>
      <c r="J105" s="492"/>
      <c r="K105" s="492"/>
      <c r="L105" s="492"/>
      <c r="M105" s="493"/>
      <c r="N105" s="2930"/>
      <c r="O105" s="2930"/>
      <c r="P105" s="2939"/>
      <c r="Q105" s="2922"/>
      <c r="R105" s="2923"/>
      <c r="S105" s="2923"/>
      <c r="T105" s="2923"/>
      <c r="U105" s="2923"/>
      <c r="V105" s="2923"/>
      <c r="W105" s="2923"/>
      <c r="X105" s="2923"/>
      <c r="Y105" s="2923"/>
      <c r="Z105" s="2923"/>
      <c r="AA105" s="2923"/>
      <c r="AB105" s="2923"/>
      <c r="AC105" s="2923"/>
    </row>
    <row r="106" spans="1:29" ht="15" thickTop="1">
      <c r="A106" s="555"/>
      <c r="B106" s="494" t="s">
        <v>2194</v>
      </c>
      <c r="C106" s="510"/>
      <c r="D106" s="510"/>
      <c r="E106" s="539"/>
      <c r="F106" s="539"/>
      <c r="G106" s="539"/>
      <c r="H106" s="539"/>
      <c r="I106" s="539"/>
      <c r="J106" s="539"/>
      <c r="K106" s="540"/>
      <c r="L106" s="541"/>
      <c r="M106" s="542"/>
      <c r="N106" s="2929"/>
      <c r="O106" s="2929"/>
      <c r="P106" s="2938"/>
      <c r="Q106" s="2915"/>
      <c r="R106" s="2901"/>
      <c r="S106" s="2901"/>
      <c r="T106" s="2901"/>
      <c r="U106" s="2901"/>
      <c r="V106" s="2901"/>
      <c r="W106" s="2901"/>
      <c r="X106" s="2901"/>
      <c r="Y106" s="2901"/>
      <c r="Z106" s="2901"/>
      <c r="AA106" s="2901"/>
      <c r="AB106" s="2901"/>
      <c r="AC106" s="290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5"/>
      <c r="B108" s="494" t="s">
        <v>2196</v>
      </c>
      <c r="C108" s="510"/>
      <c r="D108" s="510"/>
      <c r="E108" s="510"/>
      <c r="F108" s="539"/>
      <c r="G108" s="539"/>
      <c r="H108" s="539"/>
      <c r="I108" s="539"/>
      <c r="J108" s="539"/>
      <c r="K108" s="540"/>
      <c r="L108" s="541"/>
      <c r="M108" s="542"/>
      <c r="N108" s="2929"/>
      <c r="O108" s="2929"/>
      <c r="P108" s="2938"/>
      <c r="Q108" s="2915"/>
      <c r="R108" s="2901"/>
      <c r="S108" s="2901"/>
      <c r="T108" s="2901"/>
      <c r="U108" s="2901"/>
      <c r="V108" s="2901"/>
      <c r="W108" s="2901"/>
      <c r="X108" s="2901"/>
      <c r="Y108" s="2901"/>
      <c r="Z108" s="2901"/>
      <c r="AA108" s="2901"/>
      <c r="AB108" s="2901"/>
      <c r="AC108" s="290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9"/>
      <c r="O110" s="2929"/>
      <c r="P110" s="2938"/>
      <c r="Q110" s="2915"/>
      <c r="R110" s="2901"/>
      <c r="S110" s="2901"/>
      <c r="T110" s="2901"/>
      <c r="U110" s="2901"/>
      <c r="V110" s="2901"/>
      <c r="W110" s="2901"/>
      <c r="X110" s="2901"/>
      <c r="Y110" s="2901"/>
      <c r="Z110" s="2901"/>
      <c r="AA110" s="2901"/>
      <c r="AB110" s="2901"/>
      <c r="AC110" s="2901"/>
    </row>
    <row r="111" spans="1:29">
      <c r="A111" s="555"/>
      <c r="B111" s="502"/>
      <c r="C111" s="559">
        <v>0.5</v>
      </c>
      <c r="D111" s="559">
        <v>0.6</v>
      </c>
      <c r="E111" s="559">
        <v>0.7</v>
      </c>
      <c r="F111" s="559">
        <v>0.8</v>
      </c>
      <c r="G111" s="559">
        <v>0.9</v>
      </c>
      <c r="H111" s="559">
        <v>1.0001</v>
      </c>
      <c r="I111" s="578"/>
      <c r="J111" s="578"/>
      <c r="K111" s="579"/>
      <c r="L111" s="580"/>
      <c r="M111" s="581"/>
      <c r="N111" s="2929"/>
      <c r="O111" s="2929"/>
      <c r="P111" s="2938"/>
      <c r="Q111" s="2915"/>
      <c r="R111" s="2901"/>
      <c r="S111" s="2901"/>
      <c r="T111" s="2901"/>
      <c r="U111" s="2901"/>
      <c r="V111" s="2901"/>
      <c r="W111" s="2901"/>
      <c r="X111" s="2901"/>
      <c r="Y111" s="2901"/>
      <c r="Z111" s="2901"/>
      <c r="AA111" s="2901"/>
      <c r="AB111" s="2901"/>
      <c r="AC111" s="290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0"/>
      <c r="O112" s="2930"/>
      <c r="P112" s="2938"/>
      <c r="Q112" s="2915"/>
      <c r="R112" s="2901"/>
      <c r="S112" s="2901"/>
      <c r="T112" s="2901"/>
      <c r="U112" s="2901"/>
      <c r="V112" s="2901"/>
      <c r="W112" s="2901"/>
      <c r="X112" s="2901"/>
      <c r="Y112" s="2901"/>
      <c r="Z112" s="2901"/>
      <c r="AA112" s="2901"/>
      <c r="AB112" s="2901"/>
      <c r="AC112" s="2901"/>
    </row>
    <row r="113" spans="1:29" s="429" customFormat="1" ht="15" thickTop="1">
      <c r="A113" s="549"/>
      <c r="B113" s="494" t="s">
        <v>2280</v>
      </c>
      <c r="C113" s="510"/>
      <c r="D113" s="510"/>
      <c r="E113" s="510"/>
      <c r="F113" s="510"/>
      <c r="G113" s="510"/>
      <c r="H113" s="539"/>
      <c r="I113" s="539"/>
      <c r="J113" s="539"/>
      <c r="K113" s="540"/>
      <c r="L113" s="541"/>
      <c r="M113" s="542"/>
      <c r="N113" s="2931"/>
      <c r="O113" s="2931"/>
      <c r="P113" s="2939"/>
      <c r="Q113" s="2922"/>
      <c r="R113" s="2923"/>
      <c r="S113" s="2923"/>
      <c r="T113" s="2923"/>
      <c r="U113" s="2923"/>
      <c r="V113" s="2923"/>
      <c r="W113" s="2923"/>
      <c r="X113" s="2923"/>
      <c r="Y113" s="2923"/>
      <c r="Z113" s="2923"/>
      <c r="AA113" s="2923"/>
      <c r="AB113" s="2923"/>
      <c r="AC113" s="292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5"/>
      <c r="B115" s="494" t="s">
        <v>2197</v>
      </c>
      <c r="C115" s="510"/>
      <c r="D115" s="510"/>
      <c r="E115" s="539"/>
      <c r="F115" s="539"/>
      <c r="G115" s="539"/>
      <c r="H115" s="539"/>
      <c r="I115" s="539"/>
      <c r="J115" s="539"/>
      <c r="K115" s="540"/>
      <c r="L115" s="541"/>
      <c r="M115" s="542"/>
      <c r="N115" s="2929"/>
      <c r="O115" s="2929"/>
      <c r="P115" s="2938"/>
      <c r="Q115" s="2915"/>
      <c r="R115" s="2901"/>
      <c r="S115" s="2901"/>
      <c r="T115" s="2901"/>
      <c r="U115" s="2901"/>
      <c r="V115" s="2901"/>
      <c r="W115" s="2901"/>
      <c r="X115" s="2901"/>
      <c r="Y115" s="2901"/>
      <c r="Z115" s="2901"/>
      <c r="AA115" s="2901"/>
      <c r="AB115" s="2901"/>
      <c r="AC115" s="290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5"/>
      <c r="B117" s="494" t="s">
        <v>2198</v>
      </c>
      <c r="C117" s="510"/>
      <c r="D117" s="510"/>
      <c r="E117" s="510"/>
      <c r="F117" s="510"/>
      <c r="G117" s="510"/>
      <c r="H117" s="539"/>
      <c r="I117" s="539"/>
      <c r="J117" s="539"/>
      <c r="K117" s="540"/>
      <c r="L117" s="541"/>
      <c r="M117" s="542"/>
      <c r="N117" s="2929"/>
      <c r="O117" s="2929"/>
      <c r="P117" s="2938"/>
      <c r="Q117" s="2915"/>
      <c r="R117" s="2901"/>
      <c r="S117" s="2901"/>
      <c r="T117" s="2901"/>
      <c r="U117" s="2901"/>
      <c r="V117" s="2901"/>
      <c r="W117" s="2901"/>
      <c r="X117" s="2901"/>
      <c r="Y117" s="2901"/>
      <c r="Z117" s="2901"/>
      <c r="AA117" s="2901"/>
      <c r="AB117" s="2901"/>
      <c r="AC117" s="290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0"/>
      <c r="O118" s="2930"/>
      <c r="P118" s="2938"/>
      <c r="Q118" s="2915"/>
      <c r="R118" s="2901"/>
      <c r="S118" s="2901"/>
      <c r="T118" s="2901"/>
      <c r="U118" s="2901"/>
      <c r="V118" s="2901"/>
      <c r="W118" s="2901"/>
      <c r="X118" s="2901"/>
      <c r="Y118" s="2901"/>
      <c r="Z118" s="2901"/>
      <c r="AA118" s="2901"/>
      <c r="AB118" s="2901"/>
      <c r="AC118" s="2901"/>
    </row>
    <row r="119" spans="1:29" ht="15" thickTop="1">
      <c r="A119" s="555"/>
      <c r="B119" s="591" t="s">
        <v>2281</v>
      </c>
      <c r="C119" s="539"/>
      <c r="D119" s="539"/>
      <c r="E119" s="539"/>
      <c r="F119" s="539"/>
      <c r="G119" s="539"/>
      <c r="H119" s="539"/>
      <c r="I119" s="539"/>
      <c r="J119" s="539"/>
      <c r="K119" s="539"/>
      <c r="L119" s="2103"/>
      <c r="M119" s="2104"/>
      <c r="N119" s="2930"/>
      <c r="O119" s="2930"/>
      <c r="P119" s="2943"/>
      <c r="Q119" s="2944"/>
      <c r="R119" s="2901"/>
      <c r="S119" s="2901"/>
      <c r="T119" s="2901"/>
      <c r="U119" s="2901"/>
      <c r="V119" s="2901"/>
      <c r="W119" s="2901"/>
      <c r="X119" s="2901"/>
      <c r="Y119" s="2901"/>
      <c r="Z119" s="2901"/>
      <c r="AA119" s="2901"/>
      <c r="AB119" s="2901"/>
      <c r="AC119" s="290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0"/>
      <c r="O120" s="2930"/>
      <c r="P120" s="2938"/>
      <c r="Q120" s="2915"/>
      <c r="R120" s="2901"/>
      <c r="S120" s="2901"/>
      <c r="T120" s="2901"/>
      <c r="U120" s="2901"/>
      <c r="V120" s="2901"/>
      <c r="W120" s="2901"/>
      <c r="X120" s="2901"/>
      <c r="Y120" s="2901"/>
      <c r="Z120" s="2901"/>
      <c r="AA120" s="2901"/>
      <c r="AB120" s="2901"/>
      <c r="AC120" s="2901"/>
    </row>
    <row r="121" spans="1:29" s="429" customFormat="1" ht="15" thickTop="1">
      <c r="A121" s="549"/>
      <c r="B121" s="494" t="s">
        <v>2264</v>
      </c>
      <c r="C121" s="510"/>
      <c r="D121" s="510"/>
      <c r="E121" s="510"/>
      <c r="F121" s="539"/>
      <c r="G121" s="511"/>
      <c r="H121" s="511"/>
      <c r="I121" s="511"/>
      <c r="J121" s="511"/>
      <c r="K121" s="511"/>
      <c r="L121" s="512"/>
      <c r="M121" s="513"/>
      <c r="N121" s="2931"/>
      <c r="O121" s="2931"/>
      <c r="P121" s="2939"/>
      <c r="Q121" s="2922"/>
      <c r="R121" s="2923"/>
      <c r="S121" s="2923"/>
      <c r="T121" s="2923"/>
      <c r="U121" s="2923"/>
      <c r="V121" s="2923"/>
      <c r="W121" s="2923"/>
      <c r="X121" s="2923"/>
      <c r="Y121" s="2923"/>
      <c r="Z121" s="2923"/>
      <c r="AA121" s="2923"/>
      <c r="AB121" s="2923"/>
      <c r="AC121" s="2923"/>
    </row>
    <row r="122" spans="1:29" s="429" customFormat="1" ht="15.75" thickBot="1">
      <c r="A122" s="509"/>
      <c r="B122" s="491"/>
      <c r="C122" s="516"/>
      <c r="D122" s="516"/>
      <c r="E122" s="516"/>
      <c r="F122" s="516"/>
      <c r="G122" s="516"/>
      <c r="H122" s="516"/>
      <c r="I122" s="516"/>
      <c r="J122" s="516"/>
      <c r="K122" s="516"/>
      <c r="L122" s="516"/>
      <c r="M122" s="516"/>
      <c r="N122" s="2931"/>
      <c r="O122" s="2931"/>
      <c r="P122" s="2939"/>
      <c r="Q122" s="2922"/>
      <c r="R122" s="2923"/>
      <c r="S122" s="2923"/>
      <c r="T122" s="2923"/>
      <c r="U122" s="2923"/>
      <c r="V122" s="2923"/>
      <c r="W122" s="2923"/>
      <c r="X122" s="2923"/>
      <c r="Y122" s="2923"/>
      <c r="Z122" s="2923"/>
      <c r="AA122" s="2923"/>
      <c r="AB122" s="2923"/>
      <c r="AC122" s="2923"/>
    </row>
    <row r="123" spans="1:29" ht="15" thickTop="1">
      <c r="A123" s="555"/>
      <c r="B123" s="494" t="s">
        <v>2200</v>
      </c>
      <c r="C123" s="510"/>
      <c r="D123" s="510"/>
      <c r="E123" s="510"/>
      <c r="F123" s="539"/>
      <c r="G123" s="539"/>
      <c r="H123" s="539"/>
      <c r="I123" s="539"/>
      <c r="J123" s="539"/>
      <c r="K123" s="540"/>
      <c r="L123" s="541"/>
      <c r="M123" s="542"/>
      <c r="N123" s="2929"/>
      <c r="O123" s="2929"/>
      <c r="P123" s="2938"/>
      <c r="Q123" s="2915"/>
      <c r="R123" s="2901"/>
      <c r="S123" s="2901"/>
      <c r="T123" s="2901"/>
      <c r="U123" s="2901"/>
      <c r="V123" s="2901"/>
      <c r="W123" s="2901"/>
      <c r="X123" s="2901"/>
      <c r="Y123" s="2901"/>
      <c r="Z123" s="2901"/>
      <c r="AA123" s="2901"/>
      <c r="AB123" s="2901"/>
      <c r="AC123" s="290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9"/>
      <c r="O125" s="2929"/>
      <c r="P125" s="2939"/>
      <c r="Q125" s="2915"/>
      <c r="R125" s="2901"/>
      <c r="S125" s="2901"/>
      <c r="T125" s="2901"/>
      <c r="U125" s="2901"/>
      <c r="V125" s="2901"/>
      <c r="W125" s="2901"/>
      <c r="X125" s="2901"/>
      <c r="Y125" s="2901"/>
      <c r="Z125" s="2901"/>
      <c r="AA125" s="2901"/>
      <c r="AB125" s="2901"/>
      <c r="AC125" s="290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0"/>
      <c r="O126" s="2930"/>
      <c r="P126" s="2938"/>
      <c r="Q126" s="2915"/>
      <c r="R126" s="2901"/>
      <c r="S126" s="2901"/>
      <c r="T126" s="2901"/>
      <c r="U126" s="2901"/>
      <c r="V126" s="2901"/>
      <c r="W126" s="2901"/>
      <c r="X126" s="2901"/>
      <c r="Y126" s="2901"/>
      <c r="Z126" s="2901"/>
      <c r="AA126" s="2901"/>
      <c r="AB126" s="2901"/>
      <c r="AC126" s="2901"/>
    </row>
    <row r="127" spans="1:29" s="429" customFormat="1" ht="15" thickTop="1">
      <c r="A127" s="549"/>
      <c r="B127" s="494">
        <f>B45</f>
        <v>111</v>
      </c>
      <c r="C127" s="510"/>
      <c r="D127" s="510"/>
      <c r="E127" s="510"/>
      <c r="F127" s="510"/>
      <c r="G127" s="510"/>
      <c r="H127" s="511"/>
      <c r="I127" s="511"/>
      <c r="J127" s="511"/>
      <c r="K127" s="511"/>
      <c r="L127" s="512"/>
      <c r="M127" s="513"/>
      <c r="N127" s="2931"/>
      <c r="O127" s="2931"/>
      <c r="P127" s="2939"/>
      <c r="Q127" s="2922"/>
      <c r="R127" s="2923"/>
      <c r="S127" s="2923"/>
      <c r="T127" s="2923"/>
      <c r="U127" s="2923"/>
      <c r="V127" s="2923"/>
      <c r="W127" s="2923"/>
      <c r="X127" s="2923"/>
      <c r="Y127" s="2923"/>
      <c r="Z127" s="2923"/>
      <c r="AA127" s="2923"/>
      <c r="AB127" s="2923"/>
      <c r="AC127" s="2923"/>
    </row>
    <row r="128" spans="1:29" s="429" customFormat="1" ht="15.75" thickBot="1">
      <c r="A128" s="509"/>
      <c r="B128" s="499"/>
      <c r="C128" s="516"/>
      <c r="D128" s="492"/>
      <c r="E128" s="492"/>
      <c r="F128" s="492"/>
      <c r="G128" s="516"/>
      <c r="H128" s="518"/>
      <c r="I128" s="518"/>
      <c r="J128" s="518"/>
      <c r="K128" s="518"/>
      <c r="L128" s="518"/>
      <c r="M128" s="519"/>
      <c r="N128" s="2931"/>
      <c r="O128" s="2931"/>
      <c r="P128" s="2939"/>
      <c r="Q128" s="2922"/>
      <c r="R128" s="2923"/>
      <c r="S128" s="2923"/>
      <c r="T128" s="2923"/>
      <c r="U128" s="2923"/>
      <c r="V128" s="2923"/>
      <c r="W128" s="2923"/>
      <c r="X128" s="2923"/>
      <c r="Y128" s="2923"/>
      <c r="Z128" s="2923"/>
      <c r="AA128" s="2923"/>
      <c r="AB128" s="2923"/>
      <c r="AC128" s="2923"/>
    </row>
    <row r="129" spans="1:29" ht="15" thickTop="1">
      <c r="A129" s="555"/>
      <c r="B129" s="494">
        <f>B46</f>
        <v>111</v>
      </c>
      <c r="C129" s="510"/>
      <c r="D129" s="510"/>
      <c r="E129" s="510"/>
      <c r="F129" s="510"/>
      <c r="G129" s="539"/>
      <c r="H129" s="539"/>
      <c r="I129" s="539"/>
      <c r="J129" s="539"/>
      <c r="K129" s="540"/>
      <c r="L129" s="541"/>
      <c r="M129" s="542"/>
      <c r="N129" s="2929"/>
      <c r="O129" s="2929"/>
      <c r="P129" s="2938"/>
      <c r="Q129" s="2915"/>
      <c r="R129" s="2901"/>
      <c r="S129" s="2901"/>
      <c r="T129" s="2901"/>
      <c r="U129" s="2901"/>
      <c r="V129" s="2901"/>
      <c r="W129" s="2901"/>
      <c r="X129" s="2901"/>
      <c r="Y129" s="2901"/>
      <c r="Z129" s="2901"/>
      <c r="AA129" s="2901"/>
      <c r="AB129" s="2901"/>
      <c r="AC129" s="2901"/>
    </row>
    <row r="130" spans="1:29" ht="15.75" thickBot="1">
      <c r="A130" s="490"/>
      <c r="B130" s="499"/>
      <c r="C130" s="516"/>
      <c r="D130" s="516"/>
      <c r="E130" s="516"/>
      <c r="F130" s="516"/>
      <c r="G130" s="492"/>
      <c r="H130" s="492"/>
      <c r="I130" s="492"/>
      <c r="J130" s="492"/>
      <c r="K130" s="492"/>
      <c r="L130" s="492"/>
      <c r="M130" s="493"/>
      <c r="N130" s="2930"/>
      <c r="O130" s="2930"/>
      <c r="P130" s="2938"/>
      <c r="Q130" s="2915"/>
      <c r="R130" s="2901"/>
      <c r="S130" s="2901"/>
      <c r="T130" s="2901"/>
      <c r="U130" s="2901"/>
      <c r="V130" s="2901"/>
      <c r="W130" s="2901"/>
      <c r="X130" s="2901"/>
      <c r="Y130" s="2901"/>
      <c r="Z130" s="2901"/>
      <c r="AA130" s="2901"/>
      <c r="AB130" s="2901"/>
      <c r="AC130" s="2901"/>
    </row>
    <row r="131" spans="1:29" ht="15" thickTop="1">
      <c r="A131" s="555"/>
      <c r="B131" s="502">
        <f>B47</f>
        <v>111</v>
      </c>
      <c r="C131" s="479"/>
      <c r="D131" s="479"/>
      <c r="E131" s="479"/>
      <c r="F131" s="479"/>
      <c r="G131" s="543"/>
      <c r="H131" s="543"/>
      <c r="I131" s="543"/>
      <c r="J131" s="543"/>
      <c r="K131" s="479"/>
      <c r="L131" s="480"/>
      <c r="M131" s="546"/>
      <c r="N131" s="2929"/>
      <c r="O131" s="2929"/>
      <c r="P131" s="2938"/>
      <c r="Q131" s="2915"/>
      <c r="R131" s="2901"/>
      <c r="S131" s="2901"/>
      <c r="T131" s="2901"/>
      <c r="U131" s="2901"/>
      <c r="V131" s="2901"/>
      <c r="W131" s="2901"/>
      <c r="X131" s="2901"/>
      <c r="Y131" s="2901"/>
      <c r="Z131" s="2901"/>
      <c r="AA131" s="2901"/>
      <c r="AB131" s="2901"/>
      <c r="AC131" s="2901"/>
    </row>
    <row r="132" spans="1:29" ht="15.75" thickBot="1">
      <c r="A132" s="2063"/>
      <c r="B132" s="525"/>
      <c r="C132" s="526"/>
      <c r="D132" s="526"/>
      <c r="E132" s="526"/>
      <c r="F132" s="526"/>
      <c r="G132" s="547"/>
      <c r="H132" s="547"/>
      <c r="I132" s="547"/>
      <c r="J132" s="547"/>
      <c r="K132" s="547"/>
      <c r="L132" s="547"/>
      <c r="M132" s="548"/>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13867.57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47" t="s">
        <v>2226</v>
      </c>
      <c r="D4" s="3459"/>
      <c r="E4" s="3460" t="s">
        <v>2227</v>
      </c>
      <c r="F4" s="3461"/>
      <c r="G4" s="3447" t="s">
        <v>2228</v>
      </c>
      <c r="H4" s="3459"/>
      <c r="I4" s="3447" t="s">
        <v>2229</v>
      </c>
      <c r="J4" s="3459"/>
      <c r="K4" s="566" t="s">
        <v>2230</v>
      </c>
      <c r="L4" s="1024"/>
      <c r="M4" s="1025"/>
      <c r="N4" s="1025"/>
      <c r="O4" s="1025"/>
      <c r="P4" s="3462" t="s">
        <v>2231</v>
      </c>
      <c r="Q4" s="3463"/>
      <c r="R4" s="3468" t="s">
        <v>2227</v>
      </c>
      <c r="S4" s="3469"/>
      <c r="T4" s="3468" t="s">
        <v>2228</v>
      </c>
      <c r="U4" s="3469"/>
      <c r="V4" s="3455" t="s">
        <v>2229</v>
      </c>
      <c r="W4" s="3455"/>
      <c r="X4" s="1488"/>
      <c r="Y4" s="3468" t="s">
        <v>2231</v>
      </c>
      <c r="Z4" s="3469"/>
      <c r="AA4" s="3456" t="s">
        <v>2227</v>
      </c>
      <c r="AB4" s="3457" t="s">
        <v>2228</v>
      </c>
      <c r="AC4" s="3456" t="s">
        <v>2229</v>
      </c>
    </row>
    <row r="5" spans="1:29" ht="15">
      <c r="A5" s="363"/>
      <c r="B5" s="364"/>
      <c r="C5" s="3476" t="s">
        <v>2122</v>
      </c>
      <c r="D5" s="3477"/>
      <c r="E5" s="3483" t="s">
        <v>2123</v>
      </c>
      <c r="F5" s="3484"/>
      <c r="G5" s="3476" t="s">
        <v>2124</v>
      </c>
      <c r="H5" s="3477"/>
      <c r="I5" s="3476" t="s">
        <v>2125</v>
      </c>
      <c r="J5" s="3477"/>
      <c r="K5" s="566"/>
      <c r="L5" s="1024"/>
      <c r="M5" s="1025"/>
      <c r="N5" s="1025"/>
      <c r="O5" s="1025"/>
      <c r="P5" s="3464"/>
      <c r="Q5" s="3465"/>
      <c r="R5" s="3470"/>
      <c r="S5" s="3471"/>
      <c r="T5" s="3470"/>
      <c r="U5" s="3471"/>
      <c r="V5" s="3455"/>
      <c r="W5" s="3455"/>
      <c r="X5" s="1488"/>
      <c r="Y5" s="3470"/>
      <c r="Z5" s="3471"/>
      <c r="AA5" s="3457"/>
      <c r="AB5" s="3457"/>
      <c r="AC5" s="3457"/>
    </row>
    <row r="6" spans="1:29" ht="15.75" thickBot="1">
      <c r="A6" s="365"/>
      <c r="B6" s="366"/>
      <c r="C6" s="3474" t="s">
        <v>2126</v>
      </c>
      <c r="D6" s="3475"/>
      <c r="E6" s="3481" t="s">
        <v>2126</v>
      </c>
      <c r="F6" s="3482"/>
      <c r="G6" s="3474" t="s">
        <v>2126</v>
      </c>
      <c r="H6" s="3475"/>
      <c r="I6" s="3474" t="s">
        <v>2126</v>
      </c>
      <c r="J6" s="3475"/>
      <c r="K6" s="566" t="s">
        <v>2127</v>
      </c>
      <c r="L6" s="1024"/>
      <c r="M6" s="1025"/>
      <c r="N6" s="1025"/>
      <c r="O6" s="1025"/>
      <c r="P6" s="3466"/>
      <c r="Q6" s="3467"/>
      <c r="R6" s="3470"/>
      <c r="S6" s="3471"/>
      <c r="T6" s="3472"/>
      <c r="U6" s="3473"/>
      <c r="V6" s="3455"/>
      <c r="W6" s="3455"/>
      <c r="X6" s="1488"/>
      <c r="Y6" s="3472"/>
      <c r="Z6" s="3473"/>
      <c r="AA6" s="3458"/>
      <c r="AB6" s="3458"/>
      <c r="AC6" s="3458"/>
    </row>
    <row r="7" spans="1:29" s="113" customFormat="1" ht="15.75" thickBot="1">
      <c r="A7" s="367" t="s">
        <v>2128</v>
      </c>
      <c r="B7" s="368"/>
      <c r="C7" s="369">
        <f>'数据-取费表'!B2</f>
        <v>44781</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8" t="s">
        <v>2129</v>
      </c>
      <c r="Q7" s="3480"/>
      <c r="R7" s="709" t="s">
        <v>17</v>
      </c>
      <c r="S7" s="710">
        <f t="shared" ref="S7:S15" si="0">F7</f>
        <v>0</v>
      </c>
      <c r="T7" s="709" t="s">
        <v>17</v>
      </c>
      <c r="U7" s="710">
        <f t="shared" ref="U7:U15" si="1">H7</f>
        <v>0</v>
      </c>
      <c r="V7" s="709" t="s">
        <v>17</v>
      </c>
      <c r="W7" s="710">
        <f t="shared" ref="W7:W15" si="2">J7</f>
        <v>0</v>
      </c>
      <c r="X7" s="711"/>
      <c r="Y7" s="3478" t="s">
        <v>2129</v>
      </c>
      <c r="Z7" s="3479"/>
      <c r="AA7" s="712" t="e">
        <f>D7/F7</f>
        <v>#DIV/0!</v>
      </c>
      <c r="AB7" s="712" t="e">
        <f>D7/H7</f>
        <v>#DIV/0!</v>
      </c>
      <c r="AC7" s="712" t="e">
        <f>D7/J7</f>
        <v>#DIV/0!</v>
      </c>
    </row>
    <row r="8" spans="1:29" s="113"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8" t="s">
        <v>2132</v>
      </c>
      <c r="Q8" s="3479"/>
      <c r="R8" s="709" t="s">
        <v>17</v>
      </c>
      <c r="S8" s="710">
        <f t="shared" si="0"/>
        <v>0</v>
      </c>
      <c r="T8" s="709" t="s">
        <v>17</v>
      </c>
      <c r="U8" s="710">
        <f t="shared" si="1"/>
        <v>0</v>
      </c>
      <c r="V8" s="709" t="s">
        <v>17</v>
      </c>
      <c r="W8" s="710">
        <f t="shared" si="2"/>
        <v>0</v>
      </c>
      <c r="X8" s="711"/>
      <c r="Y8" s="3478" t="s">
        <v>2132</v>
      </c>
      <c r="Z8" s="3479"/>
      <c r="AA8" s="712" t="e">
        <f t="shared" ref="AA8:AA40" si="3">D8/F8</f>
        <v>#DIV/0!</v>
      </c>
      <c r="AB8" s="712" t="e">
        <f t="shared" ref="AB8:AB40" si="4">D8/H8</f>
        <v>#DIV/0!</v>
      </c>
      <c r="AC8" s="712" t="e">
        <f t="shared" ref="AC8:AC40" si="5">D8/J8</f>
        <v>#DIV/0!</v>
      </c>
    </row>
    <row r="9" spans="1:29" s="113"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50" t="s">
        <v>2135</v>
      </c>
      <c r="Q9" s="1476" t="str">
        <f t="shared" ref="Q9:Q15" si="6">B9</f>
        <v>用途</v>
      </c>
      <c r="R9" s="709" t="s">
        <v>17</v>
      </c>
      <c r="S9" s="710">
        <f t="shared" si="0"/>
        <v>100</v>
      </c>
      <c r="T9" s="709" t="s">
        <v>17</v>
      </c>
      <c r="U9" s="710">
        <f t="shared" si="1"/>
        <v>100</v>
      </c>
      <c r="V9" s="709" t="s">
        <v>17</v>
      </c>
      <c r="W9" s="710">
        <f t="shared" si="2"/>
        <v>100</v>
      </c>
      <c r="X9" s="711"/>
      <c r="Y9" s="334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50"/>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50"/>
      <c r="Q11" s="1476" t="str">
        <f t="shared" si="6"/>
        <v>容积率</v>
      </c>
      <c r="R11" s="709" t="s">
        <v>17</v>
      </c>
      <c r="S11" s="710" t="e">
        <f t="shared" si="0"/>
        <v>#N/A</v>
      </c>
      <c r="T11" s="709" t="s">
        <v>17</v>
      </c>
      <c r="U11" s="710" t="e">
        <f t="shared" si="1"/>
        <v>#N/A</v>
      </c>
      <c r="V11" s="709" t="s">
        <v>17</v>
      </c>
      <c r="W11" s="710" t="e">
        <f t="shared" si="2"/>
        <v>#N/A</v>
      </c>
      <c r="X11" s="711"/>
      <c r="Y11" s="3344"/>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450"/>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450"/>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450"/>
      <c r="Q14" s="1476">
        <f t="shared" si="6"/>
        <v>111</v>
      </c>
      <c r="R14" s="709" t="s">
        <v>17</v>
      </c>
      <c r="S14" s="710">
        <f t="shared" si="0"/>
        <v>100</v>
      </c>
      <c r="T14" s="709" t="s">
        <v>17</v>
      </c>
      <c r="U14" s="710">
        <f t="shared" si="1"/>
        <v>100</v>
      </c>
      <c r="V14" s="709" t="s">
        <v>17</v>
      </c>
      <c r="W14" s="710">
        <f t="shared" si="2"/>
        <v>100</v>
      </c>
      <c r="X14" s="711"/>
      <c r="Y14" s="3344"/>
      <c r="Z14" s="55">
        <f t="shared" si="7"/>
        <v>111</v>
      </c>
      <c r="AA14" s="712">
        <f t="shared" si="3"/>
        <v>1</v>
      </c>
      <c r="AB14" s="712">
        <f t="shared" si="4"/>
        <v>1</v>
      </c>
      <c r="AC14" s="712">
        <f t="shared" si="5"/>
        <v>1</v>
      </c>
    </row>
    <row r="15" spans="1:29" ht="57">
      <c r="A15" s="398" t="s">
        <v>2139</v>
      </c>
      <c r="B15" s="65" t="s">
        <v>2283</v>
      </c>
      <c r="C15" s="210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51" t="s">
        <v>2140</v>
      </c>
      <c r="Q15" s="1485" t="str">
        <f t="shared" si="6"/>
        <v>产业集聚程度</v>
      </c>
      <c r="R15" s="713" t="s">
        <v>17</v>
      </c>
      <c r="S15" s="714">
        <f t="shared" si="0"/>
        <v>100</v>
      </c>
      <c r="T15" s="713" t="s">
        <v>17</v>
      </c>
      <c r="U15" s="714">
        <f t="shared" si="1"/>
        <v>100</v>
      </c>
      <c r="V15" s="713" t="s">
        <v>17</v>
      </c>
      <c r="W15" s="714">
        <f t="shared" si="2"/>
        <v>100</v>
      </c>
      <c r="X15" s="1488"/>
      <c r="Y15" s="3451"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452"/>
      <c r="Q16" s="1485"/>
      <c r="R16" s="713"/>
      <c r="S16" s="714"/>
      <c r="T16" s="713"/>
      <c r="U16" s="714"/>
      <c r="V16" s="713"/>
      <c r="W16" s="714"/>
      <c r="X16" s="1488"/>
      <c r="Y16" s="3452"/>
      <c r="Z16" s="1489"/>
      <c r="AA16" s="1486">
        <v>1</v>
      </c>
      <c r="AB16" s="1486">
        <v>1</v>
      </c>
      <c r="AC16" s="1486">
        <v>1</v>
      </c>
    </row>
    <row r="17" spans="1:29" ht="85.5">
      <c r="A17" s="386"/>
      <c r="B17" s="409" t="s">
        <v>1704</v>
      </c>
      <c r="C17" s="203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52"/>
      <c r="Q17" s="1485" t="str">
        <f>B17</f>
        <v>交通便捷度</v>
      </c>
      <c r="R17" s="713" t="s">
        <v>17</v>
      </c>
      <c r="S17" s="714">
        <f>F17</f>
        <v>100</v>
      </c>
      <c r="T17" s="713" t="s">
        <v>17</v>
      </c>
      <c r="U17" s="714">
        <f>H17</f>
        <v>100</v>
      </c>
      <c r="V17" s="713" t="s">
        <v>17</v>
      </c>
      <c r="W17" s="714">
        <f>J17</f>
        <v>100</v>
      </c>
      <c r="X17" s="1488"/>
      <c r="Y17" s="3452"/>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452"/>
      <c r="Q18" s="1485"/>
      <c r="R18" s="713"/>
      <c r="S18" s="714"/>
      <c r="T18" s="713"/>
      <c r="U18" s="714"/>
      <c r="V18" s="713"/>
      <c r="W18" s="714"/>
      <c r="X18" s="1488"/>
      <c r="Y18" s="3452"/>
      <c r="Z18" s="1489"/>
      <c r="AA18" s="1486">
        <v>1</v>
      </c>
      <c r="AB18" s="1486">
        <v>1</v>
      </c>
      <c r="AC18" s="1486">
        <v>1</v>
      </c>
    </row>
    <row r="19" spans="1:29" ht="42.75">
      <c r="A19" s="386"/>
      <c r="B19" s="409" t="s">
        <v>2268</v>
      </c>
      <c r="C19" s="203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52"/>
      <c r="Q19" s="1485" t="str">
        <f>B19</f>
        <v>公共配套设施</v>
      </c>
      <c r="R19" s="713" t="s">
        <v>17</v>
      </c>
      <c r="S19" s="714">
        <f>F19</f>
        <v>100</v>
      </c>
      <c r="T19" s="713" t="s">
        <v>17</v>
      </c>
      <c r="U19" s="714">
        <f>H19</f>
        <v>100</v>
      </c>
      <c r="V19" s="713" t="s">
        <v>17</v>
      </c>
      <c r="W19" s="714">
        <f>J19</f>
        <v>100</v>
      </c>
      <c r="X19" s="1488"/>
      <c r="Y19" s="3452"/>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452"/>
      <c r="Q20" s="1485"/>
      <c r="R20" s="713"/>
      <c r="S20" s="714"/>
      <c r="T20" s="713"/>
      <c r="U20" s="714"/>
      <c r="V20" s="713"/>
      <c r="W20" s="714"/>
      <c r="X20" s="1488"/>
      <c r="Y20" s="3452"/>
      <c r="Z20" s="1489"/>
      <c r="AA20" s="1486">
        <v>1</v>
      </c>
      <c r="AB20" s="1486">
        <v>1</v>
      </c>
      <c r="AC20" s="1486">
        <v>1</v>
      </c>
    </row>
    <row r="21" spans="1:29" ht="28.5">
      <c r="A21" s="386"/>
      <c r="B21" s="1245" t="s">
        <v>2269</v>
      </c>
      <c r="C21" s="203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52"/>
      <c r="Q21" s="1485" t="str">
        <f>B21</f>
        <v>基础设施水平</v>
      </c>
      <c r="R21" s="713" t="s">
        <v>17</v>
      </c>
      <c r="S21" s="714">
        <f>F21</f>
        <v>100</v>
      </c>
      <c r="T21" s="713" t="s">
        <v>17</v>
      </c>
      <c r="U21" s="714">
        <f>H21</f>
        <v>100</v>
      </c>
      <c r="V21" s="713" t="s">
        <v>17</v>
      </c>
      <c r="W21" s="714">
        <f>J21</f>
        <v>100</v>
      </c>
      <c r="X21" s="1488"/>
      <c r="Y21" s="3452"/>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452"/>
      <c r="Q22" s="1485"/>
      <c r="R22" s="713"/>
      <c r="S22" s="714"/>
      <c r="T22" s="713"/>
      <c r="U22" s="714"/>
      <c r="V22" s="713"/>
      <c r="W22" s="714"/>
      <c r="X22" s="1488"/>
      <c r="Y22" s="3452"/>
      <c r="Z22" s="1489"/>
      <c r="AA22" s="1486">
        <v>1</v>
      </c>
      <c r="AB22" s="1486">
        <v>1</v>
      </c>
      <c r="AC22" s="1486">
        <v>1</v>
      </c>
    </row>
    <row r="23" spans="1:29" ht="71.25">
      <c r="A23" s="386"/>
      <c r="B23" s="409" t="s">
        <v>2270</v>
      </c>
      <c r="C23" s="203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52"/>
      <c r="Q23" s="1485" t="str">
        <f>B23</f>
        <v>环境质量</v>
      </c>
      <c r="R23" s="713" t="s">
        <v>17</v>
      </c>
      <c r="S23" s="714">
        <f>F23</f>
        <v>100</v>
      </c>
      <c r="T23" s="713" t="s">
        <v>17</v>
      </c>
      <c r="U23" s="714">
        <f>H23</f>
        <v>100</v>
      </c>
      <c r="V23" s="713" t="s">
        <v>17</v>
      </c>
      <c r="W23" s="714">
        <f>J23</f>
        <v>100</v>
      </c>
      <c r="X23" s="1488"/>
      <c r="Y23" s="3452"/>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452"/>
      <c r="Q24" s="1485"/>
      <c r="R24" s="713"/>
      <c r="S24" s="714"/>
      <c r="T24" s="713"/>
      <c r="U24" s="714"/>
      <c r="V24" s="713"/>
      <c r="W24" s="714"/>
      <c r="X24" s="1488"/>
      <c r="Y24" s="3452"/>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52"/>
      <c r="Q25" s="1485">
        <f>B25</f>
        <v>111</v>
      </c>
      <c r="R25" s="713" t="s">
        <v>17</v>
      </c>
      <c r="S25" s="714">
        <f>F25</f>
        <v>100</v>
      </c>
      <c r="T25" s="713" t="s">
        <v>17</v>
      </c>
      <c r="U25" s="714">
        <f>H25</f>
        <v>100</v>
      </c>
      <c r="V25" s="713" t="s">
        <v>17</v>
      </c>
      <c r="W25" s="714">
        <f>J25</f>
        <v>100</v>
      </c>
      <c r="X25" s="1488"/>
      <c r="Y25" s="3452"/>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52"/>
      <c r="Q26" s="1485">
        <f t="shared" ref="Q26:Q40" si="11">B26</f>
        <v>111</v>
      </c>
      <c r="R26" s="713" t="s">
        <v>17</v>
      </c>
      <c r="S26" s="714">
        <f>F26</f>
        <v>100</v>
      </c>
      <c r="T26" s="713" t="s">
        <v>17</v>
      </c>
      <c r="U26" s="714">
        <f>H26</f>
        <v>100</v>
      </c>
      <c r="V26" s="713" t="s">
        <v>17</v>
      </c>
      <c r="W26" s="714">
        <f>J26</f>
        <v>100</v>
      </c>
      <c r="X26" s="1488"/>
      <c r="Y26" s="3452"/>
      <c r="Z26" s="1489">
        <f>Q26</f>
        <v>111</v>
      </c>
      <c r="AA26" s="1486">
        <f t="shared" si="3"/>
        <v>1</v>
      </c>
      <c r="AB26" s="1486">
        <f t="shared" si="4"/>
        <v>1</v>
      </c>
      <c r="AC26" s="1486">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52"/>
      <c r="Q27" s="1476">
        <f t="shared" si="11"/>
        <v>111</v>
      </c>
      <c r="R27" s="709" t="s">
        <v>17</v>
      </c>
      <c r="S27" s="710">
        <f>F27</f>
        <v>100</v>
      </c>
      <c r="T27" s="709" t="s">
        <v>17</v>
      </c>
      <c r="U27" s="710">
        <f>H27</f>
        <v>100</v>
      </c>
      <c r="V27" s="709" t="s">
        <v>17</v>
      </c>
      <c r="W27" s="710">
        <f>J27</f>
        <v>100</v>
      </c>
      <c r="X27" s="711"/>
      <c r="Y27" s="3452"/>
      <c r="Z27" s="55">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52"/>
      <c r="Q28" s="1485">
        <f t="shared" si="11"/>
        <v>111</v>
      </c>
      <c r="R28" s="713" t="s">
        <v>17</v>
      </c>
      <c r="S28" s="714">
        <f t="shared" ref="S28:S40" si="12">F28</f>
        <v>100</v>
      </c>
      <c r="T28" s="713" t="s">
        <v>17</v>
      </c>
      <c r="U28" s="714">
        <f t="shared" ref="U28:U40" si="13">H28</f>
        <v>100</v>
      </c>
      <c r="V28" s="713" t="s">
        <v>17</v>
      </c>
      <c r="W28" s="714">
        <f t="shared" ref="W28:W40" si="14">J28</f>
        <v>100</v>
      </c>
      <c r="X28" s="1488"/>
      <c r="Y28" s="3452"/>
      <c r="Z28" s="1489">
        <f t="shared" ref="Z28:Z40" si="15">Q28</f>
        <v>111</v>
      </c>
      <c r="AA28" s="1486">
        <f t="shared" si="3"/>
        <v>1</v>
      </c>
      <c r="AB28" s="1486">
        <f t="shared" si="4"/>
        <v>1</v>
      </c>
      <c r="AC28" s="1486">
        <f t="shared" si="5"/>
        <v>1</v>
      </c>
    </row>
    <row r="29" spans="1:29" ht="28.5">
      <c r="A29" s="424" t="s">
        <v>2143</v>
      </c>
      <c r="B29" s="67"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453" t="s">
        <v>2145</v>
      </c>
      <c r="Q29" s="1485" t="str">
        <f t="shared" si="11"/>
        <v>建筑类型</v>
      </c>
      <c r="R29" s="713" t="s">
        <v>17</v>
      </c>
      <c r="S29" s="714">
        <f t="shared" si="12"/>
        <v>100</v>
      </c>
      <c r="T29" s="713" t="s">
        <v>17</v>
      </c>
      <c r="U29" s="714">
        <f t="shared" si="13"/>
        <v>100</v>
      </c>
      <c r="V29" s="713" t="s">
        <v>17</v>
      </c>
      <c r="W29" s="714">
        <f t="shared" si="14"/>
        <v>100</v>
      </c>
      <c r="X29" s="1488"/>
      <c r="Y29" s="3454"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54"/>
      <c r="Q30" s="715" t="str">
        <f t="shared" si="11"/>
        <v>项目建筑规模</v>
      </c>
      <c r="R30" s="716" t="s">
        <v>17</v>
      </c>
      <c r="S30" s="717" t="e">
        <f t="shared" si="12"/>
        <v>#N/A</v>
      </c>
      <c r="T30" s="716" t="s">
        <v>17</v>
      </c>
      <c r="U30" s="717" t="e">
        <f t="shared" si="13"/>
        <v>#N/A</v>
      </c>
      <c r="V30" s="716" t="s">
        <v>17</v>
      </c>
      <c r="W30" s="717" t="e">
        <f t="shared" si="14"/>
        <v>#N/A</v>
      </c>
      <c r="X30" s="718"/>
      <c r="Y30" s="3454"/>
      <c r="Z30" s="719"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54"/>
      <c r="Q31" s="1485" t="str">
        <f t="shared" si="11"/>
        <v>建筑结构</v>
      </c>
      <c r="R31" s="713" t="s">
        <v>17</v>
      </c>
      <c r="S31" s="714">
        <f t="shared" si="12"/>
        <v>100</v>
      </c>
      <c r="T31" s="713" t="s">
        <v>17</v>
      </c>
      <c r="U31" s="714">
        <f t="shared" si="13"/>
        <v>100</v>
      </c>
      <c r="V31" s="713" t="s">
        <v>17</v>
      </c>
      <c r="W31" s="714">
        <f t="shared" si="14"/>
        <v>100</v>
      </c>
      <c r="X31" s="1488"/>
      <c r="Y31" s="3454"/>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54"/>
      <c r="Q32" s="1485" t="str">
        <f t="shared" si="11"/>
        <v>公共部分装修</v>
      </c>
      <c r="R32" s="713" t="s">
        <v>17</v>
      </c>
      <c r="S32" s="714">
        <f t="shared" si="12"/>
        <v>100</v>
      </c>
      <c r="T32" s="713" t="s">
        <v>17</v>
      </c>
      <c r="U32" s="714">
        <f t="shared" si="13"/>
        <v>100</v>
      </c>
      <c r="V32" s="713" t="s">
        <v>17</v>
      </c>
      <c r="W32" s="714">
        <f t="shared" si="14"/>
        <v>100</v>
      </c>
      <c r="X32" s="1488"/>
      <c r="Y32" s="3454"/>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54"/>
      <c r="Q33" s="1485" t="str">
        <f t="shared" si="11"/>
        <v>成新度</v>
      </c>
      <c r="R33" s="713" t="s">
        <v>17</v>
      </c>
      <c r="S33" s="714" t="e">
        <f t="shared" si="12"/>
        <v>#N/A</v>
      </c>
      <c r="T33" s="713" t="s">
        <v>17</v>
      </c>
      <c r="U33" s="714" t="e">
        <f t="shared" si="13"/>
        <v>#N/A</v>
      </c>
      <c r="V33" s="713" t="s">
        <v>17</v>
      </c>
      <c r="W33" s="714" t="e">
        <f t="shared" si="14"/>
        <v>#N/A</v>
      </c>
      <c r="X33" s="1488"/>
      <c r="Y33" s="3454"/>
      <c r="Z33" s="1489" t="str">
        <f t="shared" si="15"/>
        <v>成新度</v>
      </c>
      <c r="AA33" s="1486" t="e">
        <f t="shared" si="3"/>
        <v>#N/A</v>
      </c>
      <c r="AB33" s="1486" t="e">
        <f t="shared" si="4"/>
        <v>#N/A</v>
      </c>
      <c r="AC33" s="1486" t="e">
        <f t="shared" si="5"/>
        <v>#N/A</v>
      </c>
    </row>
    <row r="34" spans="1:29" s="113"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54"/>
      <c r="Q34" s="1476" t="str">
        <f t="shared" si="11"/>
        <v>物业管理</v>
      </c>
      <c r="R34" s="709" t="s">
        <v>17</v>
      </c>
      <c r="S34" s="710">
        <f t="shared" si="12"/>
        <v>100</v>
      </c>
      <c r="T34" s="709" t="s">
        <v>17</v>
      </c>
      <c r="U34" s="710">
        <f t="shared" si="13"/>
        <v>100</v>
      </c>
      <c r="V34" s="709" t="s">
        <v>17</v>
      </c>
      <c r="W34" s="710">
        <f t="shared" si="14"/>
        <v>100</v>
      </c>
      <c r="X34" s="711"/>
      <c r="Y34" s="3454"/>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54" t="s">
        <v>2145</v>
      </c>
      <c r="Q35" s="1485" t="str">
        <f t="shared" si="11"/>
        <v>市政基础设施</v>
      </c>
      <c r="R35" s="713" t="s">
        <v>17</v>
      </c>
      <c r="S35" s="714">
        <f t="shared" si="12"/>
        <v>100</v>
      </c>
      <c r="T35" s="713" t="s">
        <v>17</v>
      </c>
      <c r="U35" s="714">
        <f t="shared" si="13"/>
        <v>100</v>
      </c>
      <c r="V35" s="713" t="s">
        <v>17</v>
      </c>
      <c r="W35" s="714">
        <f t="shared" si="14"/>
        <v>100</v>
      </c>
      <c r="X35" s="1488"/>
      <c r="Y35" s="3454"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54"/>
      <c r="Q36" s="1485" t="str">
        <f t="shared" si="11"/>
        <v>内部装修</v>
      </c>
      <c r="R36" s="713" t="s">
        <v>17</v>
      </c>
      <c r="S36" s="714">
        <f t="shared" si="12"/>
        <v>100</v>
      </c>
      <c r="T36" s="713" t="s">
        <v>17</v>
      </c>
      <c r="U36" s="714">
        <f t="shared" si="13"/>
        <v>100</v>
      </c>
      <c r="V36" s="713" t="s">
        <v>17</v>
      </c>
      <c r="W36" s="714">
        <f t="shared" si="14"/>
        <v>100</v>
      </c>
      <c r="X36" s="1488"/>
      <c r="Y36" s="3454"/>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54"/>
      <c r="Q37" s="1485" t="str">
        <f t="shared" si="11"/>
        <v>内部装修状况</v>
      </c>
      <c r="R37" s="713" t="s">
        <v>17</v>
      </c>
      <c r="S37" s="714">
        <f t="shared" si="12"/>
        <v>100</v>
      </c>
      <c r="T37" s="713" t="s">
        <v>17</v>
      </c>
      <c r="U37" s="714">
        <f t="shared" si="13"/>
        <v>100</v>
      </c>
      <c r="V37" s="713" t="s">
        <v>17</v>
      </c>
      <c r="W37" s="714">
        <f t="shared" si="14"/>
        <v>100</v>
      </c>
      <c r="X37" s="1488"/>
      <c r="Y37" s="3454"/>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54"/>
      <c r="Q38" s="715">
        <f t="shared" si="11"/>
        <v>111</v>
      </c>
      <c r="R38" s="716" t="s">
        <v>17</v>
      </c>
      <c r="S38" s="717">
        <f t="shared" si="12"/>
        <v>100</v>
      </c>
      <c r="T38" s="716" t="s">
        <v>17</v>
      </c>
      <c r="U38" s="717">
        <f t="shared" si="13"/>
        <v>100</v>
      </c>
      <c r="V38" s="716" t="s">
        <v>17</v>
      </c>
      <c r="W38" s="717">
        <f t="shared" si="14"/>
        <v>100</v>
      </c>
      <c r="X38" s="718"/>
      <c r="Y38" s="3454"/>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54"/>
      <c r="Q39" s="1485">
        <f t="shared" si="11"/>
        <v>111</v>
      </c>
      <c r="R39" s="713" t="s">
        <v>17</v>
      </c>
      <c r="S39" s="714">
        <f t="shared" si="12"/>
        <v>100</v>
      </c>
      <c r="T39" s="713" t="s">
        <v>17</v>
      </c>
      <c r="U39" s="714">
        <f t="shared" si="13"/>
        <v>100</v>
      </c>
      <c r="V39" s="713" t="s">
        <v>17</v>
      </c>
      <c r="W39" s="714">
        <f t="shared" si="14"/>
        <v>100</v>
      </c>
      <c r="X39" s="1488"/>
      <c r="Y39" s="3454"/>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20"/>
      <c r="Q40" s="1485">
        <f t="shared" si="11"/>
        <v>111</v>
      </c>
      <c r="R40" s="713" t="s">
        <v>17</v>
      </c>
      <c r="S40" s="714">
        <f t="shared" si="12"/>
        <v>100</v>
      </c>
      <c r="T40" s="713" t="s">
        <v>17</v>
      </c>
      <c r="U40" s="714">
        <f t="shared" si="13"/>
        <v>100</v>
      </c>
      <c r="V40" s="713" t="s">
        <v>17</v>
      </c>
      <c r="W40" s="714">
        <f t="shared" si="14"/>
        <v>100</v>
      </c>
      <c r="X40" s="1488"/>
      <c r="Y40" s="3520"/>
      <c r="Z40" s="1489">
        <f t="shared" si="15"/>
        <v>111</v>
      </c>
      <c r="AA40" s="1486">
        <f t="shared" si="3"/>
        <v>1</v>
      </c>
      <c r="AB40" s="1486">
        <f t="shared" si="4"/>
        <v>1</v>
      </c>
      <c r="AC40" s="1486">
        <f t="shared" si="5"/>
        <v>1</v>
      </c>
    </row>
    <row r="41" spans="1:29" ht="15">
      <c r="A41" s="437" t="s">
        <v>2157</v>
      </c>
      <c r="B41" s="438"/>
      <c r="C41" s="1268" t="s">
        <v>1</v>
      </c>
      <c r="D41" s="1269"/>
      <c r="E41" s="1270"/>
      <c r="F41" s="1271"/>
      <c r="G41" s="1272"/>
      <c r="H41" s="1273"/>
      <c r="I41" s="1270"/>
      <c r="J41" s="1273"/>
      <c r="K41" s="722"/>
      <c r="L41" s="1037"/>
      <c r="M41" s="1038"/>
      <c r="N41" s="1025"/>
      <c r="O41" s="1038"/>
      <c r="P41" s="3450" t="str">
        <f>A41</f>
        <v>成交单价（元/平方米）</v>
      </c>
      <c r="Q41" s="3450"/>
      <c r="R41" s="3516">
        <f>E41</f>
        <v>0</v>
      </c>
      <c r="S41" s="3516"/>
      <c r="T41" s="3516">
        <f>G41</f>
        <v>0</v>
      </c>
      <c r="U41" s="3516"/>
      <c r="V41" s="3516">
        <f>I41</f>
        <v>0</v>
      </c>
      <c r="W41" s="3516"/>
      <c r="X41" s="698"/>
      <c r="Y41" s="720"/>
      <c r="Z41" s="698"/>
      <c r="AA41" s="698"/>
      <c r="AB41" s="698"/>
      <c r="AC41" s="698"/>
    </row>
    <row r="42" spans="1:29" ht="15.75" thickBot="1">
      <c r="A42" s="444" t="s">
        <v>2249</v>
      </c>
      <c r="B42" s="445"/>
      <c r="C42" s="1274" t="e">
        <f>R43</f>
        <v>#DIV/0!</v>
      </c>
      <c r="D42" s="2486" t="s">
        <v>2637</v>
      </c>
      <c r="E42" s="1275" t="e">
        <f>R42</f>
        <v>#DIV/0!</v>
      </c>
      <c r="F42" s="2487"/>
      <c r="G42" s="1274" t="e">
        <f>T42</f>
        <v>#DIV/0!</v>
      </c>
      <c r="H42" s="2487"/>
      <c r="I42" s="1275" t="e">
        <f>V42</f>
        <v>#DIV/0!</v>
      </c>
      <c r="J42" s="2487"/>
      <c r="K42" s="2489">
        <f>F42+H42+J42</f>
        <v>0</v>
      </c>
      <c r="L42" s="1037"/>
      <c r="M42" s="1038"/>
      <c r="N42" s="1025"/>
      <c r="O42" s="1038"/>
      <c r="P42" s="3450" t="str">
        <f>A42</f>
        <v>比较价值（元/平方米）</v>
      </c>
      <c r="Q42" s="3450"/>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44" t="str">
        <f>A43</f>
        <v>估价对象XX用房的比较价值（楼面单价，元/平方米）</v>
      </c>
      <c r="Q43" s="3445"/>
      <c r="R43" s="3515" t="e">
        <f>IF(F1="售价",ROUND(IF(D42="简单平均",AVERAGE(R42:V42),R42*F42+T42*H42+V42*J42),0),ROUND(IF(D42="简单平均",AVERAGE(R42:V42),R42*F42+T42*H42+V42*J42),1))</f>
        <v>#DIV/0!</v>
      </c>
      <c r="S43" s="3515"/>
      <c r="T43" s="3515"/>
      <c r="U43" s="3515"/>
      <c r="V43" s="3515"/>
      <c r="W43" s="3515"/>
      <c r="X43" s="698"/>
      <c r="Y43" s="698"/>
      <c r="Z43" s="698"/>
      <c r="AA43" s="698"/>
      <c r="AB43" s="698"/>
      <c r="AC43" s="698"/>
    </row>
    <row r="44" spans="1:29">
      <c r="A44" s="2901"/>
      <c r="B44" s="2901"/>
      <c r="C44" s="2901"/>
      <c r="D44" s="2901"/>
      <c r="E44" s="2901"/>
      <c r="F44" s="2901"/>
      <c r="G44" s="2905"/>
      <c r="H44" s="2901"/>
      <c r="I44" s="2901"/>
      <c r="J44" s="2901"/>
      <c r="K44" s="2906"/>
      <c r="L44" s="1000"/>
      <c r="M44" s="1038"/>
      <c r="N44" s="1038"/>
      <c r="O44" s="1038"/>
    </row>
    <row r="45" spans="1:29">
      <c r="A45" s="2901"/>
      <c r="B45" s="2901"/>
      <c r="C45" s="2901"/>
      <c r="D45" s="2901"/>
      <c r="E45" s="2901"/>
      <c r="F45" s="2901"/>
      <c r="G45" s="2901"/>
      <c r="H45" s="2901"/>
      <c r="I45" s="2901"/>
      <c r="J45" s="2901"/>
      <c r="K45" s="2906"/>
      <c r="L45" s="1000"/>
      <c r="M45" s="1038"/>
      <c r="N45" s="1038"/>
      <c r="O45" s="1038"/>
    </row>
    <row r="46" spans="1:29" ht="13.5" customHeight="1">
      <c r="A46" s="2901"/>
      <c r="B46" s="2901"/>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6"/>
      <c r="L46" s="1000"/>
      <c r="M46" s="1038"/>
      <c r="N46" s="1038"/>
      <c r="O46" s="1038"/>
    </row>
    <row r="47" spans="1:29" ht="13.5" customHeight="1">
      <c r="A47" s="2901"/>
      <c r="B47" s="2901"/>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6"/>
      <c r="L47" s="1000"/>
      <c r="M47" s="1038"/>
      <c r="N47" s="1038"/>
      <c r="O47" s="1038"/>
    </row>
    <row r="48" spans="1:29" s="458" customFormat="1" ht="13.5" customHeight="1">
      <c r="A48" s="2904"/>
      <c r="B48" s="2904"/>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9"/>
      <c r="L48" s="1041"/>
      <c r="M48" s="1039"/>
      <c r="N48" s="1039"/>
      <c r="O48" s="1039"/>
    </row>
    <row r="49" spans="1:17" s="458" customFormat="1">
      <c r="A49" s="2904"/>
      <c r="B49" s="2907"/>
      <c r="C49" s="2908"/>
      <c r="D49" s="2904"/>
      <c r="E49" s="2904"/>
      <c r="F49" s="2904"/>
      <c r="G49" s="2904"/>
      <c r="H49" s="2904"/>
      <c r="I49" s="2904"/>
      <c r="J49" s="2904"/>
      <c r="K49" s="2909"/>
      <c r="L49" s="1041"/>
      <c r="M49" s="1039"/>
      <c r="N49" s="1039"/>
      <c r="O49" s="1039"/>
    </row>
    <row r="50" spans="1:17">
      <c r="A50" s="2901"/>
      <c r="B50" s="2907"/>
      <c r="C50" s="2908"/>
      <c r="D50" s="2901"/>
      <c r="E50" s="2901"/>
      <c r="F50" s="2901"/>
      <c r="G50" s="2901"/>
      <c r="H50" s="2901"/>
      <c r="I50" s="2901"/>
      <c r="J50" s="2901"/>
      <c r="K50" s="2906"/>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7" t="str">
        <f>YEAR(C7)&amp;"-"&amp;MONTH(C7)</f>
        <v>2022-8</v>
      </c>
      <c r="D52" s="1298">
        <f>EDATE(C52,-1)</f>
        <v>44743</v>
      </c>
      <c r="E52" s="1298">
        <f t="shared" ref="E52:O52" si="16">EDATE(D52,-1)</f>
        <v>44713</v>
      </c>
      <c r="F52" s="1298">
        <f t="shared" si="16"/>
        <v>44682</v>
      </c>
      <c r="G52" s="1298">
        <f t="shared" si="16"/>
        <v>44652</v>
      </c>
      <c r="H52" s="1298">
        <f t="shared" si="16"/>
        <v>44621</v>
      </c>
      <c r="I52" s="1298">
        <f t="shared" si="16"/>
        <v>44593</v>
      </c>
      <c r="J52" s="1298">
        <f t="shared" si="16"/>
        <v>44562</v>
      </c>
      <c r="K52" s="1298">
        <f t="shared" si="16"/>
        <v>44531</v>
      </c>
      <c r="L52" s="1298">
        <f t="shared" si="16"/>
        <v>44501</v>
      </c>
      <c r="M52" s="1298">
        <f t="shared" si="16"/>
        <v>44470</v>
      </c>
      <c r="N52" s="1298">
        <f t="shared" si="16"/>
        <v>44440</v>
      </c>
      <c r="O52" s="1298">
        <f t="shared" si="16"/>
        <v>44409</v>
      </c>
      <c r="P52" s="463"/>
    </row>
    <row r="53" spans="1:17" s="113" customFormat="1" ht="15">
      <c r="A53" s="465"/>
      <c r="B53" s="466"/>
      <c r="C53" s="1296">
        <v>100</v>
      </c>
      <c r="D53" s="468"/>
      <c r="E53" s="468"/>
      <c r="F53" s="468"/>
      <c r="G53" s="468"/>
      <c r="H53" s="468"/>
      <c r="I53" s="468"/>
      <c r="J53" s="468"/>
      <c r="K53" s="468"/>
      <c r="L53" s="468"/>
      <c r="M53" s="469"/>
      <c r="N53" s="468"/>
      <c r="O53" s="470"/>
      <c r="P53" s="460"/>
    </row>
    <row r="54" spans="1:17" s="113" customFormat="1" ht="15.75" thickBot="1">
      <c r="A54" s="471" t="s">
        <v>2165</v>
      </c>
      <c r="B54" s="472"/>
      <c r="C54" s="473"/>
      <c r="D54" s="474"/>
      <c r="E54" s="474"/>
      <c r="F54" s="474"/>
      <c r="G54" s="474"/>
      <c r="H54" s="474"/>
      <c r="I54" s="474"/>
      <c r="J54" s="474"/>
      <c r="K54" s="474"/>
      <c r="L54" s="474"/>
      <c r="M54" s="475"/>
      <c r="N54" s="2946"/>
      <c r="O54" s="2947"/>
      <c r="P54" s="460"/>
      <c r="Q54" s="460"/>
    </row>
    <row r="55" spans="1:17" s="113" customFormat="1" ht="15">
      <c r="A55" s="477" t="s">
        <v>2130</v>
      </c>
      <c r="B55" s="466"/>
      <c r="C55" s="478" t="s">
        <v>2232</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3"/>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3"/>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10"/>
      <c r="M2" s="2911"/>
      <c r="N2" s="2911"/>
      <c r="O2" s="2911"/>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0"/>
      <c r="M3" s="2911"/>
      <c r="N3" s="2911"/>
      <c r="O3" s="2911"/>
      <c r="P3" s="1279"/>
      <c r="Q3" s="707"/>
      <c r="R3" s="707"/>
      <c r="S3" s="707"/>
      <c r="T3" s="707"/>
      <c r="U3" s="707"/>
      <c r="V3" s="707"/>
      <c r="W3" s="707"/>
      <c r="X3" s="707"/>
      <c r="Y3" s="707"/>
      <c r="Z3" s="707"/>
      <c r="AA3" s="707"/>
      <c r="AB3" s="724"/>
      <c r="AC3" s="721"/>
    </row>
    <row r="4" spans="1:29" ht="15">
      <c r="A4" s="360" t="s">
        <v>2225</v>
      </c>
      <c r="B4" s="361"/>
      <c r="C4" s="3447" t="s">
        <v>2226</v>
      </c>
      <c r="D4" s="3459"/>
      <c r="E4" s="3460" t="s">
        <v>2227</v>
      </c>
      <c r="F4" s="3461"/>
      <c r="G4" s="3447" t="s">
        <v>2228</v>
      </c>
      <c r="H4" s="3459"/>
      <c r="I4" s="3447" t="s">
        <v>2229</v>
      </c>
      <c r="J4" s="3459"/>
      <c r="K4" s="566" t="s">
        <v>2230</v>
      </c>
      <c r="L4" s="2891"/>
      <c r="M4" s="2892"/>
      <c r="N4" s="2892"/>
      <c r="O4" s="2892"/>
      <c r="P4" s="3462" t="s">
        <v>2231</v>
      </c>
      <c r="Q4" s="3463"/>
      <c r="R4" s="3468" t="s">
        <v>2227</v>
      </c>
      <c r="S4" s="3469"/>
      <c r="T4" s="3468" t="s">
        <v>2228</v>
      </c>
      <c r="U4" s="3469"/>
      <c r="V4" s="3455" t="s">
        <v>2229</v>
      </c>
      <c r="W4" s="3455"/>
      <c r="X4" s="1488"/>
      <c r="Y4" s="3468" t="s">
        <v>2231</v>
      </c>
      <c r="Z4" s="3469"/>
      <c r="AA4" s="3456" t="s">
        <v>2227</v>
      </c>
      <c r="AB4" s="3457" t="s">
        <v>2228</v>
      </c>
      <c r="AC4" s="3456" t="s">
        <v>2229</v>
      </c>
    </row>
    <row r="5" spans="1:29" ht="15">
      <c r="A5" s="363"/>
      <c r="B5" s="364"/>
      <c r="C5" s="3476" t="s">
        <v>2122</v>
      </c>
      <c r="D5" s="3477"/>
      <c r="E5" s="3483" t="s">
        <v>2123</v>
      </c>
      <c r="F5" s="3484"/>
      <c r="G5" s="3476" t="s">
        <v>2124</v>
      </c>
      <c r="H5" s="3477"/>
      <c r="I5" s="3476" t="s">
        <v>2125</v>
      </c>
      <c r="J5" s="3477"/>
      <c r="K5" s="566"/>
      <c r="L5" s="2891"/>
      <c r="M5" s="2892"/>
      <c r="N5" s="2892"/>
      <c r="O5" s="2892"/>
      <c r="P5" s="3464"/>
      <c r="Q5" s="3465"/>
      <c r="R5" s="3470"/>
      <c r="S5" s="3471"/>
      <c r="T5" s="3470"/>
      <c r="U5" s="3471"/>
      <c r="V5" s="3455"/>
      <c r="W5" s="3455"/>
      <c r="X5" s="1488"/>
      <c r="Y5" s="3470"/>
      <c r="Z5" s="3471"/>
      <c r="AA5" s="3457"/>
      <c r="AB5" s="3457"/>
      <c r="AC5" s="3457"/>
    </row>
    <row r="6" spans="1:29" ht="15.75" thickBot="1">
      <c r="A6" s="365"/>
      <c r="B6" s="366"/>
      <c r="C6" s="3474" t="s">
        <v>2126</v>
      </c>
      <c r="D6" s="3475"/>
      <c r="E6" s="3481" t="s">
        <v>2126</v>
      </c>
      <c r="F6" s="3482"/>
      <c r="G6" s="3474" t="s">
        <v>2126</v>
      </c>
      <c r="H6" s="3475"/>
      <c r="I6" s="3474" t="s">
        <v>2126</v>
      </c>
      <c r="J6" s="3475"/>
      <c r="K6" s="566" t="s">
        <v>2127</v>
      </c>
      <c r="L6" s="2891"/>
      <c r="M6" s="2892"/>
      <c r="N6" s="2892"/>
      <c r="O6" s="2892"/>
      <c r="P6" s="3466"/>
      <c r="Q6" s="3467"/>
      <c r="R6" s="3470"/>
      <c r="S6" s="3471"/>
      <c r="T6" s="3472"/>
      <c r="U6" s="3473"/>
      <c r="V6" s="3455"/>
      <c r="W6" s="3455"/>
      <c r="X6" s="1488"/>
      <c r="Y6" s="3472"/>
      <c r="Z6" s="3473"/>
      <c r="AA6" s="3458"/>
      <c r="AB6" s="3458"/>
      <c r="AC6" s="3458"/>
    </row>
    <row r="7" spans="1:29" s="113" customFormat="1" ht="15.75" thickBot="1">
      <c r="A7" s="367" t="s">
        <v>2128</v>
      </c>
      <c r="B7" s="368"/>
      <c r="C7" s="369">
        <f>'数据-取费表'!B2</f>
        <v>44781</v>
      </c>
      <c r="D7" s="370">
        <v>100</v>
      </c>
      <c r="E7" s="371"/>
      <c r="F7" s="372">
        <f>SUMIF(48:48,YEAR(E7)&amp;"-"&amp;MONTH(E7),49:49)</f>
        <v>0</v>
      </c>
      <c r="G7" s="371"/>
      <c r="H7" s="370">
        <f>SUMIF(48:48,YEAR(G7)&amp;"-"&amp;MONTH(G7),49:49)</f>
        <v>0</v>
      </c>
      <c r="I7" s="371"/>
      <c r="J7" s="370">
        <f>SUMIF(48:48,YEAR(I7)&amp;"-"&amp;MONTH(I7),49:49)</f>
        <v>0</v>
      </c>
      <c r="K7" s="567"/>
      <c r="L7" s="2893"/>
      <c r="M7" s="2894"/>
      <c r="N7" s="2894"/>
      <c r="O7" s="2894"/>
      <c r="P7" s="3478" t="s">
        <v>2129</v>
      </c>
      <c r="Q7" s="3480"/>
      <c r="R7" s="709" t="s">
        <v>17</v>
      </c>
      <c r="S7" s="710">
        <f t="shared" ref="S7:S14" si="0">F7</f>
        <v>0</v>
      </c>
      <c r="T7" s="709" t="s">
        <v>17</v>
      </c>
      <c r="U7" s="710">
        <f t="shared" ref="U7:U14" si="1">H7</f>
        <v>0</v>
      </c>
      <c r="V7" s="709" t="s">
        <v>17</v>
      </c>
      <c r="W7" s="710">
        <f t="shared" ref="W7:W14" si="2">J7</f>
        <v>0</v>
      </c>
      <c r="X7" s="711"/>
      <c r="Y7" s="3478" t="s">
        <v>2129</v>
      </c>
      <c r="Z7" s="3479"/>
      <c r="AA7" s="712" t="e">
        <f>D7/F7</f>
        <v>#DIV/0!</v>
      </c>
      <c r="AB7" s="712" t="e">
        <f>D7/H7</f>
        <v>#DIV/0!</v>
      </c>
      <c r="AC7" s="712" t="e">
        <f>D7/J7</f>
        <v>#DIV/0!</v>
      </c>
    </row>
    <row r="8" spans="1:29" s="113"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3"/>
      <c r="M8" s="2894"/>
      <c r="N8" s="2894"/>
      <c r="O8" s="2894"/>
      <c r="P8" s="3478" t="s">
        <v>2132</v>
      </c>
      <c r="Q8" s="3479"/>
      <c r="R8" s="709" t="s">
        <v>17</v>
      </c>
      <c r="S8" s="710">
        <f t="shared" si="0"/>
        <v>0</v>
      </c>
      <c r="T8" s="709" t="s">
        <v>17</v>
      </c>
      <c r="U8" s="710">
        <f t="shared" si="1"/>
        <v>0</v>
      </c>
      <c r="V8" s="709" t="s">
        <v>17</v>
      </c>
      <c r="W8" s="710">
        <f t="shared" si="2"/>
        <v>0</v>
      </c>
      <c r="X8" s="711"/>
      <c r="Y8" s="3478" t="s">
        <v>2132</v>
      </c>
      <c r="Z8" s="3479"/>
      <c r="AA8" s="712" t="e">
        <f t="shared" ref="AA8:AA36" si="3">D8/F8</f>
        <v>#DIV/0!</v>
      </c>
      <c r="AB8" s="712" t="e">
        <f t="shared" ref="AB8:AB36" si="4">D8/H8</f>
        <v>#DIV/0!</v>
      </c>
      <c r="AC8" s="712" t="e">
        <f t="shared" ref="AC8:AC36" si="5">D8/J8</f>
        <v>#DIV/0!</v>
      </c>
    </row>
    <row r="9" spans="1:29" s="113"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3"/>
      <c r="M9" s="2894"/>
      <c r="N9" s="2894"/>
      <c r="O9" s="2894"/>
      <c r="P9" s="3450" t="s">
        <v>2135</v>
      </c>
      <c r="Q9" s="1476" t="str">
        <f t="shared" ref="Q9:Q14" si="6">B9</f>
        <v>用途</v>
      </c>
      <c r="R9" s="709" t="s">
        <v>17</v>
      </c>
      <c r="S9" s="710">
        <f t="shared" si="0"/>
        <v>100</v>
      </c>
      <c r="T9" s="709" t="s">
        <v>17</v>
      </c>
      <c r="U9" s="710">
        <f t="shared" si="1"/>
        <v>100</v>
      </c>
      <c r="V9" s="709" t="s">
        <v>17</v>
      </c>
      <c r="W9" s="710">
        <f t="shared" si="2"/>
        <v>100</v>
      </c>
      <c r="X9" s="711"/>
      <c r="Y9" s="3344"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5"/>
      <c r="M10" s="2896"/>
      <c r="N10" s="2896"/>
      <c r="O10" s="2896"/>
      <c r="P10" s="3450"/>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7"/>
      <c r="M11" s="2892"/>
      <c r="N11" s="2892"/>
      <c r="O11" s="2892"/>
      <c r="P11" s="3450"/>
      <c r="Q11" s="1476">
        <f t="shared" si="6"/>
        <v>111</v>
      </c>
      <c r="R11" s="709" t="s">
        <v>17</v>
      </c>
      <c r="S11" s="710">
        <f t="shared" si="0"/>
        <v>100</v>
      </c>
      <c r="T11" s="709" t="s">
        <v>17</v>
      </c>
      <c r="U11" s="710">
        <f t="shared" si="1"/>
        <v>100</v>
      </c>
      <c r="V11" s="709" t="s">
        <v>17</v>
      </c>
      <c r="W11" s="710">
        <f t="shared" si="2"/>
        <v>100</v>
      </c>
      <c r="X11" s="711"/>
      <c r="Y11" s="334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3"/>
      <c r="M12" s="2894"/>
      <c r="N12" s="2894"/>
      <c r="O12" s="2894"/>
      <c r="P12" s="3450"/>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8"/>
      <c r="M13" s="2892"/>
      <c r="N13" s="2892"/>
      <c r="O13" s="2892"/>
      <c r="P13" s="3450"/>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712">
        <f t="shared" si="5"/>
        <v>1</v>
      </c>
    </row>
    <row r="14" spans="1:29" ht="85.5">
      <c r="A14" s="360" t="s">
        <v>2139</v>
      </c>
      <c r="B14" s="584" t="s">
        <v>2289</v>
      </c>
      <c r="C14" s="210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8"/>
      <c r="M14" s="2892"/>
      <c r="N14" s="2892"/>
      <c r="O14" s="2892"/>
      <c r="P14" s="3451" t="s">
        <v>2140</v>
      </c>
      <c r="Q14" s="1485" t="str">
        <f t="shared" si="6"/>
        <v>交通便捷度</v>
      </c>
      <c r="R14" s="713" t="s">
        <v>17</v>
      </c>
      <c r="S14" s="714">
        <f t="shared" si="0"/>
        <v>100</v>
      </c>
      <c r="T14" s="713" t="s">
        <v>17</v>
      </c>
      <c r="U14" s="714">
        <f t="shared" si="1"/>
        <v>100</v>
      </c>
      <c r="V14" s="713" t="s">
        <v>17</v>
      </c>
      <c r="W14" s="714">
        <f t="shared" si="2"/>
        <v>100</v>
      </c>
      <c r="X14" s="1488"/>
      <c r="Y14" s="3451" t="s">
        <v>2140</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8"/>
      <c r="M15" s="2892"/>
      <c r="N15" s="2892"/>
      <c r="O15" s="2892"/>
      <c r="P15" s="3452"/>
      <c r="Q15" s="1485"/>
      <c r="R15" s="713"/>
      <c r="S15" s="714"/>
      <c r="T15" s="713"/>
      <c r="U15" s="714"/>
      <c r="V15" s="713"/>
      <c r="W15" s="714"/>
      <c r="X15" s="1488"/>
      <c r="Y15" s="3452"/>
      <c r="Z15" s="1489"/>
      <c r="AA15" s="1486">
        <v>1</v>
      </c>
      <c r="AB15" s="1486">
        <v>1</v>
      </c>
      <c r="AC15" s="1486">
        <v>1</v>
      </c>
    </row>
    <row r="16" spans="1:29" ht="42.75">
      <c r="A16" s="363"/>
      <c r="B16" s="586" t="s">
        <v>2268</v>
      </c>
      <c r="C16" s="203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8"/>
      <c r="M16" s="2892"/>
      <c r="N16" s="2892"/>
      <c r="O16" s="2892"/>
      <c r="P16" s="3452"/>
      <c r="Q16" s="1485" t="str">
        <f>B16</f>
        <v>公共配套设施</v>
      </c>
      <c r="R16" s="713" t="s">
        <v>17</v>
      </c>
      <c r="S16" s="714">
        <f>F16</f>
        <v>100</v>
      </c>
      <c r="T16" s="713" t="s">
        <v>17</v>
      </c>
      <c r="U16" s="714">
        <f>H16</f>
        <v>100</v>
      </c>
      <c r="V16" s="713" t="s">
        <v>17</v>
      </c>
      <c r="W16" s="714">
        <f>J16</f>
        <v>100</v>
      </c>
      <c r="X16" s="1488"/>
      <c r="Y16" s="3452"/>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8"/>
      <c r="M17" s="2892"/>
      <c r="N17" s="2892"/>
      <c r="O17" s="2892"/>
      <c r="P17" s="3452"/>
      <c r="Q17" s="1485"/>
      <c r="R17" s="713"/>
      <c r="S17" s="714"/>
      <c r="T17" s="713"/>
      <c r="U17" s="714"/>
      <c r="V17" s="713"/>
      <c r="W17" s="714"/>
      <c r="X17" s="1488"/>
      <c r="Y17" s="3452"/>
      <c r="Z17" s="1489"/>
      <c r="AA17" s="1486">
        <v>1</v>
      </c>
      <c r="AB17" s="1486">
        <v>1</v>
      </c>
      <c r="AC17" s="1486">
        <v>1</v>
      </c>
    </row>
    <row r="18" spans="1:29" ht="28.5">
      <c r="A18" s="363"/>
      <c r="B18" s="588" t="s">
        <v>2269</v>
      </c>
      <c r="C18" s="203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8"/>
      <c r="M18" s="2892"/>
      <c r="N18" s="2892"/>
      <c r="O18" s="2892"/>
      <c r="P18" s="3452"/>
      <c r="Q18" s="1485" t="str">
        <f>B18</f>
        <v>基础设施水平</v>
      </c>
      <c r="R18" s="713" t="s">
        <v>17</v>
      </c>
      <c r="S18" s="714">
        <f>F18</f>
        <v>100</v>
      </c>
      <c r="T18" s="713" t="s">
        <v>17</v>
      </c>
      <c r="U18" s="714">
        <f>H18</f>
        <v>100</v>
      </c>
      <c r="V18" s="713" t="s">
        <v>17</v>
      </c>
      <c r="W18" s="714">
        <f>J18</f>
        <v>100</v>
      </c>
      <c r="X18" s="1488"/>
      <c r="Y18" s="3452"/>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8"/>
      <c r="M19" s="2892"/>
      <c r="N19" s="2892"/>
      <c r="O19" s="2892"/>
      <c r="P19" s="3452"/>
      <c r="Q19" s="1485"/>
      <c r="R19" s="713"/>
      <c r="S19" s="714"/>
      <c r="T19" s="713"/>
      <c r="U19" s="714"/>
      <c r="V19" s="713"/>
      <c r="W19" s="714"/>
      <c r="X19" s="1488"/>
      <c r="Y19" s="3452"/>
      <c r="Z19" s="1489"/>
      <c r="AA19" s="1486">
        <v>1</v>
      </c>
      <c r="AB19" s="1486">
        <v>1</v>
      </c>
      <c r="AC19" s="1486">
        <v>1</v>
      </c>
    </row>
    <row r="20" spans="1:29" ht="57">
      <c r="A20" s="363"/>
      <c r="B20" s="586" t="s">
        <v>2290</v>
      </c>
      <c r="C20" s="203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8"/>
      <c r="M20" s="2892"/>
      <c r="N20" s="2892"/>
      <c r="O20" s="2892"/>
      <c r="P20" s="3452"/>
      <c r="Q20" s="1485" t="str">
        <f>B20</f>
        <v>自然及人文环境</v>
      </c>
      <c r="R20" s="713" t="s">
        <v>17</v>
      </c>
      <c r="S20" s="714">
        <f>F20</f>
        <v>100</v>
      </c>
      <c r="T20" s="713" t="s">
        <v>17</v>
      </c>
      <c r="U20" s="714">
        <f>H20</f>
        <v>100</v>
      </c>
      <c r="V20" s="713" t="s">
        <v>17</v>
      </c>
      <c r="W20" s="714">
        <f>J20</f>
        <v>100</v>
      </c>
      <c r="X20" s="1488"/>
      <c r="Y20" s="3452"/>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8"/>
      <c r="M21" s="2892"/>
      <c r="N21" s="2892"/>
      <c r="O21" s="2892"/>
      <c r="P21" s="3452"/>
      <c r="Q21" s="1485"/>
      <c r="R21" s="713"/>
      <c r="S21" s="714"/>
      <c r="T21" s="713"/>
      <c r="U21" s="714"/>
      <c r="V21" s="713"/>
      <c r="W21" s="714"/>
      <c r="X21" s="1488"/>
      <c r="Y21" s="3452"/>
      <c r="Z21" s="1489"/>
      <c r="AA21" s="1486">
        <v>1</v>
      </c>
      <c r="AB21" s="1486">
        <v>1</v>
      </c>
      <c r="AC21" s="1486">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8"/>
      <c r="M22" s="2892"/>
      <c r="N22" s="2892"/>
      <c r="O22" s="2892"/>
      <c r="P22" s="3452"/>
      <c r="Q22" s="1485" t="str">
        <f>B22</f>
        <v>楼层</v>
      </c>
      <c r="R22" s="713" t="s">
        <v>17</v>
      </c>
      <c r="S22" s="714">
        <f>F22</f>
        <v>100</v>
      </c>
      <c r="T22" s="713" t="s">
        <v>17</v>
      </c>
      <c r="U22" s="714">
        <f>H22</f>
        <v>100</v>
      </c>
      <c r="V22" s="713" t="s">
        <v>17</v>
      </c>
      <c r="W22" s="714">
        <f>J22</f>
        <v>100</v>
      </c>
      <c r="X22" s="1488"/>
      <c r="Y22" s="3452"/>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8"/>
      <c r="M23" s="2892"/>
      <c r="N23" s="2892"/>
      <c r="O23" s="2892"/>
      <c r="P23" s="3452"/>
      <c r="Q23" s="1485">
        <f>B23</f>
        <v>111</v>
      </c>
      <c r="R23" s="713" t="s">
        <v>17</v>
      </c>
      <c r="S23" s="714">
        <f>F23</f>
        <v>100</v>
      </c>
      <c r="T23" s="713" t="s">
        <v>17</v>
      </c>
      <c r="U23" s="714">
        <f>H23</f>
        <v>100</v>
      </c>
      <c r="V23" s="713" t="s">
        <v>17</v>
      </c>
      <c r="W23" s="714">
        <f>J23</f>
        <v>100</v>
      </c>
      <c r="X23" s="1488"/>
      <c r="Y23" s="3452"/>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8"/>
      <c r="M24" s="2892"/>
      <c r="N24" s="2892"/>
      <c r="O24" s="2892"/>
      <c r="P24" s="3452"/>
      <c r="Q24" s="1485">
        <f t="shared" ref="Q24:Q36" si="11">B24</f>
        <v>111</v>
      </c>
      <c r="R24" s="713" t="s">
        <v>17</v>
      </c>
      <c r="S24" s="714">
        <f>F24</f>
        <v>100</v>
      </c>
      <c r="T24" s="713" t="s">
        <v>17</v>
      </c>
      <c r="U24" s="714">
        <f>H24</f>
        <v>100</v>
      </c>
      <c r="V24" s="713" t="s">
        <v>17</v>
      </c>
      <c r="W24" s="714">
        <f>J24</f>
        <v>100</v>
      </c>
      <c r="X24" s="1488"/>
      <c r="Y24" s="3452"/>
      <c r="Z24" s="1489">
        <f>Q24</f>
        <v>111</v>
      </c>
      <c r="AA24" s="1486">
        <f t="shared" si="3"/>
        <v>1</v>
      </c>
      <c r="AB24" s="1486">
        <f t="shared" si="4"/>
        <v>1</v>
      </c>
      <c r="AC24" s="148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3"/>
      <c r="M25" s="2894"/>
      <c r="N25" s="2894"/>
      <c r="O25" s="2894"/>
      <c r="P25" s="3452"/>
      <c r="Q25" s="1476">
        <f t="shared" si="11"/>
        <v>111</v>
      </c>
      <c r="R25" s="709" t="s">
        <v>17</v>
      </c>
      <c r="S25" s="710">
        <f>F25</f>
        <v>100</v>
      </c>
      <c r="T25" s="709" t="s">
        <v>17</v>
      </c>
      <c r="U25" s="710">
        <f>H25</f>
        <v>100</v>
      </c>
      <c r="V25" s="709" t="s">
        <v>17</v>
      </c>
      <c r="W25" s="710">
        <f>J25</f>
        <v>100</v>
      </c>
      <c r="X25" s="711"/>
      <c r="Y25" s="3452"/>
      <c r="Z25" s="55">
        <f>Q25</f>
        <v>111</v>
      </c>
      <c r="AA25" s="1486">
        <f>D25/F25</f>
        <v>1</v>
      </c>
      <c r="AB25" s="1486">
        <f>D25/H25</f>
        <v>1</v>
      </c>
      <c r="AC25" s="1486">
        <f>D25/J25</f>
        <v>1</v>
      </c>
    </row>
    <row r="26" spans="1:29" ht="28.5">
      <c r="A26" s="607" t="s">
        <v>2143</v>
      </c>
      <c r="B26" s="66"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8"/>
      <c r="M26" s="2892"/>
      <c r="N26" s="2892"/>
      <c r="O26" s="2892"/>
      <c r="P26" s="3453"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54" t="s">
        <v>2145</v>
      </c>
      <c r="Z26" s="1489" t="str">
        <f t="shared" ref="Z26:Z36" si="15">Q26</f>
        <v>配套类型</v>
      </c>
      <c r="AA26" s="1486">
        <f t="shared" si="3"/>
        <v>1</v>
      </c>
      <c r="AB26" s="1486">
        <f t="shared" si="4"/>
        <v>1</v>
      </c>
      <c r="AC26" s="1486">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7"/>
      <c r="M27" s="2899"/>
      <c r="N27" s="2899"/>
      <c r="O27" s="2899"/>
      <c r="P27" s="3454"/>
      <c r="Q27" s="715" t="str">
        <f t="shared" si="11"/>
        <v>项目停车位配比</v>
      </c>
      <c r="R27" s="716" t="s">
        <v>17</v>
      </c>
      <c r="S27" s="717">
        <f t="shared" si="12"/>
        <v>100</v>
      </c>
      <c r="T27" s="716" t="s">
        <v>17</v>
      </c>
      <c r="U27" s="717">
        <f t="shared" si="13"/>
        <v>100</v>
      </c>
      <c r="V27" s="716" t="s">
        <v>17</v>
      </c>
      <c r="W27" s="717">
        <f t="shared" si="14"/>
        <v>100</v>
      </c>
      <c r="X27" s="718"/>
      <c r="Y27" s="3454"/>
      <c r="Z27" s="719" t="str">
        <f t="shared" si="15"/>
        <v>项目停车位配比</v>
      </c>
      <c r="AA27" s="1486">
        <f t="shared" si="3"/>
        <v>1</v>
      </c>
      <c r="AB27" s="1486">
        <f t="shared" si="4"/>
        <v>1</v>
      </c>
      <c r="AC27" s="1486">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8"/>
      <c r="M28" s="2892"/>
      <c r="N28" s="2892"/>
      <c r="O28" s="2892"/>
      <c r="P28" s="3454"/>
      <c r="Q28" s="1485" t="str">
        <f t="shared" si="11"/>
        <v>公共部分装修</v>
      </c>
      <c r="R28" s="713" t="s">
        <v>17</v>
      </c>
      <c r="S28" s="714">
        <f t="shared" si="12"/>
        <v>100</v>
      </c>
      <c r="T28" s="713" t="s">
        <v>17</v>
      </c>
      <c r="U28" s="714">
        <f t="shared" si="13"/>
        <v>100</v>
      </c>
      <c r="V28" s="713" t="s">
        <v>17</v>
      </c>
      <c r="W28" s="714">
        <f t="shared" si="14"/>
        <v>100</v>
      </c>
      <c r="X28" s="1488"/>
      <c r="Y28" s="3454"/>
      <c r="Z28" s="1489" t="str">
        <f t="shared" si="15"/>
        <v>公共部分装修</v>
      </c>
      <c r="AA28" s="1486">
        <f t="shared" si="3"/>
        <v>1</v>
      </c>
      <c r="AB28" s="1486">
        <f t="shared" si="4"/>
        <v>1</v>
      </c>
      <c r="AC28" s="1486">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8"/>
      <c r="M29" s="2892"/>
      <c r="N29" s="2892"/>
      <c r="O29" s="2892"/>
      <c r="P29" s="3454"/>
      <c r="Q29" s="1485" t="str">
        <f t="shared" si="11"/>
        <v>成新率</v>
      </c>
      <c r="R29" s="713" t="s">
        <v>17</v>
      </c>
      <c r="S29" s="714" t="e">
        <f t="shared" si="12"/>
        <v>#N/A</v>
      </c>
      <c r="T29" s="713" t="s">
        <v>17</v>
      </c>
      <c r="U29" s="714" t="e">
        <f t="shared" si="13"/>
        <v>#N/A</v>
      </c>
      <c r="V29" s="713" t="s">
        <v>17</v>
      </c>
      <c r="W29" s="714" t="e">
        <f t="shared" si="14"/>
        <v>#N/A</v>
      </c>
      <c r="X29" s="1488"/>
      <c r="Y29" s="3454"/>
      <c r="Z29" s="1489" t="str">
        <f t="shared" si="15"/>
        <v>成新率</v>
      </c>
      <c r="AA29" s="1486" t="e">
        <f t="shared" si="3"/>
        <v>#N/A</v>
      </c>
      <c r="AB29" s="1486" t="e">
        <f t="shared" si="4"/>
        <v>#N/A</v>
      </c>
      <c r="AC29" s="1486"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8"/>
      <c r="M30" s="2892"/>
      <c r="N30" s="2892"/>
      <c r="O30" s="2892"/>
      <c r="P30" s="3454"/>
      <c r="Q30" s="1485" t="str">
        <f t="shared" si="11"/>
        <v>物业等级</v>
      </c>
      <c r="R30" s="713" t="s">
        <v>17</v>
      </c>
      <c r="S30" s="714">
        <f t="shared" si="12"/>
        <v>100</v>
      </c>
      <c r="T30" s="713" t="s">
        <v>17</v>
      </c>
      <c r="U30" s="714">
        <f t="shared" si="13"/>
        <v>100</v>
      </c>
      <c r="V30" s="713" t="s">
        <v>17</v>
      </c>
      <c r="W30" s="714">
        <f t="shared" si="14"/>
        <v>100</v>
      </c>
      <c r="X30" s="1488"/>
      <c r="Y30" s="3454"/>
      <c r="Z30" s="1489" t="str">
        <f t="shared" si="15"/>
        <v>物业等级</v>
      </c>
      <c r="AA30" s="1486">
        <f t="shared" si="3"/>
        <v>1</v>
      </c>
      <c r="AB30" s="1486">
        <f t="shared" si="4"/>
        <v>1</v>
      </c>
      <c r="AC30" s="1486">
        <f t="shared" si="5"/>
        <v>1</v>
      </c>
    </row>
    <row r="31" spans="1:29" s="113"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3"/>
      <c r="M31" s="2894"/>
      <c r="N31" s="2894"/>
      <c r="O31" s="2894"/>
      <c r="P31" s="3454"/>
      <c r="Q31" s="1476" t="str">
        <f t="shared" si="11"/>
        <v>停车位面积</v>
      </c>
      <c r="R31" s="709" t="s">
        <v>17</v>
      </c>
      <c r="S31" s="710" t="e">
        <f t="shared" si="12"/>
        <v>#N/A</v>
      </c>
      <c r="T31" s="709" t="s">
        <v>17</v>
      </c>
      <c r="U31" s="710" t="e">
        <f t="shared" si="13"/>
        <v>#N/A</v>
      </c>
      <c r="V31" s="709" t="s">
        <v>17</v>
      </c>
      <c r="W31" s="710" t="e">
        <f t="shared" si="14"/>
        <v>#N/A</v>
      </c>
      <c r="X31" s="711"/>
      <c r="Y31" s="3454"/>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8"/>
      <c r="M32" s="2892"/>
      <c r="N32" s="2892"/>
      <c r="O32" s="2892"/>
      <c r="P32" s="3454" t="s">
        <v>2145</v>
      </c>
      <c r="Q32" s="1485" t="str">
        <f t="shared" si="11"/>
        <v>车位类型</v>
      </c>
      <c r="R32" s="713" t="s">
        <v>17</v>
      </c>
      <c r="S32" s="714">
        <f t="shared" si="12"/>
        <v>100</v>
      </c>
      <c r="T32" s="713" t="s">
        <v>17</v>
      </c>
      <c r="U32" s="714">
        <f t="shared" si="13"/>
        <v>100</v>
      </c>
      <c r="V32" s="713" t="s">
        <v>17</v>
      </c>
      <c r="W32" s="714">
        <f t="shared" si="14"/>
        <v>100</v>
      </c>
      <c r="X32" s="1488"/>
      <c r="Y32" s="3454" t="s">
        <v>2145</v>
      </c>
      <c r="Z32" s="1489" t="str">
        <f t="shared" si="15"/>
        <v>车位类型</v>
      </c>
      <c r="AA32" s="1486">
        <f t="shared" si="3"/>
        <v>1</v>
      </c>
      <c r="AB32" s="1486">
        <f t="shared" si="4"/>
        <v>1</v>
      </c>
      <c r="AC32" s="1486">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8"/>
      <c r="M33" s="2892"/>
      <c r="N33" s="2892"/>
      <c r="O33" s="2892"/>
      <c r="P33" s="3454"/>
      <c r="Q33" s="1485" t="str">
        <f t="shared" si="11"/>
        <v>是否直接入户</v>
      </c>
      <c r="R33" s="713" t="s">
        <v>17</v>
      </c>
      <c r="S33" s="714">
        <f t="shared" si="12"/>
        <v>100</v>
      </c>
      <c r="T33" s="713" t="s">
        <v>17</v>
      </c>
      <c r="U33" s="714">
        <f t="shared" si="13"/>
        <v>100</v>
      </c>
      <c r="V33" s="713" t="s">
        <v>17</v>
      </c>
      <c r="W33" s="714">
        <f t="shared" si="14"/>
        <v>100</v>
      </c>
      <c r="X33" s="1488"/>
      <c r="Y33" s="3454"/>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8"/>
      <c r="M34" s="2892"/>
      <c r="N34" s="2892"/>
      <c r="O34" s="2892"/>
      <c r="P34" s="3454"/>
      <c r="Q34" s="1485">
        <f t="shared" si="11"/>
        <v>111</v>
      </c>
      <c r="R34" s="713" t="s">
        <v>17</v>
      </c>
      <c r="S34" s="714">
        <f t="shared" si="12"/>
        <v>100</v>
      </c>
      <c r="T34" s="713" t="s">
        <v>17</v>
      </c>
      <c r="U34" s="714">
        <f t="shared" si="13"/>
        <v>100</v>
      </c>
      <c r="V34" s="713" t="s">
        <v>17</v>
      </c>
      <c r="W34" s="714">
        <f t="shared" si="14"/>
        <v>100</v>
      </c>
      <c r="X34" s="1488"/>
      <c r="Y34" s="3454"/>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7"/>
      <c r="M35" s="2899"/>
      <c r="N35" s="2899"/>
      <c r="O35" s="2899"/>
      <c r="P35" s="3454"/>
      <c r="Q35" s="715">
        <f t="shared" si="11"/>
        <v>111</v>
      </c>
      <c r="R35" s="716" t="s">
        <v>17</v>
      </c>
      <c r="S35" s="717">
        <f t="shared" si="12"/>
        <v>100</v>
      </c>
      <c r="T35" s="716" t="s">
        <v>17</v>
      </c>
      <c r="U35" s="717">
        <f t="shared" si="13"/>
        <v>100</v>
      </c>
      <c r="V35" s="716" t="s">
        <v>17</v>
      </c>
      <c r="W35" s="717">
        <f t="shared" si="14"/>
        <v>100</v>
      </c>
      <c r="X35" s="718"/>
      <c r="Y35" s="3454"/>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8"/>
      <c r="M36" s="2892"/>
      <c r="N36" s="2892"/>
      <c r="O36" s="2892"/>
      <c r="P36" s="3454"/>
      <c r="Q36" s="1485">
        <f t="shared" si="11"/>
        <v>111</v>
      </c>
      <c r="R36" s="713" t="s">
        <v>17</v>
      </c>
      <c r="S36" s="714">
        <f t="shared" si="12"/>
        <v>100</v>
      </c>
      <c r="T36" s="713" t="s">
        <v>17</v>
      </c>
      <c r="U36" s="714">
        <f t="shared" si="13"/>
        <v>100</v>
      </c>
      <c r="V36" s="713" t="s">
        <v>17</v>
      </c>
      <c r="W36" s="714">
        <f t="shared" si="14"/>
        <v>100</v>
      </c>
      <c r="X36" s="1488"/>
      <c r="Y36" s="3454"/>
      <c r="Z36" s="1489">
        <f t="shared" si="15"/>
        <v>111</v>
      </c>
      <c r="AA36" s="1486">
        <f t="shared" si="3"/>
        <v>1</v>
      </c>
      <c r="AB36" s="1486">
        <f t="shared" si="4"/>
        <v>1</v>
      </c>
      <c r="AC36" s="1486">
        <f t="shared" si="5"/>
        <v>1</v>
      </c>
    </row>
    <row r="37" spans="1:29" ht="15">
      <c r="A37" s="437" t="s">
        <v>2300</v>
      </c>
      <c r="B37" s="2108" t="s">
        <v>2301</v>
      </c>
      <c r="C37" s="1268" t="s">
        <v>1</v>
      </c>
      <c r="D37" s="1269"/>
      <c r="E37" s="1270"/>
      <c r="F37" s="1271"/>
      <c r="G37" s="1272"/>
      <c r="H37" s="1273"/>
      <c r="I37" s="1270"/>
      <c r="J37" s="1273"/>
      <c r="K37" s="575"/>
      <c r="L37" s="2900"/>
      <c r="M37" s="2901"/>
      <c r="N37" s="2892"/>
      <c r="O37" s="2901"/>
      <c r="P37" s="3450" t="str">
        <f>A37</f>
        <v>成交单价</v>
      </c>
      <c r="Q37" s="3450"/>
      <c r="R37" s="3516">
        <f>E37</f>
        <v>0</v>
      </c>
      <c r="S37" s="3516"/>
      <c r="T37" s="3516">
        <f>G37</f>
        <v>0</v>
      </c>
      <c r="U37" s="3516"/>
      <c r="V37" s="3516">
        <f>I37</f>
        <v>0</v>
      </c>
      <c r="W37" s="3516"/>
      <c r="X37" s="698"/>
      <c r="Y37" s="720"/>
      <c r="Z37" s="698"/>
      <c r="AA37" s="698"/>
      <c r="AB37" s="698"/>
      <c r="AC37" s="698"/>
    </row>
    <row r="38" spans="1:29" ht="15.75" thickBot="1">
      <c r="A38" s="444" t="s">
        <v>2302</v>
      </c>
      <c r="B38" s="445" t="str">
        <f>B37</f>
        <v>元/车位</v>
      </c>
      <c r="C38" s="1274" t="e">
        <f>R39</f>
        <v>#DIV/0!</v>
      </c>
      <c r="D38" s="2486" t="s">
        <v>2637</v>
      </c>
      <c r="E38" s="1275" t="e">
        <f>R38</f>
        <v>#DIV/0!</v>
      </c>
      <c r="F38" s="2487"/>
      <c r="G38" s="1274" t="e">
        <f>T38</f>
        <v>#DIV/0!</v>
      </c>
      <c r="H38" s="2487"/>
      <c r="I38" s="1275" t="e">
        <f>V38</f>
        <v>#DIV/0!</v>
      </c>
      <c r="J38" s="2487"/>
      <c r="K38" s="2489">
        <f>F38+H38+J38</f>
        <v>0</v>
      </c>
      <c r="L38" s="2900"/>
      <c r="M38" s="2901"/>
      <c r="N38" s="2901"/>
      <c r="O38" s="2901"/>
      <c r="P38" s="3450" t="str">
        <f>A38</f>
        <v>比较价值（元/平方米）</v>
      </c>
      <c r="Q38" s="3450"/>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0"/>
      <c r="M39" s="2901"/>
      <c r="N39" s="2901"/>
      <c r="O39" s="2901"/>
      <c r="P39" s="3444" t="str">
        <f>A39</f>
        <v>估价对象XX用房的比较价值（楼面单价，元/平方米）</v>
      </c>
      <c r="Q39" s="3445"/>
      <c r="R39" s="3538" t="e">
        <f>IF(F1="售价",ROUND(IF(D38="简单平均",AVERAGE(R38:W38),R38*F38+T38*H38+V38*J38),0),ROUND(IF(D38="简单平均",AVERAGE(R38:V38),R38*F38+T38*H38+V38*J38),1))</f>
        <v>#DIV/0!</v>
      </c>
      <c r="S39" s="3538"/>
      <c r="T39" s="3538"/>
      <c r="U39" s="3538"/>
      <c r="V39" s="3538"/>
      <c r="W39" s="3538"/>
      <c r="X39" s="698"/>
      <c r="Y39" s="698"/>
      <c r="Z39" s="698"/>
      <c r="AA39" s="698"/>
      <c r="AB39" s="698"/>
      <c r="AC39" s="698"/>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8" customFormat="1" ht="13.5" customHeight="1">
      <c r="A44" s="2904"/>
      <c r="B44" s="2904"/>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8"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0" t="s">
        <v>2307</v>
      </c>
      <c r="B47" s="1038"/>
      <c r="C47" s="1051"/>
      <c r="D47" s="1051"/>
      <c r="E47" s="1051"/>
      <c r="F47" s="1281"/>
      <c r="G47" s="1281"/>
      <c r="H47" s="1051"/>
      <c r="I47" s="1051"/>
      <c r="J47" s="1051"/>
      <c r="K47" s="1052"/>
      <c r="L47" s="1053"/>
      <c r="M47" s="1051"/>
      <c r="N47" s="2945"/>
      <c r="O47" s="2945"/>
      <c r="P47" s="2934"/>
      <c r="Q47" s="2915"/>
      <c r="R47" s="2901"/>
      <c r="S47" s="2901"/>
      <c r="T47" s="2901"/>
      <c r="U47" s="2901"/>
      <c r="V47" s="2901"/>
      <c r="W47" s="2901"/>
      <c r="X47" s="2901"/>
      <c r="Y47" s="2901"/>
      <c r="Z47" s="2901"/>
      <c r="AA47" s="2901"/>
      <c r="AB47" s="2901"/>
      <c r="AC47" s="2901"/>
    </row>
    <row r="48" spans="1:29" s="464" customFormat="1" ht="15">
      <c r="A48" s="461" t="s">
        <v>2308</v>
      </c>
      <c r="B48" s="462"/>
      <c r="C48" s="1297" t="str">
        <f>YEAR(C7)&amp;"-"&amp;MONTH(C7)</f>
        <v>2022-8</v>
      </c>
      <c r="D48" s="1298">
        <f>EDATE(C48,-1)</f>
        <v>44743</v>
      </c>
      <c r="E48" s="1298">
        <f t="shared" ref="E48:O48" si="16">EDATE(D48,-1)</f>
        <v>44713</v>
      </c>
      <c r="F48" s="1298">
        <f t="shared" si="16"/>
        <v>44682</v>
      </c>
      <c r="G48" s="1298">
        <f t="shared" si="16"/>
        <v>44652</v>
      </c>
      <c r="H48" s="1298">
        <f t="shared" si="16"/>
        <v>44621</v>
      </c>
      <c r="I48" s="1298">
        <f t="shared" si="16"/>
        <v>44593</v>
      </c>
      <c r="J48" s="1298">
        <f t="shared" si="16"/>
        <v>44562</v>
      </c>
      <c r="K48" s="1298">
        <f t="shared" si="16"/>
        <v>44531</v>
      </c>
      <c r="L48" s="1298">
        <f t="shared" si="16"/>
        <v>44501</v>
      </c>
      <c r="M48" s="1298">
        <f t="shared" si="16"/>
        <v>44470</v>
      </c>
      <c r="N48" s="1298">
        <f t="shared" si="16"/>
        <v>44440</v>
      </c>
      <c r="O48" s="1298">
        <f t="shared" si="16"/>
        <v>44409</v>
      </c>
      <c r="P48" s="2935"/>
      <c r="Q48" s="2917"/>
      <c r="R48" s="2917"/>
      <c r="S48" s="2917"/>
      <c r="T48" s="2917"/>
      <c r="U48" s="2917"/>
      <c r="V48" s="2917"/>
      <c r="W48" s="2917"/>
      <c r="X48" s="2917"/>
      <c r="Y48" s="2917"/>
      <c r="Z48" s="2917"/>
      <c r="AA48" s="2917"/>
      <c r="AB48" s="2917"/>
      <c r="AC48" s="2917"/>
    </row>
    <row r="49" spans="1:29" s="113" customFormat="1" ht="15">
      <c r="A49" s="465"/>
      <c r="B49" s="466"/>
      <c r="C49" s="1291">
        <v>100</v>
      </c>
      <c r="D49" s="468"/>
      <c r="E49" s="468"/>
      <c r="F49" s="468"/>
      <c r="G49" s="468"/>
      <c r="H49" s="468"/>
      <c r="I49" s="468"/>
      <c r="J49" s="468"/>
      <c r="K49" s="468"/>
      <c r="L49" s="468"/>
      <c r="M49" s="469"/>
      <c r="N49" s="468"/>
      <c r="O49" s="469"/>
      <c r="P49" s="2936"/>
      <c r="Q49" s="2835"/>
      <c r="R49" s="2835"/>
      <c r="S49" s="2835"/>
      <c r="T49" s="2835"/>
      <c r="U49" s="2835"/>
      <c r="V49" s="2835"/>
      <c r="W49" s="2835"/>
      <c r="X49" s="2835"/>
      <c r="Y49" s="2835"/>
      <c r="Z49" s="2835"/>
      <c r="AA49" s="2835"/>
      <c r="AB49" s="2835"/>
      <c r="AC49" s="2835"/>
    </row>
    <row r="50" spans="1:29" s="113" customFormat="1" ht="15.75" thickBot="1">
      <c r="A50" s="471" t="s">
        <v>2165</v>
      </c>
      <c r="B50" s="472"/>
      <c r="C50" s="473"/>
      <c r="D50" s="474"/>
      <c r="E50" s="474"/>
      <c r="F50" s="474"/>
      <c r="G50" s="474"/>
      <c r="H50" s="474"/>
      <c r="I50" s="474"/>
      <c r="J50" s="474"/>
      <c r="K50" s="474"/>
      <c r="L50" s="474"/>
      <c r="M50" s="475"/>
      <c r="N50" s="474"/>
      <c r="O50" s="475"/>
      <c r="P50" s="2936"/>
      <c r="Q50" s="2915"/>
      <c r="R50" s="2835"/>
      <c r="S50" s="2835"/>
      <c r="T50" s="2835"/>
      <c r="U50" s="2835"/>
      <c r="V50" s="2835"/>
      <c r="W50" s="2835"/>
      <c r="X50" s="2835"/>
      <c r="Y50" s="2835"/>
      <c r="Z50" s="2835"/>
      <c r="AA50" s="2835"/>
      <c r="AB50" s="2835"/>
      <c r="AC50" s="2835"/>
    </row>
    <row r="51" spans="1:29" s="113" customFormat="1" ht="15">
      <c r="A51" s="477" t="s">
        <v>2130</v>
      </c>
      <c r="B51" s="466"/>
      <c r="C51" s="478" t="s">
        <v>2232</v>
      </c>
      <c r="D51" s="479"/>
      <c r="E51" s="479"/>
      <c r="F51" s="479"/>
      <c r="G51" s="479"/>
      <c r="H51" s="479"/>
      <c r="I51" s="479"/>
      <c r="J51" s="479"/>
      <c r="K51" s="479"/>
      <c r="L51" s="480"/>
      <c r="M51" s="481"/>
      <c r="N51" s="2928"/>
      <c r="O51" s="2928"/>
      <c r="P51" s="2937"/>
      <c r="Q51" s="2915"/>
      <c r="R51" s="2835"/>
      <c r="S51" s="2835"/>
      <c r="T51" s="2835"/>
      <c r="U51" s="2835"/>
      <c r="V51" s="2835"/>
      <c r="W51" s="2835"/>
      <c r="X51" s="2835"/>
      <c r="Y51" s="2835"/>
      <c r="Z51" s="2835"/>
      <c r="AA51" s="2835"/>
      <c r="AB51" s="2835"/>
      <c r="AC51" s="2835"/>
    </row>
    <row r="52" spans="1:29" s="113" customFormat="1" ht="15.75" thickBot="1">
      <c r="A52" s="477"/>
      <c r="B52" s="466"/>
      <c r="C52" s="594">
        <v>100</v>
      </c>
      <c r="D52" s="468"/>
      <c r="E52" s="468"/>
      <c r="F52" s="468"/>
      <c r="G52" s="468"/>
      <c r="H52" s="468"/>
      <c r="I52" s="468"/>
      <c r="J52" s="468"/>
      <c r="K52" s="468"/>
      <c r="L52" s="468"/>
      <c r="M52" s="470"/>
      <c r="N52" s="2928"/>
      <c r="O52" s="2928"/>
      <c r="P52" s="2936"/>
      <c r="Q52" s="2915"/>
      <c r="R52" s="2835"/>
      <c r="S52" s="2835"/>
      <c r="T52" s="2835"/>
      <c r="U52" s="2835"/>
      <c r="V52" s="2835"/>
      <c r="W52" s="2835"/>
      <c r="X52" s="2835"/>
      <c r="Y52" s="2835"/>
      <c r="Z52" s="2835"/>
      <c r="AA52" s="2835"/>
      <c r="AB52" s="2835"/>
      <c r="AC52" s="2835"/>
    </row>
    <row r="53" spans="1:29">
      <c r="A53" s="483" t="s">
        <v>2168</v>
      </c>
      <c r="B53" s="484" t="s">
        <v>2134</v>
      </c>
      <c r="C53" s="485">
        <f>C9</f>
        <v>0</v>
      </c>
      <c r="D53" s="486"/>
      <c r="E53" s="486"/>
      <c r="F53" s="486"/>
      <c r="G53" s="486"/>
      <c r="H53" s="486"/>
      <c r="I53" s="486"/>
      <c r="J53" s="486"/>
      <c r="K53" s="487"/>
      <c r="L53" s="488"/>
      <c r="M53" s="489"/>
      <c r="N53" s="2929"/>
      <c r="O53" s="2929"/>
      <c r="P53" s="2938"/>
      <c r="Q53" s="2915"/>
      <c r="R53" s="2901"/>
      <c r="S53" s="2901"/>
      <c r="T53" s="2901"/>
      <c r="U53" s="2901"/>
      <c r="V53" s="2901"/>
      <c r="W53" s="2901"/>
      <c r="X53" s="2901"/>
      <c r="Y53" s="2901"/>
      <c r="Z53" s="2901"/>
      <c r="AA53" s="2901"/>
      <c r="AB53" s="2901"/>
      <c r="AC53" s="2901"/>
    </row>
    <row r="54" spans="1:29" ht="15.75" thickBot="1">
      <c r="A54" s="490"/>
      <c r="B54" s="491"/>
      <c r="C54" s="492">
        <v>100</v>
      </c>
      <c r="D54" s="492"/>
      <c r="E54" s="492"/>
      <c r="F54" s="492"/>
      <c r="G54" s="492"/>
      <c r="H54" s="492"/>
      <c r="I54" s="492"/>
      <c r="J54" s="492"/>
      <c r="K54" s="492"/>
      <c r="L54" s="492"/>
      <c r="M54" s="493"/>
      <c r="N54" s="2930"/>
      <c r="O54" s="2930"/>
      <c r="P54" s="2938"/>
      <c r="Q54" s="2915"/>
      <c r="R54" s="2901"/>
      <c r="S54" s="2901"/>
      <c r="T54" s="2901"/>
      <c r="U54" s="2901"/>
      <c r="V54" s="2901"/>
      <c r="W54" s="2901"/>
      <c r="X54" s="2901"/>
      <c r="Y54" s="2901"/>
      <c r="Z54" s="2901"/>
      <c r="AA54" s="2901"/>
      <c r="AB54" s="2901"/>
      <c r="AC54" s="2901"/>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9"/>
      <c r="O55" s="2929"/>
      <c r="P55" s="2938"/>
      <c r="Q55" s="2915"/>
      <c r="R55" s="2901"/>
      <c r="S55" s="2901"/>
      <c r="T55" s="2901"/>
      <c r="U55" s="2901"/>
      <c r="V55" s="2901"/>
      <c r="W55" s="2901"/>
      <c r="X55" s="2901"/>
      <c r="Y55" s="2901"/>
      <c r="Z55" s="2901"/>
      <c r="AA55" s="2901"/>
      <c r="AB55" s="2901"/>
      <c r="AC55" s="290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0"/>
      <c r="O56" s="2930"/>
      <c r="P56" s="2938"/>
      <c r="Q56" s="2915"/>
      <c r="R56" s="2901"/>
      <c r="S56" s="2901"/>
      <c r="T56" s="2901"/>
      <c r="U56" s="2901"/>
      <c r="V56" s="2901"/>
      <c r="W56" s="2901"/>
      <c r="X56" s="2901"/>
      <c r="Y56" s="2901"/>
      <c r="Z56" s="2901"/>
      <c r="AA56" s="2901"/>
      <c r="AB56" s="2901"/>
      <c r="AC56" s="2901"/>
    </row>
    <row r="57" spans="1:29" ht="15.75" thickTop="1">
      <c r="A57" s="490"/>
      <c r="B57" s="615">
        <f>B11</f>
        <v>111</v>
      </c>
      <c r="C57" s="505"/>
      <c r="D57" s="505"/>
      <c r="E57" s="505"/>
      <c r="F57" s="505"/>
      <c r="G57" s="505"/>
      <c r="H57" s="505"/>
      <c r="I57" s="505"/>
      <c r="J57" s="505"/>
      <c r="K57" s="506"/>
      <c r="L57" s="507"/>
      <c r="M57" s="508"/>
      <c r="N57" s="2929"/>
      <c r="O57" s="2929"/>
      <c r="P57" s="2938"/>
      <c r="Q57" s="2915"/>
      <c r="R57" s="2901"/>
      <c r="S57" s="2901"/>
      <c r="T57" s="2901"/>
      <c r="U57" s="2901"/>
      <c r="V57" s="2901"/>
      <c r="W57" s="2901"/>
      <c r="X57" s="2901"/>
      <c r="Y57" s="2901"/>
      <c r="Z57" s="2901"/>
      <c r="AA57" s="2901"/>
      <c r="AB57" s="2901"/>
      <c r="AC57" s="2901"/>
    </row>
    <row r="58" spans="1:29" ht="15.75" thickBot="1">
      <c r="A58" s="490"/>
      <c r="B58" s="491"/>
      <c r="C58" s="516"/>
      <c r="D58" s="492"/>
      <c r="E58" s="492"/>
      <c r="F58" s="492"/>
      <c r="G58" s="492"/>
      <c r="H58" s="492"/>
      <c r="I58" s="492"/>
      <c r="J58" s="492"/>
      <c r="K58" s="492"/>
      <c r="L58" s="492"/>
      <c r="M58" s="493"/>
      <c r="N58" s="2930"/>
      <c r="O58" s="2930"/>
      <c r="P58" s="2938"/>
      <c r="Q58" s="2915"/>
      <c r="R58" s="2901"/>
      <c r="S58" s="2901"/>
      <c r="T58" s="2901"/>
      <c r="U58" s="2901"/>
      <c r="V58" s="2901"/>
      <c r="W58" s="2901"/>
      <c r="X58" s="2901"/>
      <c r="Y58" s="2901"/>
      <c r="Z58" s="2901"/>
      <c r="AA58" s="2901"/>
      <c r="AB58" s="2901"/>
      <c r="AC58" s="2901"/>
    </row>
    <row r="59" spans="1:29" s="429" customFormat="1" ht="15.75" thickTop="1">
      <c r="A59" s="509"/>
      <c r="B59" s="494">
        <f>B12</f>
        <v>111</v>
      </c>
      <c r="C59" s="505"/>
      <c r="D59" s="505"/>
      <c r="E59" s="505"/>
      <c r="F59" s="505"/>
      <c r="G59" s="510"/>
      <c r="H59" s="511"/>
      <c r="I59" s="511"/>
      <c r="J59" s="511"/>
      <c r="K59" s="511"/>
      <c r="L59" s="512"/>
      <c r="M59" s="513"/>
      <c r="N59" s="2931"/>
      <c r="O59" s="2931"/>
      <c r="P59" s="2939"/>
      <c r="Q59" s="2922"/>
      <c r="R59" s="2923"/>
      <c r="S59" s="2923"/>
      <c r="T59" s="2923"/>
      <c r="U59" s="2923"/>
      <c r="V59" s="2923"/>
      <c r="W59" s="2923"/>
      <c r="X59" s="2923"/>
      <c r="Y59" s="2923"/>
      <c r="Z59" s="2923"/>
      <c r="AA59" s="2923"/>
      <c r="AB59" s="2923"/>
      <c r="AC59" s="2923"/>
    </row>
    <row r="60" spans="1:29" s="429" customFormat="1" ht="15.75" thickBot="1">
      <c r="A60" s="509"/>
      <c r="B60" s="499"/>
      <c r="C60" s="516"/>
      <c r="D60" s="492"/>
      <c r="E60" s="492"/>
      <c r="F60" s="492"/>
      <c r="G60" s="492"/>
      <c r="H60" s="492"/>
      <c r="I60" s="492"/>
      <c r="J60" s="492"/>
      <c r="K60" s="492"/>
      <c r="L60" s="492"/>
      <c r="M60" s="493"/>
      <c r="N60" s="2930"/>
      <c r="O60" s="2930"/>
      <c r="P60" s="2939"/>
      <c r="Q60" s="2922"/>
      <c r="R60" s="2923"/>
      <c r="S60" s="2923"/>
      <c r="T60" s="2923"/>
      <c r="U60" s="2923"/>
      <c r="V60" s="2923"/>
      <c r="W60" s="2923"/>
      <c r="X60" s="2923"/>
      <c r="Y60" s="2923"/>
      <c r="Z60" s="2923"/>
      <c r="AA60" s="2923"/>
      <c r="AB60" s="2923"/>
      <c r="AC60" s="2923"/>
    </row>
    <row r="61" spans="1:29" s="429" customFormat="1" ht="15.75" thickTop="1">
      <c r="A61" s="509"/>
      <c r="B61" s="494">
        <f>B13</f>
        <v>111</v>
      </c>
      <c r="C61" s="510"/>
      <c r="D61" s="510"/>
      <c r="E61" s="510"/>
      <c r="F61" s="510"/>
      <c r="G61" s="510"/>
      <c r="H61" s="511"/>
      <c r="I61" s="511"/>
      <c r="J61" s="511"/>
      <c r="K61" s="511"/>
      <c r="L61" s="512"/>
      <c r="M61" s="513"/>
      <c r="N61" s="2931"/>
      <c r="O61" s="2931"/>
      <c r="P61" s="2940"/>
      <c r="Q61" s="2925"/>
      <c r="R61" s="2923"/>
      <c r="S61" s="2923"/>
      <c r="T61" s="2923"/>
      <c r="U61" s="2923"/>
      <c r="V61" s="2923"/>
      <c r="W61" s="2923"/>
      <c r="X61" s="2923"/>
      <c r="Y61" s="2923"/>
      <c r="Z61" s="2923"/>
      <c r="AA61" s="2923"/>
      <c r="AB61" s="2923"/>
      <c r="AC61" s="2923"/>
    </row>
    <row r="62" spans="1:29" s="429" customFormat="1" ht="15.75" thickBot="1">
      <c r="A62" s="509"/>
      <c r="B62" s="499"/>
      <c r="C62" s="516"/>
      <c r="D62" s="516"/>
      <c r="E62" s="516"/>
      <c r="F62" s="516"/>
      <c r="G62" s="516"/>
      <c r="H62" s="518"/>
      <c r="I62" s="518"/>
      <c r="J62" s="518"/>
      <c r="K62" s="518"/>
      <c r="L62" s="518"/>
      <c r="M62" s="519"/>
      <c r="N62" s="2931"/>
      <c r="O62" s="2931"/>
      <c r="P62" s="2939"/>
      <c r="Q62" s="2922"/>
      <c r="R62" s="2923"/>
      <c r="S62" s="2923"/>
      <c r="T62" s="2923"/>
      <c r="U62" s="2923"/>
      <c r="V62" s="2923"/>
      <c r="W62" s="2923"/>
      <c r="X62" s="2923"/>
      <c r="Y62" s="2923"/>
      <c r="Z62" s="2923"/>
      <c r="AA62" s="2923"/>
      <c r="AB62" s="2923"/>
      <c r="AC62" s="2923"/>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9"/>
      <c r="O63" s="2929"/>
      <c r="P63" s="2942"/>
      <c r="Q63" s="2915"/>
      <c r="R63" s="2901"/>
      <c r="S63" s="2901"/>
      <c r="T63" s="2901"/>
      <c r="U63" s="2901"/>
      <c r="V63" s="2901"/>
      <c r="W63" s="2901"/>
      <c r="X63" s="2901"/>
      <c r="Y63" s="2901"/>
      <c r="Z63" s="2901"/>
      <c r="AA63" s="2901"/>
      <c r="AB63" s="2901"/>
      <c r="AC63" s="290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0"/>
      <c r="O64" s="2930"/>
      <c r="P64" s="2938"/>
      <c r="Q64" s="2915"/>
      <c r="R64" s="2901"/>
      <c r="S64" s="2901"/>
      <c r="T64" s="2901"/>
      <c r="U64" s="2901"/>
      <c r="V64" s="2901"/>
      <c r="W64" s="2901"/>
      <c r="X64" s="2901"/>
      <c r="Y64" s="2901"/>
      <c r="Z64" s="2901"/>
      <c r="AA64" s="2901"/>
      <c r="AB64" s="2901"/>
      <c r="AC64" s="2901"/>
    </row>
    <row r="65" spans="1:29" ht="15.75" thickTop="1">
      <c r="A65" s="490"/>
      <c r="B65" s="494" t="s">
        <v>2183</v>
      </c>
      <c r="C65" s="534" t="s">
        <v>2177</v>
      </c>
      <c r="D65" s="534" t="s">
        <v>2178</v>
      </c>
      <c r="E65" s="534" t="s">
        <v>2179</v>
      </c>
      <c r="F65" s="534" t="s">
        <v>2180</v>
      </c>
      <c r="G65" s="534" t="s">
        <v>2181</v>
      </c>
      <c r="H65" s="495"/>
      <c r="I65" s="495"/>
      <c r="J65" s="495"/>
      <c r="K65" s="496"/>
      <c r="L65" s="497"/>
      <c r="M65" s="498"/>
      <c r="N65" s="2929"/>
      <c r="O65" s="2929"/>
      <c r="P65" s="2938"/>
      <c r="Q65" s="2915"/>
      <c r="R65" s="2901"/>
      <c r="S65" s="2901"/>
      <c r="T65" s="2901"/>
      <c r="U65" s="2901"/>
      <c r="V65" s="2901"/>
      <c r="W65" s="2901"/>
      <c r="X65" s="2901"/>
      <c r="Y65" s="2901"/>
      <c r="Z65" s="2901"/>
      <c r="AA65" s="2901"/>
      <c r="AB65" s="2901"/>
      <c r="AC65" s="290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0"/>
      <c r="O66" s="2930"/>
      <c r="P66" s="2938"/>
      <c r="Q66" s="2915"/>
      <c r="R66" s="2901"/>
      <c r="S66" s="2901"/>
      <c r="T66" s="2901"/>
      <c r="U66" s="2901"/>
      <c r="V66" s="2901"/>
      <c r="W66" s="2901"/>
      <c r="X66" s="2901"/>
      <c r="Y66" s="2901"/>
      <c r="Z66" s="2901"/>
      <c r="AA66" s="2901"/>
      <c r="AB66" s="2901"/>
      <c r="AC66" s="2901"/>
    </row>
    <row r="67" spans="1:29" ht="15.75" thickTop="1">
      <c r="A67" s="490"/>
      <c r="B67" s="502" t="s">
        <v>2269</v>
      </c>
      <c r="C67" s="615" t="s">
        <v>2255</v>
      </c>
      <c r="D67" s="615" t="s">
        <v>2256</v>
      </c>
      <c r="E67" s="615" t="s">
        <v>2257</v>
      </c>
      <c r="F67" s="615" t="s">
        <v>2258</v>
      </c>
      <c r="G67" s="615" t="s">
        <v>2259</v>
      </c>
      <c r="H67" s="495"/>
      <c r="I67" s="495"/>
      <c r="J67" s="495"/>
      <c r="K67" s="495"/>
      <c r="L67" s="495"/>
      <c r="M67" s="1243"/>
      <c r="N67" s="2930"/>
      <c r="O67" s="2930"/>
      <c r="P67" s="2938"/>
      <c r="Q67" s="2915"/>
      <c r="R67" s="2901"/>
      <c r="S67" s="2901"/>
      <c r="T67" s="2901"/>
      <c r="U67" s="2901"/>
      <c r="V67" s="2901"/>
      <c r="W67" s="2901"/>
      <c r="X67" s="2901"/>
      <c r="Y67" s="2901"/>
      <c r="Z67" s="2901"/>
      <c r="AA67" s="2901"/>
      <c r="AB67" s="2901"/>
      <c r="AC67" s="290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0"/>
      <c r="O68" s="2930"/>
      <c r="P68" s="2938"/>
      <c r="Q68" s="2915"/>
      <c r="R68" s="2901"/>
      <c r="S68" s="2901"/>
      <c r="T68" s="2901"/>
      <c r="U68" s="2901"/>
      <c r="V68" s="2901"/>
      <c r="W68" s="2901"/>
      <c r="X68" s="2901"/>
      <c r="Y68" s="2901"/>
      <c r="Z68" s="2901"/>
      <c r="AA68" s="2901"/>
      <c r="AB68" s="2901"/>
      <c r="AC68" s="2901"/>
    </row>
    <row r="69" spans="1:29" ht="15.75" thickTop="1">
      <c r="A69" s="490"/>
      <c r="B69" s="494" t="s">
        <v>2189</v>
      </c>
      <c r="C69" s="534" t="s">
        <v>2177</v>
      </c>
      <c r="D69" s="534" t="s">
        <v>2178</v>
      </c>
      <c r="E69" s="534" t="s">
        <v>2179</v>
      </c>
      <c r="F69" s="534" t="s">
        <v>2180</v>
      </c>
      <c r="G69" s="534" t="s">
        <v>2181</v>
      </c>
      <c r="H69" s="495"/>
      <c r="I69" s="495"/>
      <c r="J69" s="495"/>
      <c r="K69" s="496"/>
      <c r="L69" s="497"/>
      <c r="M69" s="498"/>
      <c r="N69" s="2929"/>
      <c r="O69" s="2929"/>
      <c r="P69" s="2938"/>
      <c r="Q69" s="2915"/>
      <c r="R69" s="2901"/>
      <c r="S69" s="2901"/>
      <c r="T69" s="2901"/>
      <c r="U69" s="2901"/>
      <c r="V69" s="2901"/>
      <c r="W69" s="2901"/>
      <c r="X69" s="2901"/>
      <c r="Y69" s="2901"/>
      <c r="Z69" s="2901"/>
      <c r="AA69" s="2901"/>
      <c r="AB69" s="2901"/>
      <c r="AC69" s="290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0"/>
      <c r="O70" s="2930"/>
      <c r="P70" s="2938"/>
      <c r="Q70" s="2915"/>
      <c r="R70" s="2901"/>
      <c r="S70" s="2901"/>
      <c r="T70" s="2901"/>
      <c r="U70" s="2901"/>
      <c r="V70" s="2901"/>
      <c r="W70" s="2901"/>
      <c r="X70" s="2901"/>
      <c r="Y70" s="2901"/>
      <c r="Z70" s="2901"/>
      <c r="AA70" s="2901"/>
      <c r="AB70" s="2901"/>
      <c r="AC70" s="2901"/>
    </row>
    <row r="71" spans="1:29" ht="15.75" thickTop="1">
      <c r="A71" s="490"/>
      <c r="B71" s="494" t="s">
        <v>2309</v>
      </c>
      <c r="C71" s="510"/>
      <c r="D71" s="510"/>
      <c r="E71" s="510"/>
      <c r="F71" s="510"/>
      <c r="G71" s="510"/>
      <c r="H71" s="539"/>
      <c r="I71" s="539"/>
      <c r="J71" s="539"/>
      <c r="K71" s="540"/>
      <c r="L71" s="541"/>
      <c r="M71" s="542"/>
      <c r="N71" s="2929"/>
      <c r="O71" s="2929"/>
      <c r="P71" s="2938"/>
      <c r="Q71" s="2915"/>
      <c r="R71" s="2901"/>
      <c r="S71" s="2901"/>
      <c r="T71" s="2901"/>
      <c r="U71" s="2901"/>
      <c r="V71" s="2901"/>
      <c r="W71" s="2901"/>
      <c r="X71" s="2901"/>
      <c r="Y71" s="2901"/>
      <c r="Z71" s="2901"/>
      <c r="AA71" s="2901"/>
      <c r="AB71" s="2901"/>
      <c r="AC71" s="290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0"/>
      <c r="O72" s="2930"/>
      <c r="P72" s="2938"/>
      <c r="Q72" s="2915"/>
      <c r="R72" s="2901"/>
      <c r="S72" s="2901"/>
      <c r="T72" s="2901"/>
      <c r="U72" s="2901"/>
      <c r="V72" s="2901"/>
      <c r="W72" s="2901"/>
      <c r="X72" s="2901"/>
      <c r="Y72" s="2901"/>
      <c r="Z72" s="2901"/>
      <c r="AA72" s="2901"/>
      <c r="AB72" s="2901"/>
      <c r="AC72" s="2901"/>
    </row>
    <row r="73" spans="1:29" s="113" customFormat="1" ht="15.75" thickTop="1">
      <c r="A73" s="535"/>
      <c r="B73" s="494">
        <f>B23</f>
        <v>111</v>
      </c>
      <c r="C73" s="505"/>
      <c r="D73" s="505"/>
      <c r="E73" s="505"/>
      <c r="F73" s="505"/>
      <c r="G73" s="510"/>
      <c r="H73" s="510"/>
      <c r="I73" s="510"/>
      <c r="J73" s="510"/>
      <c r="K73" s="510"/>
      <c r="L73" s="536"/>
      <c r="M73" s="537"/>
      <c r="N73" s="2928"/>
      <c r="O73" s="2928"/>
      <c r="P73" s="2938"/>
      <c r="Q73" s="2915"/>
      <c r="R73" s="2835"/>
      <c r="S73" s="2835"/>
      <c r="T73" s="2835"/>
      <c r="U73" s="2835"/>
      <c r="V73" s="2835"/>
      <c r="W73" s="2835"/>
      <c r="X73" s="2835"/>
      <c r="Y73" s="2835"/>
      <c r="Z73" s="2835"/>
      <c r="AA73" s="2835"/>
      <c r="AB73" s="2835"/>
      <c r="AC73" s="2835"/>
    </row>
    <row r="74" spans="1:29" s="113" customFormat="1" ht="15.75" thickBot="1">
      <c r="A74" s="535"/>
      <c r="B74" s="499"/>
      <c r="C74" s="516"/>
      <c r="D74" s="492"/>
      <c r="E74" s="492"/>
      <c r="F74" s="492"/>
      <c r="G74" s="492"/>
      <c r="H74" s="492"/>
      <c r="I74" s="492"/>
      <c r="J74" s="492"/>
      <c r="K74" s="492"/>
      <c r="L74" s="492"/>
      <c r="M74" s="493"/>
      <c r="N74" s="2930"/>
      <c r="O74" s="2930"/>
      <c r="P74" s="2938"/>
      <c r="Q74" s="2915"/>
      <c r="R74" s="2835"/>
      <c r="S74" s="2835"/>
      <c r="T74" s="2835"/>
      <c r="U74" s="2835"/>
      <c r="V74" s="2835"/>
      <c r="W74" s="2835"/>
      <c r="X74" s="2835"/>
      <c r="Y74" s="2835"/>
      <c r="Z74" s="2835"/>
      <c r="AA74" s="2835"/>
      <c r="AB74" s="2835"/>
      <c r="AC74" s="2835"/>
    </row>
    <row r="75" spans="1:29" s="113" customFormat="1" ht="15.75" thickTop="1">
      <c r="A75" s="535"/>
      <c r="B75" s="494">
        <f>B24</f>
        <v>111</v>
      </c>
      <c r="C75" s="505"/>
      <c r="D75" s="505"/>
      <c r="E75" s="505"/>
      <c r="F75" s="505"/>
      <c r="G75" s="510"/>
      <c r="H75" s="510"/>
      <c r="I75" s="510"/>
      <c r="J75" s="510"/>
      <c r="K75" s="510"/>
      <c r="L75" s="510"/>
      <c r="M75" s="537"/>
      <c r="N75" s="2928"/>
      <c r="O75" s="2928"/>
      <c r="P75" s="2938"/>
      <c r="Q75" s="2915"/>
      <c r="R75" s="2835"/>
      <c r="S75" s="2835"/>
      <c r="T75" s="2835"/>
      <c r="U75" s="2835"/>
      <c r="V75" s="2835"/>
      <c r="W75" s="2835"/>
      <c r="X75" s="2835"/>
      <c r="Y75" s="2835"/>
      <c r="Z75" s="2835"/>
      <c r="AA75" s="2835"/>
      <c r="AB75" s="2835"/>
      <c r="AC75" s="2835"/>
    </row>
    <row r="76" spans="1:29" s="113" customFormat="1" ht="15.75" thickBot="1">
      <c r="A76" s="535"/>
      <c r="B76" s="499"/>
      <c r="C76" s="516"/>
      <c r="D76" s="492"/>
      <c r="E76" s="492"/>
      <c r="F76" s="492"/>
      <c r="G76" s="492"/>
      <c r="H76" s="492"/>
      <c r="I76" s="492"/>
      <c r="J76" s="492"/>
      <c r="K76" s="492"/>
      <c r="L76" s="492"/>
      <c r="M76" s="493"/>
      <c r="N76" s="2930"/>
      <c r="O76" s="2930"/>
      <c r="P76" s="2938"/>
      <c r="Q76" s="2915"/>
      <c r="R76" s="2835"/>
      <c r="S76" s="2835"/>
      <c r="T76" s="2835"/>
      <c r="U76" s="2835"/>
      <c r="V76" s="2835"/>
      <c r="W76" s="2835"/>
      <c r="X76" s="2835"/>
      <c r="Y76" s="2835"/>
      <c r="Z76" s="2835"/>
      <c r="AA76" s="2835"/>
      <c r="AB76" s="2835"/>
      <c r="AC76" s="2835"/>
    </row>
    <row r="77" spans="1:29" s="429" customFormat="1" ht="15.75" thickTop="1">
      <c r="A77" s="509"/>
      <c r="B77" s="494">
        <f>B25</f>
        <v>111</v>
      </c>
      <c r="C77" s="510"/>
      <c r="D77" s="510"/>
      <c r="E77" s="510"/>
      <c r="F77" s="510"/>
      <c r="G77" s="510"/>
      <c r="H77" s="511"/>
      <c r="I77" s="511"/>
      <c r="J77" s="511"/>
      <c r="K77" s="511"/>
      <c r="L77" s="512"/>
      <c r="M77" s="513"/>
      <c r="N77" s="2931"/>
      <c r="O77" s="2931"/>
      <c r="P77" s="2939"/>
      <c r="Q77" s="2922"/>
      <c r="R77" s="2923"/>
      <c r="S77" s="2923"/>
      <c r="T77" s="2923"/>
      <c r="U77" s="2923"/>
      <c r="V77" s="2923"/>
      <c r="W77" s="2923"/>
      <c r="X77" s="2923"/>
      <c r="Y77" s="2923"/>
      <c r="Z77" s="2923"/>
      <c r="AA77" s="2923"/>
      <c r="AB77" s="2923"/>
      <c r="AC77" s="2923"/>
    </row>
    <row r="78" spans="1:29" s="429" customFormat="1" ht="15.75" thickBot="1">
      <c r="A78" s="509"/>
      <c r="B78" s="499"/>
      <c r="C78" s="516"/>
      <c r="D78" s="516"/>
      <c r="E78" s="516"/>
      <c r="F78" s="516"/>
      <c r="G78" s="492"/>
      <c r="H78" s="492"/>
      <c r="I78" s="492"/>
      <c r="J78" s="492"/>
      <c r="K78" s="492"/>
      <c r="L78" s="492"/>
      <c r="M78" s="493"/>
      <c r="N78" s="2931"/>
      <c r="O78" s="2931"/>
      <c r="P78" s="2939"/>
      <c r="Q78" s="2922"/>
      <c r="R78" s="2923"/>
      <c r="S78" s="2923"/>
      <c r="T78" s="2923"/>
      <c r="U78" s="2923"/>
      <c r="V78" s="2923"/>
      <c r="W78" s="2923"/>
      <c r="X78" s="2923"/>
      <c r="Y78" s="2923"/>
      <c r="Z78" s="2923"/>
      <c r="AA78" s="2923"/>
      <c r="AB78" s="2923"/>
      <c r="AC78" s="2923"/>
    </row>
    <row r="79" spans="1:29" ht="27.75" thickTop="1">
      <c r="A79" s="483" t="s">
        <v>2143</v>
      </c>
      <c r="B79" s="484" t="s">
        <v>2310</v>
      </c>
      <c r="C79" s="485">
        <f>C26</f>
        <v>0</v>
      </c>
      <c r="D79" s="486"/>
      <c r="E79" s="486"/>
      <c r="F79" s="486"/>
      <c r="G79" s="486"/>
      <c r="H79" s="486"/>
      <c r="I79" s="486"/>
      <c r="J79" s="486"/>
      <c r="K79" s="487"/>
      <c r="L79" s="488"/>
      <c r="M79" s="489"/>
      <c r="N79" s="2929"/>
      <c r="O79" s="2929"/>
      <c r="P79" s="2938"/>
      <c r="Q79" s="2915"/>
      <c r="R79" s="2901"/>
      <c r="S79" s="2901"/>
      <c r="T79" s="2901"/>
      <c r="U79" s="2901"/>
      <c r="V79" s="2901"/>
      <c r="W79" s="2901"/>
      <c r="X79" s="2901"/>
      <c r="Y79" s="2901"/>
      <c r="Z79" s="2901"/>
      <c r="AA79" s="2901"/>
      <c r="AB79" s="2901"/>
      <c r="AC79" s="290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0"/>
      <c r="B81" s="494" t="s">
        <v>2311</v>
      </c>
      <c r="C81" s="616"/>
      <c r="D81" s="616"/>
      <c r="E81" s="616"/>
      <c r="F81" s="616"/>
      <c r="G81" s="616"/>
      <c r="H81" s="616"/>
      <c r="I81" s="616"/>
      <c r="J81" s="616"/>
      <c r="K81" s="617"/>
      <c r="L81" s="618"/>
      <c r="M81" s="619"/>
      <c r="N81" s="2928"/>
      <c r="O81" s="2928"/>
      <c r="P81" s="2938"/>
      <c r="Q81" s="2915"/>
      <c r="R81" s="2901"/>
      <c r="S81" s="2901"/>
      <c r="T81" s="2901"/>
      <c r="U81" s="2901"/>
      <c r="V81" s="2901"/>
      <c r="W81" s="2901"/>
      <c r="X81" s="2901"/>
      <c r="Y81" s="2901"/>
      <c r="Z81" s="2901"/>
      <c r="AA81" s="2901"/>
      <c r="AB81" s="2901"/>
      <c r="AC81" s="2901"/>
    </row>
    <row r="82" spans="1:29" s="429" customFormat="1" ht="15.75" thickBot="1">
      <c r="A82" s="509"/>
      <c r="B82" s="499"/>
      <c r="C82" s="516"/>
      <c r="D82" s="492"/>
      <c r="E82" s="492"/>
      <c r="F82" s="492"/>
      <c r="G82" s="492"/>
      <c r="H82" s="492"/>
      <c r="I82" s="492"/>
      <c r="J82" s="492"/>
      <c r="K82" s="492"/>
      <c r="L82" s="492"/>
      <c r="M82" s="493"/>
      <c r="N82" s="2930"/>
      <c r="O82" s="2930"/>
      <c r="P82" s="2939"/>
      <c r="Q82" s="2922"/>
      <c r="R82" s="2923"/>
      <c r="S82" s="2923"/>
      <c r="T82" s="2923"/>
      <c r="U82" s="2923"/>
      <c r="V82" s="2923"/>
      <c r="W82" s="2923"/>
      <c r="X82" s="2923"/>
      <c r="Y82" s="2923"/>
      <c r="Z82" s="2923"/>
      <c r="AA82" s="2923"/>
      <c r="AB82" s="2923"/>
      <c r="AC82" s="2923"/>
    </row>
    <row r="83" spans="1:29" ht="15" thickTop="1">
      <c r="A83" s="555"/>
      <c r="B83" s="494" t="s">
        <v>2196</v>
      </c>
      <c r="C83" s="510"/>
      <c r="D83" s="510"/>
      <c r="E83" s="539"/>
      <c r="F83" s="539"/>
      <c r="G83" s="539"/>
      <c r="H83" s="539"/>
      <c r="I83" s="539"/>
      <c r="J83" s="539"/>
      <c r="K83" s="540"/>
      <c r="L83" s="541"/>
      <c r="M83" s="542"/>
      <c r="N83" s="2929"/>
      <c r="O83" s="2929"/>
      <c r="P83" s="2938"/>
      <c r="Q83" s="2915"/>
      <c r="R83" s="2901"/>
      <c r="S83" s="2901"/>
      <c r="T83" s="2901"/>
      <c r="U83" s="2901"/>
      <c r="V83" s="2901"/>
      <c r="W83" s="2901"/>
      <c r="X83" s="2901"/>
      <c r="Y83" s="2901"/>
      <c r="Z83" s="2901"/>
      <c r="AA83" s="2901"/>
      <c r="AB83" s="2901"/>
      <c r="AC83" s="290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9"/>
      <c r="O85" s="2929"/>
      <c r="P85" s="2938"/>
      <c r="Q85" s="2915"/>
      <c r="R85" s="2901"/>
      <c r="S85" s="2901"/>
      <c r="T85" s="2901"/>
      <c r="U85" s="2901"/>
      <c r="V85" s="2901"/>
      <c r="W85" s="2901"/>
      <c r="X85" s="2901"/>
      <c r="Y85" s="2901"/>
      <c r="Z85" s="2901"/>
      <c r="AA85" s="2901"/>
      <c r="AB85" s="2901"/>
      <c r="AC85" s="2901"/>
    </row>
    <row r="86" spans="1:29">
      <c r="A86" s="555"/>
      <c r="B86" s="502"/>
      <c r="C86" s="559">
        <v>0.5</v>
      </c>
      <c r="D86" s="559">
        <v>0.6</v>
      </c>
      <c r="E86" s="559">
        <v>0.7</v>
      </c>
      <c r="F86" s="559">
        <v>0.8</v>
      </c>
      <c r="G86" s="559">
        <v>0.9</v>
      </c>
      <c r="H86" s="559">
        <v>1.0001</v>
      </c>
      <c r="I86" s="578"/>
      <c r="J86" s="578"/>
      <c r="K86" s="579"/>
      <c r="L86" s="580"/>
      <c r="M86" s="581"/>
      <c r="N86" s="2929"/>
      <c r="O86" s="2929"/>
      <c r="P86" s="2938"/>
      <c r="Q86" s="2915"/>
      <c r="R86" s="2901"/>
      <c r="S86" s="2901"/>
      <c r="T86" s="2901"/>
      <c r="U86" s="2901"/>
      <c r="V86" s="2901"/>
      <c r="W86" s="2901"/>
      <c r="X86" s="2901"/>
      <c r="Y86" s="2901"/>
      <c r="Z86" s="2901"/>
      <c r="AA86" s="2901"/>
      <c r="AB86" s="2901"/>
      <c r="AC86" s="290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5"/>
      <c r="B88" s="502" t="s">
        <v>2313</v>
      </c>
      <c r="C88" s="486"/>
      <c r="D88" s="486"/>
      <c r="E88" s="486"/>
      <c r="F88" s="486"/>
      <c r="G88" s="486"/>
      <c r="H88" s="486"/>
      <c r="I88" s="486"/>
      <c r="J88" s="486"/>
      <c r="K88" s="487"/>
      <c r="L88" s="488"/>
      <c r="M88" s="489"/>
      <c r="N88" s="2929"/>
      <c r="O88" s="2929"/>
      <c r="P88" s="2938"/>
      <c r="Q88" s="2915"/>
      <c r="R88" s="2901"/>
      <c r="S88" s="2901"/>
      <c r="T88" s="2901"/>
      <c r="U88" s="2901"/>
      <c r="V88" s="2901"/>
      <c r="W88" s="2901"/>
      <c r="X88" s="2901"/>
      <c r="Y88" s="2901"/>
      <c r="Z88" s="2901"/>
      <c r="AA88" s="2901"/>
      <c r="AB88" s="2901"/>
      <c r="AC88" s="290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0"/>
      <c r="O89" s="2930"/>
      <c r="P89" s="2938"/>
      <c r="Q89" s="2915"/>
      <c r="R89" s="2901"/>
      <c r="S89" s="2901"/>
      <c r="T89" s="2901"/>
      <c r="U89" s="2901"/>
      <c r="V89" s="2901"/>
      <c r="W89" s="2901"/>
      <c r="X89" s="2901"/>
      <c r="Y89" s="2901"/>
      <c r="Z89" s="2901"/>
      <c r="AA89" s="2901"/>
      <c r="AB89" s="2901"/>
      <c r="AC89" s="2901"/>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1"/>
      <c r="O90" s="2931"/>
      <c r="P90" s="2939"/>
      <c r="Q90" s="2922"/>
      <c r="R90" s="2923"/>
      <c r="S90" s="2923"/>
      <c r="T90" s="2923"/>
      <c r="U90" s="2923"/>
      <c r="V90" s="2923"/>
      <c r="W90" s="2923"/>
      <c r="X90" s="2923"/>
      <c r="Y90" s="2923"/>
      <c r="Z90" s="2923"/>
      <c r="AA90" s="2923"/>
      <c r="AB90" s="2923"/>
      <c r="AC90" s="2923"/>
    </row>
    <row r="91" spans="1:29" s="429" customFormat="1">
      <c r="A91" s="549"/>
      <c r="B91" s="502"/>
      <c r="C91" s="551"/>
      <c r="D91" s="551"/>
      <c r="E91" s="551"/>
      <c r="F91" s="551"/>
      <c r="G91" s="551"/>
      <c r="H91" s="551"/>
      <c r="I91" s="551"/>
      <c r="J91" s="552"/>
      <c r="K91" s="552"/>
      <c r="L91" s="553"/>
      <c r="M91" s="554"/>
      <c r="N91" s="2931"/>
      <c r="O91" s="2931"/>
      <c r="P91" s="2939"/>
      <c r="Q91" s="2922"/>
      <c r="R91" s="2923"/>
      <c r="S91" s="2923"/>
      <c r="T91" s="2923"/>
      <c r="U91" s="2923"/>
      <c r="V91" s="2923"/>
      <c r="W91" s="2923"/>
      <c r="X91" s="2923"/>
      <c r="Y91" s="2923"/>
      <c r="Z91" s="2923"/>
      <c r="AA91" s="2923"/>
      <c r="AB91" s="2923"/>
      <c r="AC91" s="2923"/>
    </row>
    <row r="92" spans="1:29" s="429" customFormat="1" ht="15.75" thickBot="1">
      <c r="A92" s="509"/>
      <c r="B92" s="499"/>
      <c r="C92" s="516"/>
      <c r="D92" s="492"/>
      <c r="E92" s="492"/>
      <c r="F92" s="492"/>
      <c r="G92" s="492"/>
      <c r="H92" s="492"/>
      <c r="I92" s="492"/>
      <c r="J92" s="492"/>
      <c r="K92" s="492"/>
      <c r="L92" s="492"/>
      <c r="M92" s="493"/>
      <c r="N92" s="2931"/>
      <c r="O92" s="2931"/>
      <c r="P92" s="2939"/>
      <c r="Q92" s="2922"/>
      <c r="R92" s="2923"/>
      <c r="S92" s="2923"/>
      <c r="T92" s="2923"/>
      <c r="U92" s="2923"/>
      <c r="V92" s="2923"/>
      <c r="W92" s="2923"/>
      <c r="X92" s="2923"/>
      <c r="Y92" s="2923"/>
      <c r="Z92" s="2923"/>
      <c r="AA92" s="2923"/>
      <c r="AB92" s="2923"/>
      <c r="AC92" s="2923"/>
    </row>
    <row r="93" spans="1:29" ht="15" thickTop="1">
      <c r="A93" s="555"/>
      <c r="B93" s="494" t="s">
        <v>2315</v>
      </c>
      <c r="C93" s="510"/>
      <c r="D93" s="510"/>
      <c r="E93" s="539"/>
      <c r="F93" s="539"/>
      <c r="G93" s="539"/>
      <c r="H93" s="539"/>
      <c r="I93" s="539"/>
      <c r="J93" s="539"/>
      <c r="K93" s="540"/>
      <c r="L93" s="541"/>
      <c r="M93" s="542"/>
      <c r="N93" s="2929"/>
      <c r="O93" s="2929"/>
      <c r="P93" s="2938"/>
      <c r="Q93" s="2915"/>
      <c r="R93" s="2901"/>
      <c r="S93" s="2901"/>
      <c r="T93" s="2901"/>
      <c r="U93" s="2901"/>
      <c r="V93" s="2901"/>
      <c r="W93" s="2901"/>
      <c r="X93" s="2901"/>
      <c r="Y93" s="2901"/>
      <c r="Z93" s="2901"/>
      <c r="AA93" s="2901"/>
      <c r="AB93" s="2901"/>
      <c r="AC93" s="290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5"/>
      <c r="B95" s="494" t="s">
        <v>2316</v>
      </c>
      <c r="C95" s="486"/>
      <c r="D95" s="486"/>
      <c r="E95" s="486"/>
      <c r="F95" s="486"/>
      <c r="G95" s="486"/>
      <c r="H95" s="486"/>
      <c r="I95" s="486"/>
      <c r="J95" s="486"/>
      <c r="K95" s="487"/>
      <c r="L95" s="488"/>
      <c r="M95" s="489"/>
      <c r="N95" s="2929"/>
      <c r="O95" s="2929"/>
      <c r="P95" s="2938"/>
      <c r="Q95" s="2915"/>
      <c r="R95" s="2901"/>
      <c r="S95" s="2901"/>
      <c r="T95" s="2901"/>
      <c r="U95" s="2901"/>
      <c r="V95" s="2901"/>
      <c r="W95" s="2901"/>
      <c r="X95" s="2901"/>
      <c r="Y95" s="2901"/>
      <c r="Z95" s="2901"/>
      <c r="AA95" s="2901"/>
      <c r="AB95" s="2901"/>
      <c r="AC95" s="290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0"/>
      <c r="O96" s="2930"/>
      <c r="P96" s="2938"/>
      <c r="Q96" s="2915"/>
      <c r="R96" s="2901"/>
      <c r="S96" s="2901"/>
      <c r="T96" s="2901"/>
      <c r="U96" s="2901"/>
      <c r="V96" s="2901"/>
      <c r="W96" s="2901"/>
      <c r="X96" s="2901"/>
      <c r="Y96" s="2901"/>
      <c r="Z96" s="2901"/>
      <c r="AA96" s="2901"/>
      <c r="AB96" s="2901"/>
      <c r="AC96" s="2901"/>
    </row>
    <row r="97" spans="1:29" ht="15" thickTop="1">
      <c r="A97" s="555"/>
      <c r="B97" s="591">
        <f>B34</f>
        <v>111</v>
      </c>
      <c r="C97" s="505"/>
      <c r="D97" s="505"/>
      <c r="E97" s="505"/>
      <c r="F97" s="505"/>
      <c r="G97" s="510"/>
      <c r="H97" s="511"/>
      <c r="I97" s="511"/>
      <c r="J97" s="511"/>
      <c r="K97" s="511"/>
      <c r="L97" s="512"/>
      <c r="M97" s="513"/>
      <c r="N97" s="2930"/>
      <c r="O97" s="2930"/>
      <c r="P97" s="2943"/>
      <c r="Q97" s="2944"/>
      <c r="R97" s="2901"/>
      <c r="S97" s="2901"/>
      <c r="T97" s="2901"/>
      <c r="U97" s="2901"/>
      <c r="V97" s="2901"/>
      <c r="W97" s="2901"/>
      <c r="X97" s="2901"/>
      <c r="Y97" s="2901"/>
      <c r="Z97" s="2901"/>
      <c r="AA97" s="2901"/>
      <c r="AB97" s="2901"/>
      <c r="AC97" s="2901"/>
    </row>
    <row r="98" spans="1:29" ht="15.75" thickBot="1">
      <c r="A98" s="490"/>
      <c r="B98" s="499"/>
      <c r="C98" s="516"/>
      <c r="D98" s="492"/>
      <c r="E98" s="492"/>
      <c r="F98" s="492"/>
      <c r="G98" s="516"/>
      <c r="H98" s="518"/>
      <c r="I98" s="518"/>
      <c r="J98" s="518"/>
      <c r="K98" s="518"/>
      <c r="L98" s="518"/>
      <c r="M98" s="519"/>
      <c r="N98" s="2930"/>
      <c r="O98" s="2930"/>
      <c r="P98" s="2938"/>
      <c r="Q98" s="2915"/>
      <c r="R98" s="2901"/>
      <c r="S98" s="2901"/>
      <c r="T98" s="2901"/>
      <c r="U98" s="2901"/>
      <c r="V98" s="2901"/>
      <c r="W98" s="2901"/>
      <c r="X98" s="2901"/>
      <c r="Y98" s="2901"/>
      <c r="Z98" s="2901"/>
      <c r="AA98" s="2901"/>
      <c r="AB98" s="2901"/>
      <c r="AC98" s="2901"/>
    </row>
    <row r="99" spans="1:29" s="429" customFormat="1" ht="15" thickTop="1">
      <c r="A99" s="549"/>
      <c r="B99" s="494">
        <f>B35</f>
        <v>111</v>
      </c>
      <c r="C99" s="505"/>
      <c r="D99" s="505"/>
      <c r="E99" s="505"/>
      <c r="F99" s="505"/>
      <c r="G99" s="510"/>
      <c r="H99" s="511"/>
      <c r="I99" s="511"/>
      <c r="J99" s="511"/>
      <c r="K99" s="511"/>
      <c r="L99" s="512"/>
      <c r="M99" s="513"/>
      <c r="N99" s="2931"/>
      <c r="O99" s="2931"/>
      <c r="P99" s="2939"/>
      <c r="Q99" s="2922"/>
      <c r="R99" s="2923"/>
      <c r="S99" s="2923"/>
      <c r="T99" s="2923"/>
      <c r="U99" s="2923"/>
      <c r="V99" s="2923"/>
      <c r="W99" s="2923"/>
      <c r="X99" s="2923"/>
      <c r="Y99" s="2923"/>
      <c r="Z99" s="2923"/>
      <c r="AA99" s="2923"/>
      <c r="AB99" s="2923"/>
      <c r="AC99" s="2923"/>
    </row>
    <row r="100" spans="1:29" s="429" customFormat="1" ht="15.75" thickBot="1">
      <c r="A100" s="509"/>
      <c r="B100" s="491"/>
      <c r="C100" s="516"/>
      <c r="D100" s="492"/>
      <c r="E100" s="492"/>
      <c r="F100" s="492"/>
      <c r="G100" s="516"/>
      <c r="H100" s="518"/>
      <c r="I100" s="518"/>
      <c r="J100" s="518"/>
      <c r="K100" s="518"/>
      <c r="L100" s="518"/>
      <c r="M100" s="519"/>
      <c r="N100" s="2931"/>
      <c r="O100" s="2931"/>
      <c r="P100" s="2939"/>
      <c r="Q100" s="2922"/>
      <c r="R100" s="2923"/>
      <c r="S100" s="2923"/>
      <c r="T100" s="2923"/>
      <c r="U100" s="2923"/>
      <c r="V100" s="2923"/>
      <c r="W100" s="2923"/>
      <c r="X100" s="2923"/>
      <c r="Y100" s="2923"/>
      <c r="Z100" s="2923"/>
      <c r="AA100" s="2923"/>
      <c r="AB100" s="2923"/>
      <c r="AC100" s="2923"/>
    </row>
    <row r="101" spans="1:29" ht="15" thickTop="1">
      <c r="A101" s="555"/>
      <c r="B101" s="494">
        <f>B36</f>
        <v>111</v>
      </c>
      <c r="C101" s="510"/>
      <c r="D101" s="510"/>
      <c r="E101" s="510"/>
      <c r="F101" s="510"/>
      <c r="G101" s="510"/>
      <c r="H101" s="511"/>
      <c r="I101" s="511"/>
      <c r="J101" s="511"/>
      <c r="K101" s="511"/>
      <c r="L101" s="512"/>
      <c r="M101" s="513"/>
      <c r="N101" s="2929"/>
      <c r="O101" s="2929"/>
      <c r="P101" s="2938"/>
      <c r="Q101" s="2915"/>
      <c r="R101" s="2901"/>
      <c r="S101" s="2901"/>
      <c r="T101" s="2901"/>
      <c r="U101" s="2901"/>
      <c r="V101" s="2901"/>
      <c r="W101" s="2901"/>
      <c r="X101" s="2901"/>
      <c r="Y101" s="2901"/>
      <c r="Z101" s="2901"/>
      <c r="AA101" s="2901"/>
      <c r="AB101" s="2901"/>
      <c r="AC101" s="2901"/>
    </row>
    <row r="102" spans="1:29" ht="15.75" thickBot="1">
      <c r="A102" s="490"/>
      <c r="B102" s="499"/>
      <c r="C102" s="516"/>
      <c r="D102" s="516"/>
      <c r="E102" s="516"/>
      <c r="F102" s="516"/>
      <c r="G102" s="516"/>
      <c r="H102" s="518"/>
      <c r="I102" s="518"/>
      <c r="J102" s="518"/>
      <c r="K102" s="518"/>
      <c r="L102" s="518"/>
      <c r="M102" s="519"/>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0" t="s">
        <v>2225</v>
      </c>
      <c r="B4" s="361"/>
      <c r="C4" s="3447" t="s">
        <v>2226</v>
      </c>
      <c r="D4" s="3459"/>
      <c r="E4" s="3460" t="s">
        <v>2227</v>
      </c>
      <c r="F4" s="3461"/>
      <c r="G4" s="3447" t="s">
        <v>2228</v>
      </c>
      <c r="H4" s="3459"/>
      <c r="I4" s="3447" t="s">
        <v>2229</v>
      </c>
      <c r="J4" s="3459"/>
      <c r="K4" s="566" t="s">
        <v>2230</v>
      </c>
      <c r="L4" s="2891"/>
      <c r="M4" s="2892"/>
      <c r="N4" s="2892"/>
      <c r="O4" s="2892"/>
      <c r="P4" s="3462" t="s">
        <v>2231</v>
      </c>
      <c r="Q4" s="3463"/>
      <c r="R4" s="3468" t="s">
        <v>2227</v>
      </c>
      <c r="S4" s="3469"/>
      <c r="T4" s="3468" t="s">
        <v>2228</v>
      </c>
      <c r="U4" s="3469"/>
      <c r="V4" s="3455" t="s">
        <v>2229</v>
      </c>
      <c r="W4" s="3455"/>
      <c r="X4" s="1488"/>
      <c r="Y4" s="3468" t="s">
        <v>2231</v>
      </c>
      <c r="Z4" s="3469"/>
      <c r="AA4" s="3456" t="s">
        <v>2227</v>
      </c>
      <c r="AB4" s="3457" t="s">
        <v>2228</v>
      </c>
      <c r="AC4" s="3456" t="s">
        <v>2229</v>
      </c>
    </row>
    <row r="5" spans="1:29" ht="15">
      <c r="A5" s="363"/>
      <c r="B5" s="364"/>
      <c r="C5" s="3476" t="s">
        <v>2122</v>
      </c>
      <c r="D5" s="3477"/>
      <c r="E5" s="3483" t="s">
        <v>2123</v>
      </c>
      <c r="F5" s="3484"/>
      <c r="G5" s="3476" t="s">
        <v>2124</v>
      </c>
      <c r="H5" s="3477"/>
      <c r="I5" s="3476" t="s">
        <v>2125</v>
      </c>
      <c r="J5" s="3477"/>
      <c r="K5" s="566"/>
      <c r="L5" s="2891"/>
      <c r="M5" s="2892"/>
      <c r="N5" s="2892"/>
      <c r="O5" s="2892"/>
      <c r="P5" s="3464"/>
      <c r="Q5" s="3465"/>
      <c r="R5" s="3470"/>
      <c r="S5" s="3471"/>
      <c r="T5" s="3470"/>
      <c r="U5" s="3471"/>
      <c r="V5" s="3455"/>
      <c r="W5" s="3455"/>
      <c r="X5" s="1488"/>
      <c r="Y5" s="3470"/>
      <c r="Z5" s="3471"/>
      <c r="AA5" s="3457"/>
      <c r="AB5" s="3457"/>
      <c r="AC5" s="3457"/>
    </row>
    <row r="6" spans="1:29" ht="15.75" thickBot="1">
      <c r="A6" s="365"/>
      <c r="B6" s="366"/>
      <c r="C6" s="3474" t="s">
        <v>2126</v>
      </c>
      <c r="D6" s="3475"/>
      <c r="E6" s="3481" t="s">
        <v>2126</v>
      </c>
      <c r="F6" s="3482"/>
      <c r="G6" s="3474" t="s">
        <v>2126</v>
      </c>
      <c r="H6" s="3475"/>
      <c r="I6" s="3474" t="s">
        <v>2126</v>
      </c>
      <c r="J6" s="3475"/>
      <c r="K6" s="566" t="s">
        <v>2127</v>
      </c>
      <c r="L6" s="2891"/>
      <c r="M6" s="2892"/>
      <c r="N6" s="2892"/>
      <c r="O6" s="2892"/>
      <c r="P6" s="3466"/>
      <c r="Q6" s="3467"/>
      <c r="R6" s="3470"/>
      <c r="S6" s="3471"/>
      <c r="T6" s="3472"/>
      <c r="U6" s="3473"/>
      <c r="V6" s="3455"/>
      <c r="W6" s="3455"/>
      <c r="X6" s="1488"/>
      <c r="Y6" s="3472"/>
      <c r="Z6" s="3473"/>
      <c r="AA6" s="3458"/>
      <c r="AB6" s="3458"/>
      <c r="AC6" s="3458"/>
    </row>
    <row r="7" spans="1:29" s="113" customFormat="1" ht="15.75" thickBot="1">
      <c r="A7" s="367" t="s">
        <v>2128</v>
      </c>
      <c r="B7" s="368"/>
      <c r="C7" s="369">
        <f>'数据-取费表'!B2</f>
        <v>44781</v>
      </c>
      <c r="D7" s="370">
        <v>100</v>
      </c>
      <c r="E7" s="371"/>
      <c r="F7" s="372">
        <f>SUMIF(46:46,YEAR(E7)&amp;"-"&amp;MONTH(E7),47:47)</f>
        <v>0</v>
      </c>
      <c r="G7" s="2109"/>
      <c r="H7" s="370">
        <f>SUMIF(46:46,YEAR(G7)&amp;"-"&amp;MONTH(G7),47:47)</f>
        <v>0</v>
      </c>
      <c r="I7" s="371"/>
      <c r="J7" s="370">
        <f>SUMIF(46:46,YEAR(I7)&amp;"-"&amp;MONTH(I7),47:47)</f>
        <v>0</v>
      </c>
      <c r="K7" s="567"/>
      <c r="L7" s="2893"/>
      <c r="M7" s="2894"/>
      <c r="N7" s="2894"/>
      <c r="O7" s="2894"/>
      <c r="P7" s="3478" t="s">
        <v>2129</v>
      </c>
      <c r="Q7" s="3480"/>
      <c r="R7" s="709" t="s">
        <v>17</v>
      </c>
      <c r="S7" s="710">
        <f t="shared" ref="S7:S14" si="0">F7</f>
        <v>0</v>
      </c>
      <c r="T7" s="709" t="s">
        <v>17</v>
      </c>
      <c r="U7" s="710">
        <f t="shared" ref="U7:U14" si="1">H7</f>
        <v>0</v>
      </c>
      <c r="V7" s="709" t="s">
        <v>17</v>
      </c>
      <c r="W7" s="710">
        <f t="shared" ref="W7:W14" si="2">J7</f>
        <v>0</v>
      </c>
      <c r="X7" s="711"/>
      <c r="Y7" s="3478" t="s">
        <v>2129</v>
      </c>
      <c r="Z7" s="3479"/>
      <c r="AA7" s="712" t="e">
        <f>D7/F7</f>
        <v>#DIV/0!</v>
      </c>
      <c r="AB7" s="712" t="e">
        <f>D7/H7</f>
        <v>#DIV/0!</v>
      </c>
      <c r="AC7" s="712" t="e">
        <f>D7/J7</f>
        <v>#DIV/0!</v>
      </c>
    </row>
    <row r="8" spans="1:29" s="113"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3"/>
      <c r="M8" s="2894"/>
      <c r="N8" s="2894"/>
      <c r="O8" s="2894"/>
      <c r="P8" s="3478" t="s">
        <v>2132</v>
      </c>
      <c r="Q8" s="3479"/>
      <c r="R8" s="709" t="s">
        <v>17</v>
      </c>
      <c r="S8" s="710">
        <f t="shared" si="0"/>
        <v>0</v>
      </c>
      <c r="T8" s="709" t="s">
        <v>17</v>
      </c>
      <c r="U8" s="710">
        <f t="shared" si="1"/>
        <v>0</v>
      </c>
      <c r="V8" s="709" t="s">
        <v>17</v>
      </c>
      <c r="W8" s="710">
        <f t="shared" si="2"/>
        <v>0</v>
      </c>
      <c r="X8" s="711"/>
      <c r="Y8" s="3478" t="s">
        <v>2132</v>
      </c>
      <c r="Z8" s="3479"/>
      <c r="AA8" s="712" t="e">
        <f t="shared" ref="AA8:AA34" si="3">D8/F8</f>
        <v>#DIV/0!</v>
      </c>
      <c r="AB8" s="712" t="e">
        <f t="shared" ref="AB8:AB34" si="4">D8/H8</f>
        <v>#DIV/0!</v>
      </c>
      <c r="AC8" s="712" t="e">
        <f t="shared" ref="AC8:AC34" si="5">D8/J8</f>
        <v>#DIV/0!</v>
      </c>
    </row>
    <row r="9" spans="1:29" s="113"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3"/>
      <c r="M9" s="2894"/>
      <c r="N9" s="2894"/>
      <c r="O9" s="2948"/>
      <c r="P9" s="3450" t="s">
        <v>2135</v>
      </c>
      <c r="Q9" s="1476" t="str">
        <f t="shared" ref="Q9:Q14" si="6">B9</f>
        <v>用途</v>
      </c>
      <c r="R9" s="709" t="s">
        <v>17</v>
      </c>
      <c r="S9" s="710">
        <f t="shared" si="0"/>
        <v>100</v>
      </c>
      <c r="T9" s="709" t="s">
        <v>17</v>
      </c>
      <c r="U9" s="710">
        <f t="shared" si="1"/>
        <v>100</v>
      </c>
      <c r="V9" s="709" t="s">
        <v>17</v>
      </c>
      <c r="W9" s="710">
        <f t="shared" si="2"/>
        <v>100</v>
      </c>
      <c r="X9" s="711"/>
      <c r="Y9" s="3344"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5"/>
      <c r="M10" s="2896"/>
      <c r="N10" s="2896"/>
      <c r="O10" s="2949"/>
      <c r="P10" s="3450"/>
      <c r="Q10" s="1476" t="str">
        <f t="shared" si="6"/>
        <v>土地使用年限（年）</v>
      </c>
      <c r="R10" s="709" t="s">
        <v>17</v>
      </c>
      <c r="S10" s="710">
        <f t="shared" si="0"/>
        <v>100</v>
      </c>
      <c r="T10" s="709" t="s">
        <v>17</v>
      </c>
      <c r="U10" s="710">
        <f t="shared" si="1"/>
        <v>100</v>
      </c>
      <c r="V10" s="709" t="s">
        <v>17</v>
      </c>
      <c r="W10" s="710">
        <f t="shared" si="2"/>
        <v>100</v>
      </c>
      <c r="X10" s="711"/>
      <c r="Y10" s="3344"/>
      <c r="Z10" s="55"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7"/>
      <c r="M11" s="2892"/>
      <c r="N11" s="2892"/>
      <c r="O11" s="2950"/>
      <c r="P11" s="3450"/>
      <c r="Q11" s="1476">
        <f t="shared" si="6"/>
        <v>111</v>
      </c>
      <c r="R11" s="709" t="s">
        <v>17</v>
      </c>
      <c r="S11" s="710">
        <f t="shared" si="0"/>
        <v>100</v>
      </c>
      <c r="T11" s="709" t="s">
        <v>17</v>
      </c>
      <c r="U11" s="710">
        <f t="shared" si="1"/>
        <v>100</v>
      </c>
      <c r="V11" s="709" t="s">
        <v>17</v>
      </c>
      <c r="W11" s="710">
        <f t="shared" si="2"/>
        <v>100</v>
      </c>
      <c r="X11" s="711"/>
      <c r="Y11" s="3344"/>
      <c r="Z11" s="55">
        <f t="shared" si="7"/>
        <v>111</v>
      </c>
      <c r="AA11" s="712">
        <f t="shared" si="3"/>
        <v>1</v>
      </c>
      <c r="AB11" s="712">
        <f t="shared" si="4"/>
        <v>1</v>
      </c>
      <c r="AC11" s="712">
        <f t="shared" si="5"/>
        <v>1</v>
      </c>
    </row>
    <row r="12" spans="1:29" s="113"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3"/>
      <c r="M12" s="2894"/>
      <c r="N12" s="2894"/>
      <c r="O12" s="2948"/>
      <c r="P12" s="3450"/>
      <c r="Q12" s="1476">
        <f t="shared" si="6"/>
        <v>111</v>
      </c>
      <c r="R12" s="709" t="s">
        <v>17</v>
      </c>
      <c r="S12" s="710">
        <f t="shared" si="0"/>
        <v>100</v>
      </c>
      <c r="T12" s="709" t="s">
        <v>17</v>
      </c>
      <c r="U12" s="710">
        <f t="shared" si="1"/>
        <v>100</v>
      </c>
      <c r="V12" s="709" t="s">
        <v>17</v>
      </c>
      <c r="W12" s="710">
        <f t="shared" si="2"/>
        <v>100</v>
      </c>
      <c r="X12" s="711"/>
      <c r="Y12" s="3344"/>
      <c r="Z12" s="55">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8"/>
      <c r="M13" s="2892"/>
      <c r="N13" s="2892"/>
      <c r="O13" s="2950"/>
      <c r="P13" s="3450"/>
      <c r="Q13" s="1476">
        <f t="shared" si="6"/>
        <v>111</v>
      </c>
      <c r="R13" s="709" t="s">
        <v>17</v>
      </c>
      <c r="S13" s="710">
        <f t="shared" si="0"/>
        <v>100</v>
      </c>
      <c r="T13" s="709" t="s">
        <v>17</v>
      </c>
      <c r="U13" s="710">
        <f t="shared" si="1"/>
        <v>100</v>
      </c>
      <c r="V13" s="709" t="s">
        <v>17</v>
      </c>
      <c r="W13" s="710">
        <f t="shared" si="2"/>
        <v>100</v>
      </c>
      <c r="X13" s="711"/>
      <c r="Y13" s="3344"/>
      <c r="Z13" s="55">
        <f t="shared" si="7"/>
        <v>111</v>
      </c>
      <c r="AA13" s="712">
        <f t="shared" si="3"/>
        <v>1</v>
      </c>
      <c r="AB13" s="712">
        <f t="shared" si="4"/>
        <v>1</v>
      </c>
      <c r="AC13" s="712">
        <f t="shared" si="5"/>
        <v>1</v>
      </c>
    </row>
    <row r="14" spans="1:29" ht="85.5">
      <c r="A14" s="398" t="s">
        <v>2139</v>
      </c>
      <c r="B14" s="65" t="s">
        <v>2289</v>
      </c>
      <c r="C14" s="210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8"/>
      <c r="M14" s="2892"/>
      <c r="N14" s="2892"/>
      <c r="O14" s="2950"/>
      <c r="P14" s="3451" t="s">
        <v>2140</v>
      </c>
      <c r="Q14" s="1485" t="str">
        <f t="shared" si="6"/>
        <v>交通便捷度</v>
      </c>
      <c r="R14" s="713" t="s">
        <v>17</v>
      </c>
      <c r="S14" s="714">
        <f t="shared" si="0"/>
        <v>100</v>
      </c>
      <c r="T14" s="713" t="s">
        <v>17</v>
      </c>
      <c r="U14" s="714">
        <f t="shared" si="1"/>
        <v>100</v>
      </c>
      <c r="V14" s="713" t="s">
        <v>17</v>
      </c>
      <c r="W14" s="714">
        <f t="shared" si="2"/>
        <v>100</v>
      </c>
      <c r="X14" s="1488"/>
      <c r="Y14" s="3451"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8"/>
      <c r="M15" s="2892"/>
      <c r="N15" s="2892"/>
      <c r="O15" s="2950"/>
      <c r="P15" s="3452"/>
      <c r="Q15" s="1485"/>
      <c r="R15" s="713"/>
      <c r="S15" s="714"/>
      <c r="T15" s="713"/>
      <c r="U15" s="714"/>
      <c r="V15" s="713"/>
      <c r="W15" s="714"/>
      <c r="X15" s="1488"/>
      <c r="Y15" s="3452"/>
      <c r="Z15" s="1489"/>
      <c r="AA15" s="1486">
        <v>1</v>
      </c>
      <c r="AB15" s="1486">
        <v>1</v>
      </c>
      <c r="AC15" s="1486">
        <v>1</v>
      </c>
    </row>
    <row r="16" spans="1:29" ht="42.75">
      <c r="A16" s="386"/>
      <c r="B16" s="409" t="s">
        <v>2268</v>
      </c>
      <c r="C16" s="203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8"/>
      <c r="M16" s="2892"/>
      <c r="N16" s="2892"/>
      <c r="O16" s="2950"/>
      <c r="P16" s="3452"/>
      <c r="Q16" s="1485" t="str">
        <f>B16</f>
        <v>公共配套设施</v>
      </c>
      <c r="R16" s="713" t="s">
        <v>17</v>
      </c>
      <c r="S16" s="714">
        <f>F16</f>
        <v>100</v>
      </c>
      <c r="T16" s="713" t="s">
        <v>17</v>
      </c>
      <c r="U16" s="714">
        <f>H16</f>
        <v>100</v>
      </c>
      <c r="V16" s="713" t="s">
        <v>17</v>
      </c>
      <c r="W16" s="714">
        <f>J16</f>
        <v>100</v>
      </c>
      <c r="X16" s="1488"/>
      <c r="Y16" s="3452"/>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8"/>
      <c r="M17" s="2892"/>
      <c r="N17" s="2892"/>
      <c r="O17" s="2950"/>
      <c r="P17" s="3452"/>
      <c r="Q17" s="1485"/>
      <c r="R17" s="713"/>
      <c r="S17" s="714"/>
      <c r="T17" s="713"/>
      <c r="U17" s="714"/>
      <c r="V17" s="713"/>
      <c r="W17" s="714"/>
      <c r="X17" s="1488"/>
      <c r="Y17" s="3452"/>
      <c r="Z17" s="1489"/>
      <c r="AA17" s="1486">
        <v>1</v>
      </c>
      <c r="AB17" s="1486">
        <v>1</v>
      </c>
      <c r="AC17" s="1486">
        <v>1</v>
      </c>
    </row>
    <row r="18" spans="1:29" ht="28.5">
      <c r="A18" s="386"/>
      <c r="B18" s="1245" t="s">
        <v>2269</v>
      </c>
      <c r="C18" s="203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8"/>
      <c r="M18" s="2892"/>
      <c r="N18" s="2892"/>
      <c r="O18" s="2950"/>
      <c r="P18" s="3452"/>
      <c r="Q18" s="1485" t="str">
        <f>B18</f>
        <v>基础设施水平</v>
      </c>
      <c r="R18" s="713" t="s">
        <v>17</v>
      </c>
      <c r="S18" s="714">
        <f>F18</f>
        <v>100</v>
      </c>
      <c r="T18" s="713" t="s">
        <v>17</v>
      </c>
      <c r="U18" s="714">
        <f>H18</f>
        <v>100</v>
      </c>
      <c r="V18" s="713" t="s">
        <v>17</v>
      </c>
      <c r="W18" s="714">
        <f>J18</f>
        <v>100</v>
      </c>
      <c r="X18" s="1488"/>
      <c r="Y18" s="3452"/>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8"/>
      <c r="M19" s="2892"/>
      <c r="N19" s="2892"/>
      <c r="O19" s="2950"/>
      <c r="P19" s="3452"/>
      <c r="Q19" s="1485"/>
      <c r="R19" s="713"/>
      <c r="S19" s="714"/>
      <c r="T19" s="713"/>
      <c r="U19" s="714"/>
      <c r="V19" s="713"/>
      <c r="W19" s="714"/>
      <c r="X19" s="1488"/>
      <c r="Y19" s="3452"/>
      <c r="Z19" s="1489"/>
      <c r="AA19" s="1486">
        <v>1</v>
      </c>
      <c r="AB19" s="1486">
        <v>1</v>
      </c>
      <c r="AC19" s="1486">
        <v>1</v>
      </c>
    </row>
    <row r="20" spans="1:29" ht="57">
      <c r="A20" s="386"/>
      <c r="B20" s="409" t="s">
        <v>2290</v>
      </c>
      <c r="C20" s="203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8"/>
      <c r="M20" s="2892"/>
      <c r="N20" s="2892"/>
      <c r="O20" s="2950"/>
      <c r="P20" s="3452"/>
      <c r="Q20" s="1485" t="str">
        <f>B20</f>
        <v>自然及人文环境</v>
      </c>
      <c r="R20" s="713" t="s">
        <v>17</v>
      </c>
      <c r="S20" s="714">
        <f>F20</f>
        <v>100</v>
      </c>
      <c r="T20" s="713" t="s">
        <v>17</v>
      </c>
      <c r="U20" s="714">
        <f>H20</f>
        <v>100</v>
      </c>
      <c r="V20" s="713" t="s">
        <v>17</v>
      </c>
      <c r="W20" s="714">
        <f>J20</f>
        <v>100</v>
      </c>
      <c r="X20" s="1488"/>
      <c r="Y20" s="3452"/>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8"/>
      <c r="M21" s="2892"/>
      <c r="N21" s="2892"/>
      <c r="O21" s="2950"/>
      <c r="P21" s="3452"/>
      <c r="Q21" s="1485"/>
      <c r="R21" s="713"/>
      <c r="S21" s="714"/>
      <c r="T21" s="713"/>
      <c r="U21" s="714"/>
      <c r="V21" s="713"/>
      <c r="W21" s="714"/>
      <c r="X21" s="1488"/>
      <c r="Y21" s="3452"/>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8"/>
      <c r="M22" s="2892"/>
      <c r="N22" s="2892"/>
      <c r="O22" s="2950"/>
      <c r="P22" s="3452"/>
      <c r="Q22" s="1485" t="str">
        <f>B22</f>
        <v>楼层</v>
      </c>
      <c r="R22" s="713" t="s">
        <v>17</v>
      </c>
      <c r="S22" s="714">
        <f>F22</f>
        <v>100</v>
      </c>
      <c r="T22" s="713" t="s">
        <v>17</v>
      </c>
      <c r="U22" s="714">
        <f>H22</f>
        <v>100</v>
      </c>
      <c r="V22" s="713" t="s">
        <v>17</v>
      </c>
      <c r="W22" s="714">
        <f>J22</f>
        <v>100</v>
      </c>
      <c r="X22" s="1488"/>
      <c r="Y22" s="3452"/>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8"/>
      <c r="M23" s="2892"/>
      <c r="N23" s="2892"/>
      <c r="O23" s="2950"/>
      <c r="P23" s="3452"/>
      <c r="Q23" s="1485">
        <f>B23</f>
        <v>111</v>
      </c>
      <c r="R23" s="713" t="s">
        <v>17</v>
      </c>
      <c r="S23" s="714">
        <f>F23</f>
        <v>100</v>
      </c>
      <c r="T23" s="713" t="s">
        <v>17</v>
      </c>
      <c r="U23" s="714">
        <f>H23</f>
        <v>100</v>
      </c>
      <c r="V23" s="713" t="s">
        <v>17</v>
      </c>
      <c r="W23" s="714">
        <f>J23</f>
        <v>100</v>
      </c>
      <c r="X23" s="1488"/>
      <c r="Y23" s="3452"/>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8"/>
      <c r="M24" s="2892"/>
      <c r="N24" s="2892"/>
      <c r="O24" s="2950"/>
      <c r="P24" s="3452"/>
      <c r="Q24" s="1485">
        <f t="shared" ref="Q24:Q34" si="11">B24</f>
        <v>111</v>
      </c>
      <c r="R24" s="713" t="s">
        <v>17</v>
      </c>
      <c r="S24" s="714">
        <f>F24</f>
        <v>100</v>
      </c>
      <c r="T24" s="713" t="s">
        <v>17</v>
      </c>
      <c r="U24" s="714">
        <f>H24</f>
        <v>100</v>
      </c>
      <c r="V24" s="713" t="s">
        <v>17</v>
      </c>
      <c r="W24" s="714">
        <f>J24</f>
        <v>100</v>
      </c>
      <c r="X24" s="1488"/>
      <c r="Y24" s="3452"/>
      <c r="Z24" s="1489">
        <f>Q24</f>
        <v>111</v>
      </c>
      <c r="AA24" s="1486">
        <f t="shared" si="3"/>
        <v>1</v>
      </c>
      <c r="AB24" s="1486">
        <f t="shared" si="4"/>
        <v>1</v>
      </c>
      <c r="AC24" s="1486">
        <f t="shared" si="5"/>
        <v>1</v>
      </c>
    </row>
    <row r="25" spans="1:29" s="113"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3"/>
      <c r="M25" s="2894"/>
      <c r="N25" s="2894"/>
      <c r="O25" s="2948"/>
      <c r="P25" s="3452"/>
      <c r="Q25" s="1476">
        <f t="shared" si="11"/>
        <v>111</v>
      </c>
      <c r="R25" s="709" t="s">
        <v>17</v>
      </c>
      <c r="S25" s="710">
        <f>F25</f>
        <v>100</v>
      </c>
      <c r="T25" s="709" t="s">
        <v>17</v>
      </c>
      <c r="U25" s="710">
        <f>H25</f>
        <v>100</v>
      </c>
      <c r="V25" s="709" t="s">
        <v>17</v>
      </c>
      <c r="W25" s="710">
        <f>J25</f>
        <v>100</v>
      </c>
      <c r="X25" s="711"/>
      <c r="Y25" s="3452"/>
      <c r="Z25" s="55">
        <f>Q25</f>
        <v>111</v>
      </c>
      <c r="AA25" s="1486">
        <f>D25/F25</f>
        <v>1</v>
      </c>
      <c r="AB25" s="1486">
        <f>D25/H25</f>
        <v>1</v>
      </c>
      <c r="AC25" s="1486">
        <f>D25/J25</f>
        <v>1</v>
      </c>
    </row>
    <row r="26" spans="1:29" ht="28.5">
      <c r="A26" s="424" t="s">
        <v>2143</v>
      </c>
      <c r="B26" s="67" t="s">
        <v>2294</v>
      </c>
      <c r="C26" s="2102"/>
      <c r="D26" s="425">
        <v>100</v>
      </c>
      <c r="E26" s="2102"/>
      <c r="F26" s="622">
        <f>SUMIF(77:77,E26,78:78)-SUMIF(77:77,C26,78:78)+100</f>
        <v>100</v>
      </c>
      <c r="G26" s="2102"/>
      <c r="H26" s="425">
        <f>SUMIF(77:77,G26,78:78)-SUMIF(77:77,C26,78:78)+100</f>
        <v>100</v>
      </c>
      <c r="I26" s="2102"/>
      <c r="J26" s="425">
        <f>SUMIF(77:77,I26,78:78)-SUMIF(77:77,C26,78:78)+100</f>
        <v>100</v>
      </c>
      <c r="K26" s="568"/>
      <c r="L26" s="2898"/>
      <c r="M26" s="2892"/>
      <c r="N26" s="2892"/>
      <c r="O26" s="2950"/>
      <c r="P26" s="3453"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54"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7"/>
      <c r="M27" s="2899"/>
      <c r="N27" s="2899"/>
      <c r="O27" s="2951"/>
      <c r="P27" s="3454"/>
      <c r="Q27" s="715" t="str">
        <f t="shared" si="11"/>
        <v>成新率</v>
      </c>
      <c r="R27" s="716" t="s">
        <v>17</v>
      </c>
      <c r="S27" s="717" t="e">
        <f t="shared" si="12"/>
        <v>#N/A</v>
      </c>
      <c r="T27" s="716" t="s">
        <v>17</v>
      </c>
      <c r="U27" s="717" t="e">
        <f t="shared" si="13"/>
        <v>#N/A</v>
      </c>
      <c r="V27" s="716" t="s">
        <v>17</v>
      </c>
      <c r="W27" s="717" t="e">
        <f t="shared" si="14"/>
        <v>#N/A</v>
      </c>
      <c r="X27" s="718"/>
      <c r="Y27" s="3454"/>
      <c r="Z27" s="719"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8"/>
      <c r="M28" s="2892"/>
      <c r="N28" s="2892"/>
      <c r="O28" s="2950"/>
      <c r="P28" s="3454"/>
      <c r="Q28" s="1485" t="str">
        <f t="shared" si="11"/>
        <v>物业等级</v>
      </c>
      <c r="R28" s="713" t="s">
        <v>17</v>
      </c>
      <c r="S28" s="714">
        <f t="shared" si="12"/>
        <v>100</v>
      </c>
      <c r="T28" s="713" t="s">
        <v>17</v>
      </c>
      <c r="U28" s="714">
        <f t="shared" si="13"/>
        <v>100</v>
      </c>
      <c r="V28" s="713" t="s">
        <v>17</v>
      </c>
      <c r="W28" s="714">
        <f t="shared" si="14"/>
        <v>100</v>
      </c>
      <c r="X28" s="1488"/>
      <c r="Y28" s="3454"/>
      <c r="Z28" s="1489" t="str">
        <f t="shared" si="15"/>
        <v>物业等级</v>
      </c>
      <c r="AA28" s="1486">
        <f t="shared" si="3"/>
        <v>1</v>
      </c>
      <c r="AB28" s="1486">
        <f t="shared" si="4"/>
        <v>1</v>
      </c>
      <c r="AC28" s="1486">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8"/>
      <c r="M29" s="2892"/>
      <c r="N29" s="2892"/>
      <c r="O29" s="2950"/>
      <c r="P29" s="3454"/>
      <c r="Q29" s="1485" t="str">
        <f t="shared" si="11"/>
        <v>有无电梯</v>
      </c>
      <c r="R29" s="713" t="s">
        <v>17</v>
      </c>
      <c r="S29" s="714">
        <f t="shared" si="12"/>
        <v>100</v>
      </c>
      <c r="T29" s="713" t="s">
        <v>17</v>
      </c>
      <c r="U29" s="714">
        <f t="shared" si="13"/>
        <v>100</v>
      </c>
      <c r="V29" s="713" t="s">
        <v>17</v>
      </c>
      <c r="W29" s="714">
        <f t="shared" si="14"/>
        <v>100</v>
      </c>
      <c r="X29" s="1488"/>
      <c r="Y29" s="3454"/>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8"/>
      <c r="M30" s="2892"/>
      <c r="N30" s="2892"/>
      <c r="O30" s="2950"/>
      <c r="P30" s="3454"/>
      <c r="Q30" s="1485" t="str">
        <f t="shared" si="11"/>
        <v>建筑面积</v>
      </c>
      <c r="R30" s="713" t="s">
        <v>17</v>
      </c>
      <c r="S30" s="714" t="e">
        <f t="shared" si="12"/>
        <v>#N/A</v>
      </c>
      <c r="T30" s="713" t="s">
        <v>17</v>
      </c>
      <c r="U30" s="714" t="e">
        <f t="shared" si="13"/>
        <v>#N/A</v>
      </c>
      <c r="V30" s="713" t="s">
        <v>17</v>
      </c>
      <c r="W30" s="714" t="e">
        <f t="shared" si="14"/>
        <v>#N/A</v>
      </c>
      <c r="X30" s="1488"/>
      <c r="Y30" s="3454"/>
      <c r="Z30" s="1489" t="str">
        <f t="shared" si="15"/>
        <v>建筑面积</v>
      </c>
      <c r="AA30" s="1486" t="e">
        <f t="shared" si="3"/>
        <v>#N/A</v>
      </c>
      <c r="AB30" s="1486" t="e">
        <f t="shared" si="4"/>
        <v>#N/A</v>
      </c>
      <c r="AC30" s="1486" t="e">
        <f t="shared" si="5"/>
        <v>#N/A</v>
      </c>
    </row>
    <row r="31" spans="1:29" s="113"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3"/>
      <c r="M31" s="2894"/>
      <c r="N31" s="2894"/>
      <c r="O31" s="2948"/>
      <c r="P31" s="3454"/>
      <c r="Q31" s="1476" t="str">
        <f t="shared" si="11"/>
        <v>是否封闭</v>
      </c>
      <c r="R31" s="709" t="s">
        <v>17</v>
      </c>
      <c r="S31" s="710">
        <f t="shared" si="12"/>
        <v>100</v>
      </c>
      <c r="T31" s="709" t="s">
        <v>17</v>
      </c>
      <c r="U31" s="710">
        <f t="shared" si="13"/>
        <v>100</v>
      </c>
      <c r="V31" s="709" t="s">
        <v>17</v>
      </c>
      <c r="W31" s="710">
        <f t="shared" si="14"/>
        <v>100</v>
      </c>
      <c r="X31" s="711"/>
      <c r="Y31" s="3454"/>
      <c r="Z31" s="55"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8"/>
      <c r="M32" s="2892"/>
      <c r="N32" s="2892"/>
      <c r="O32" s="2950"/>
      <c r="P32" s="3454" t="s">
        <v>2145</v>
      </c>
      <c r="Q32" s="1485">
        <f t="shared" si="11"/>
        <v>111</v>
      </c>
      <c r="R32" s="713" t="s">
        <v>17</v>
      </c>
      <c r="S32" s="714">
        <f t="shared" si="12"/>
        <v>100</v>
      </c>
      <c r="T32" s="713" t="s">
        <v>17</v>
      </c>
      <c r="U32" s="714">
        <f t="shared" si="13"/>
        <v>100</v>
      </c>
      <c r="V32" s="713" t="s">
        <v>17</v>
      </c>
      <c r="W32" s="714">
        <f t="shared" si="14"/>
        <v>100</v>
      </c>
      <c r="X32" s="1488"/>
      <c r="Y32" s="3454"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8"/>
      <c r="M33" s="2892"/>
      <c r="N33" s="2892"/>
      <c r="O33" s="2950"/>
      <c r="P33" s="3454"/>
      <c r="Q33" s="1485">
        <f t="shared" si="11"/>
        <v>111</v>
      </c>
      <c r="R33" s="713" t="s">
        <v>17</v>
      </c>
      <c r="S33" s="714">
        <f t="shared" si="12"/>
        <v>100</v>
      </c>
      <c r="T33" s="713" t="s">
        <v>17</v>
      </c>
      <c r="U33" s="714">
        <f t="shared" si="13"/>
        <v>100</v>
      </c>
      <c r="V33" s="713" t="s">
        <v>17</v>
      </c>
      <c r="W33" s="714">
        <f t="shared" si="14"/>
        <v>100</v>
      </c>
      <c r="X33" s="1488"/>
      <c r="Y33" s="3454"/>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8"/>
      <c r="M34" s="2892"/>
      <c r="N34" s="2892"/>
      <c r="O34" s="2950"/>
      <c r="P34" s="3454"/>
      <c r="Q34" s="1485">
        <f t="shared" si="11"/>
        <v>111</v>
      </c>
      <c r="R34" s="713" t="s">
        <v>17</v>
      </c>
      <c r="S34" s="714">
        <f t="shared" si="12"/>
        <v>100</v>
      </c>
      <c r="T34" s="713" t="s">
        <v>17</v>
      </c>
      <c r="U34" s="714">
        <f t="shared" si="13"/>
        <v>100</v>
      </c>
      <c r="V34" s="713" t="s">
        <v>17</v>
      </c>
      <c r="W34" s="714">
        <f t="shared" si="14"/>
        <v>100</v>
      </c>
      <c r="X34" s="1488"/>
      <c r="Y34" s="3454"/>
      <c r="Z34" s="1489">
        <f t="shared" si="15"/>
        <v>111</v>
      </c>
      <c r="AA34" s="1486">
        <f t="shared" si="3"/>
        <v>1</v>
      </c>
      <c r="AB34" s="1486">
        <f t="shared" si="4"/>
        <v>1</v>
      </c>
      <c r="AC34" s="1486">
        <f t="shared" si="5"/>
        <v>1</v>
      </c>
    </row>
    <row r="35" spans="1:30" ht="15">
      <c r="A35" s="437" t="s">
        <v>2157</v>
      </c>
      <c r="B35" s="438"/>
      <c r="C35" s="1268" t="s">
        <v>1</v>
      </c>
      <c r="D35" s="1269"/>
      <c r="E35" s="1270"/>
      <c r="F35" s="1271"/>
      <c r="G35" s="1272"/>
      <c r="H35" s="1273"/>
      <c r="I35" s="1270"/>
      <c r="J35" s="1273"/>
      <c r="K35" s="722"/>
      <c r="L35" s="2900"/>
      <c r="M35" s="2901"/>
      <c r="N35" s="2892"/>
      <c r="O35" s="2901"/>
      <c r="P35" s="3450" t="str">
        <f>A35</f>
        <v>成交单价（元/平方米）</v>
      </c>
      <c r="Q35" s="3450"/>
      <c r="R35" s="3516">
        <f>E35</f>
        <v>0</v>
      </c>
      <c r="S35" s="3516"/>
      <c r="T35" s="3516">
        <f>G35</f>
        <v>0</v>
      </c>
      <c r="U35" s="3516"/>
      <c r="V35" s="3516">
        <f>I35</f>
        <v>0</v>
      </c>
      <c r="W35" s="3516"/>
      <c r="X35" s="698"/>
      <c r="Y35" s="720"/>
      <c r="Z35" s="698"/>
      <c r="AA35" s="698"/>
      <c r="AB35" s="698"/>
      <c r="AC35" s="698"/>
    </row>
    <row r="36" spans="1:30" ht="15.75" thickBot="1">
      <c r="A36" s="444" t="s">
        <v>2249</v>
      </c>
      <c r="B36" s="445"/>
      <c r="C36" s="1274" t="e">
        <f>R37</f>
        <v>#DIV/0!</v>
      </c>
      <c r="D36" s="2486" t="s">
        <v>2637</v>
      </c>
      <c r="E36" s="1275" t="e">
        <f>R36</f>
        <v>#DIV/0!</v>
      </c>
      <c r="F36" s="2487"/>
      <c r="G36" s="1274" t="e">
        <f>T36</f>
        <v>#DIV/0!</v>
      </c>
      <c r="H36" s="2487"/>
      <c r="I36" s="1275" t="e">
        <f>V36</f>
        <v>#DIV/0!</v>
      </c>
      <c r="J36" s="2487"/>
      <c r="K36" s="2489">
        <f>F36+H36+J36</f>
        <v>0</v>
      </c>
      <c r="L36" s="2900"/>
      <c r="M36" s="2901"/>
      <c r="N36" s="2892"/>
      <c r="O36" s="2901"/>
      <c r="P36" s="3450" t="str">
        <f>A36</f>
        <v>比较价值（元/平方米）</v>
      </c>
      <c r="Q36" s="3450"/>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0"/>
      <c r="M37" s="2901"/>
      <c r="N37" s="2901"/>
      <c r="O37" s="2901"/>
      <c r="P37" s="3444" t="str">
        <f>A37</f>
        <v>估价对象XX用房的比较价值（楼面单价，元/平方米）</v>
      </c>
      <c r="Q37" s="3445"/>
      <c r="R37" s="3538" t="e">
        <f>IF(F1="售价",ROUND(IF(D36="简单平均",AVERAGE(R36:W36),R36*F36+T36*H36+V36*J36),0),ROUND(IF(D36="简单平均",AVERAGE(R36:V36),R36*F36+T36*H36+V36*J36),1))</f>
        <v>#DIV/0!</v>
      </c>
      <c r="S37" s="3538"/>
      <c r="T37" s="3538"/>
      <c r="U37" s="3538"/>
      <c r="V37" s="3538"/>
      <c r="W37" s="3538"/>
      <c r="X37" s="698"/>
      <c r="Y37" s="698"/>
      <c r="Z37" s="698"/>
      <c r="AA37" s="698"/>
      <c r="AB37" s="698"/>
      <c r="AC37" s="698"/>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8" customFormat="1" ht="13.5" customHeight="1">
      <c r="A42" s="2904"/>
      <c r="B42" s="2904"/>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8"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2" t="s">
        <v>2254</v>
      </c>
      <c r="B45" s="698"/>
      <c r="C45" s="703"/>
      <c r="D45" s="703"/>
      <c r="E45" s="703"/>
      <c r="F45" s="704"/>
      <c r="G45" s="704"/>
      <c r="H45" s="703"/>
      <c r="I45" s="703"/>
      <c r="J45" s="703"/>
      <c r="K45" s="705"/>
      <c r="L45" s="706"/>
      <c r="M45" s="703"/>
      <c r="N45" s="2945"/>
      <c r="O45" s="2945"/>
      <c r="P45" s="2945"/>
      <c r="Q45" s="2915"/>
      <c r="R45" s="2901"/>
      <c r="S45" s="2901"/>
      <c r="T45" s="2901"/>
      <c r="U45" s="2901"/>
      <c r="V45" s="2901"/>
      <c r="W45" s="2901"/>
      <c r="X45" s="2901"/>
      <c r="Y45" s="2901"/>
      <c r="Z45" s="2901"/>
      <c r="AA45" s="2901"/>
      <c r="AB45" s="2901"/>
      <c r="AC45" s="2901"/>
      <c r="AD45" s="2901"/>
    </row>
    <row r="46" spans="1:30" s="464" customFormat="1" ht="15">
      <c r="A46" s="461" t="s">
        <v>2128</v>
      </c>
      <c r="B46" s="462"/>
      <c r="C46" s="1297" t="str">
        <f>YEAR(C7)&amp;"-"&amp;MONTH(C7)</f>
        <v>2022-8</v>
      </c>
      <c r="D46" s="1298">
        <f>EDATE(C46,-1)</f>
        <v>44743</v>
      </c>
      <c r="E46" s="1298">
        <f t="shared" ref="E46:O46" si="16">EDATE(D46,-1)</f>
        <v>44713</v>
      </c>
      <c r="F46" s="1298">
        <f t="shared" si="16"/>
        <v>44682</v>
      </c>
      <c r="G46" s="1298">
        <f t="shared" si="16"/>
        <v>44652</v>
      </c>
      <c r="H46" s="1298">
        <f t="shared" si="16"/>
        <v>44621</v>
      </c>
      <c r="I46" s="1298">
        <f t="shared" si="16"/>
        <v>44593</v>
      </c>
      <c r="J46" s="1298">
        <f t="shared" si="16"/>
        <v>44562</v>
      </c>
      <c r="K46" s="1298">
        <f t="shared" si="16"/>
        <v>44531</v>
      </c>
      <c r="L46" s="1298">
        <f t="shared" si="16"/>
        <v>44501</v>
      </c>
      <c r="M46" s="1298">
        <f t="shared" si="16"/>
        <v>44470</v>
      </c>
      <c r="N46" s="1298">
        <f t="shared" si="16"/>
        <v>44440</v>
      </c>
      <c r="O46" s="1298">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5"/>
      <c r="B47" s="466"/>
      <c r="C47" s="1296">
        <v>100</v>
      </c>
      <c r="D47" s="468"/>
      <c r="E47" s="468"/>
      <c r="F47" s="468"/>
      <c r="G47" s="468"/>
      <c r="H47" s="468"/>
      <c r="I47" s="468"/>
      <c r="J47" s="468"/>
      <c r="K47" s="468"/>
      <c r="L47" s="468"/>
      <c r="M47" s="469"/>
      <c r="N47" s="468"/>
      <c r="O47" s="470"/>
      <c r="P47" s="2915"/>
      <c r="Q47" s="2835"/>
      <c r="R47" s="2835"/>
      <c r="S47" s="2835"/>
      <c r="T47" s="2835"/>
      <c r="U47" s="2835"/>
      <c r="V47" s="2835"/>
      <c r="W47" s="2835"/>
      <c r="X47" s="2835"/>
      <c r="Y47" s="2835"/>
      <c r="Z47" s="2835"/>
      <c r="AA47" s="2835"/>
      <c r="AB47" s="2835"/>
      <c r="AC47" s="2835"/>
      <c r="AD47" s="2835"/>
    </row>
    <row r="48" spans="1:30" s="113" customFormat="1" ht="15.75" thickBot="1">
      <c r="A48" s="471" t="s">
        <v>2165</v>
      </c>
      <c r="B48" s="472"/>
      <c r="C48" s="473"/>
      <c r="D48" s="474"/>
      <c r="E48" s="474"/>
      <c r="F48" s="474"/>
      <c r="G48" s="474"/>
      <c r="H48" s="474"/>
      <c r="I48" s="474"/>
      <c r="J48" s="474"/>
      <c r="K48" s="474"/>
      <c r="L48" s="474"/>
      <c r="M48" s="475"/>
      <c r="N48" s="474"/>
      <c r="O48" s="476"/>
      <c r="P48" s="2915"/>
      <c r="Q48" s="2915"/>
      <c r="R48" s="2835"/>
      <c r="S48" s="2835"/>
      <c r="T48" s="2835"/>
      <c r="U48" s="2835"/>
      <c r="V48" s="2835"/>
      <c r="W48" s="2835"/>
      <c r="X48" s="2835"/>
      <c r="Y48" s="2835"/>
      <c r="Z48" s="2835"/>
      <c r="AA48" s="2835"/>
      <c r="AB48" s="2835"/>
      <c r="AC48" s="2835"/>
      <c r="AD48" s="2835"/>
    </row>
    <row r="49" spans="1:30" s="113" customFormat="1" ht="15">
      <c r="A49" s="477" t="s">
        <v>2130</v>
      </c>
      <c r="B49" s="466"/>
      <c r="C49" s="478" t="s">
        <v>2232</v>
      </c>
      <c r="D49" s="479"/>
      <c r="E49" s="479"/>
      <c r="F49" s="479"/>
      <c r="G49" s="479"/>
      <c r="H49" s="479"/>
      <c r="I49" s="479"/>
      <c r="J49" s="479"/>
      <c r="K49" s="479"/>
      <c r="L49" s="480"/>
      <c r="M49" s="481"/>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7"/>
      <c r="B50" s="466"/>
      <c r="C50" s="594">
        <v>100</v>
      </c>
      <c r="D50" s="468"/>
      <c r="E50" s="468"/>
      <c r="F50" s="468"/>
      <c r="G50" s="468"/>
      <c r="H50" s="468"/>
      <c r="I50" s="468"/>
      <c r="J50" s="468"/>
      <c r="K50" s="468"/>
      <c r="L50" s="468"/>
      <c r="M50" s="470"/>
      <c r="N50" s="2928"/>
      <c r="O50" s="2928"/>
      <c r="P50" s="2915"/>
      <c r="Q50" s="2915"/>
      <c r="R50" s="2835"/>
      <c r="S50" s="2835"/>
      <c r="T50" s="2835"/>
      <c r="U50" s="2835"/>
      <c r="V50" s="2835"/>
      <c r="W50" s="2835"/>
      <c r="X50" s="2835"/>
      <c r="Y50" s="2835"/>
      <c r="Z50" s="2835"/>
      <c r="AA50" s="2835"/>
      <c r="AB50" s="2835"/>
      <c r="AC50" s="2835"/>
      <c r="AD50" s="2835"/>
    </row>
    <row r="51" spans="1:30">
      <c r="A51" s="483" t="s">
        <v>2168</v>
      </c>
      <c r="B51" s="484" t="s">
        <v>2134</v>
      </c>
      <c r="C51" s="485">
        <f>C9</f>
        <v>0</v>
      </c>
      <c r="D51" s="486"/>
      <c r="E51" s="486"/>
      <c r="F51" s="486"/>
      <c r="G51" s="486"/>
      <c r="H51" s="486"/>
      <c r="I51" s="486"/>
      <c r="J51" s="486"/>
      <c r="K51" s="487"/>
      <c r="L51" s="488"/>
      <c r="M51" s="489"/>
      <c r="N51" s="2929"/>
      <c r="O51" s="2929"/>
      <c r="P51" s="2954"/>
      <c r="Q51" s="2915"/>
      <c r="R51" s="2901"/>
      <c r="S51" s="2901"/>
      <c r="T51" s="2901"/>
      <c r="U51" s="2901"/>
      <c r="V51" s="2901"/>
      <c r="W51" s="2901"/>
      <c r="X51" s="2901"/>
      <c r="Y51" s="2901"/>
      <c r="Z51" s="2901"/>
      <c r="AA51" s="2901"/>
      <c r="AB51" s="2901"/>
      <c r="AC51" s="2901"/>
      <c r="AD51" s="2901"/>
    </row>
    <row r="52" spans="1:30" ht="15.75" thickBot="1">
      <c r="A52" s="490"/>
      <c r="B52" s="491"/>
      <c r="C52" s="492">
        <v>100</v>
      </c>
      <c r="D52" s="492"/>
      <c r="E52" s="492"/>
      <c r="F52" s="492"/>
      <c r="G52" s="492"/>
      <c r="H52" s="492"/>
      <c r="I52" s="492"/>
      <c r="J52" s="492"/>
      <c r="K52" s="492"/>
      <c r="L52" s="492"/>
      <c r="M52" s="493"/>
      <c r="N52" s="2930"/>
      <c r="O52" s="2930"/>
      <c r="P52" s="2954"/>
      <c r="Q52" s="2915"/>
      <c r="R52" s="2901"/>
      <c r="S52" s="2901"/>
      <c r="T52" s="2901"/>
      <c r="U52" s="2901"/>
      <c r="V52" s="2901"/>
      <c r="W52" s="2901"/>
      <c r="X52" s="2901"/>
      <c r="Y52" s="2901"/>
      <c r="Z52" s="2901"/>
      <c r="AA52" s="2901"/>
      <c r="AB52" s="2901"/>
      <c r="AC52" s="2901"/>
      <c r="AD52" s="2901"/>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9"/>
      <c r="O53" s="2929"/>
      <c r="P53" s="2954"/>
      <c r="Q53" s="2915"/>
      <c r="R53" s="2901"/>
      <c r="S53" s="2901"/>
      <c r="T53" s="2901"/>
      <c r="U53" s="2901"/>
      <c r="V53" s="2901"/>
      <c r="W53" s="2901"/>
      <c r="X53" s="2901"/>
      <c r="Y53" s="2901"/>
      <c r="Z53" s="2901"/>
      <c r="AA53" s="2901"/>
      <c r="AB53" s="2901"/>
      <c r="AC53" s="2901"/>
      <c r="AD53" s="290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0"/>
      <c r="O54" s="2930"/>
      <c r="P54" s="2954"/>
      <c r="Q54" s="2915"/>
      <c r="R54" s="2901"/>
      <c r="S54" s="2901"/>
      <c r="T54" s="2901"/>
      <c r="U54" s="2901"/>
      <c r="V54" s="2901"/>
      <c r="W54" s="2901"/>
      <c r="X54" s="2901"/>
      <c r="Y54" s="2901"/>
      <c r="Z54" s="2901"/>
      <c r="AA54" s="2901"/>
      <c r="AB54" s="2901"/>
      <c r="AC54" s="2901"/>
      <c r="AD54" s="2901"/>
    </row>
    <row r="55" spans="1:30" ht="15.75" thickTop="1">
      <c r="A55" s="490"/>
      <c r="B55" s="615">
        <f>B11</f>
        <v>111</v>
      </c>
      <c r="C55" s="505"/>
      <c r="D55" s="505"/>
      <c r="E55" s="505"/>
      <c r="F55" s="505"/>
      <c r="G55" s="505"/>
      <c r="H55" s="505"/>
      <c r="I55" s="505"/>
      <c r="J55" s="505"/>
      <c r="K55" s="506"/>
      <c r="L55" s="507"/>
      <c r="M55" s="508"/>
      <c r="N55" s="2929"/>
      <c r="O55" s="2929"/>
      <c r="P55" s="2954"/>
      <c r="Q55" s="2915"/>
      <c r="R55" s="2901"/>
      <c r="S55" s="2901"/>
      <c r="T55" s="2901"/>
      <c r="U55" s="2901"/>
      <c r="V55" s="2901"/>
      <c r="W55" s="2901"/>
      <c r="X55" s="2901"/>
      <c r="Y55" s="2901"/>
      <c r="Z55" s="2901"/>
      <c r="AA55" s="2901"/>
      <c r="AB55" s="2901"/>
      <c r="AC55" s="2901"/>
      <c r="AD55" s="2901"/>
    </row>
    <row r="56" spans="1:30" ht="15.75" thickBot="1">
      <c r="A56" s="490"/>
      <c r="B56" s="491"/>
      <c r="C56" s="516"/>
      <c r="D56" s="492"/>
      <c r="E56" s="492"/>
      <c r="F56" s="492"/>
      <c r="G56" s="492"/>
      <c r="H56" s="492"/>
      <c r="I56" s="492"/>
      <c r="J56" s="492"/>
      <c r="K56" s="492"/>
      <c r="L56" s="492"/>
      <c r="M56" s="493"/>
      <c r="N56" s="2930"/>
      <c r="O56" s="2930"/>
      <c r="P56" s="2954"/>
      <c r="Q56" s="2915"/>
      <c r="R56" s="2901"/>
      <c r="S56" s="2901"/>
      <c r="T56" s="2901"/>
      <c r="U56" s="2901"/>
      <c r="V56" s="2901"/>
      <c r="W56" s="2901"/>
      <c r="X56" s="2901"/>
      <c r="Y56" s="2901"/>
      <c r="Z56" s="2901"/>
      <c r="AA56" s="2901"/>
      <c r="AB56" s="2901"/>
      <c r="AC56" s="2901"/>
      <c r="AD56" s="2901"/>
    </row>
    <row r="57" spans="1:30" s="429" customFormat="1" ht="15.75" thickTop="1">
      <c r="A57" s="509"/>
      <c r="B57" s="494">
        <f>B12</f>
        <v>111</v>
      </c>
      <c r="C57" s="505"/>
      <c r="D57" s="505"/>
      <c r="E57" s="505"/>
      <c r="F57" s="505"/>
      <c r="G57" s="510"/>
      <c r="H57" s="511"/>
      <c r="I57" s="511"/>
      <c r="J57" s="511"/>
      <c r="K57" s="511"/>
      <c r="L57" s="512"/>
      <c r="M57" s="513"/>
      <c r="N57" s="2931"/>
      <c r="O57" s="2931"/>
      <c r="P57" s="2955"/>
      <c r="Q57" s="2922"/>
      <c r="R57" s="2923"/>
      <c r="S57" s="2923"/>
      <c r="T57" s="2923"/>
      <c r="U57" s="2923"/>
      <c r="V57" s="2923"/>
      <c r="W57" s="2923"/>
      <c r="X57" s="2923"/>
      <c r="Y57" s="2923"/>
      <c r="Z57" s="2923"/>
      <c r="AA57" s="2923"/>
      <c r="AB57" s="2923"/>
      <c r="AC57" s="2923"/>
      <c r="AD57" s="2923"/>
    </row>
    <row r="58" spans="1:30" s="429" customFormat="1" ht="15.75" thickBot="1">
      <c r="A58" s="509"/>
      <c r="B58" s="499"/>
      <c r="C58" s="516"/>
      <c r="D58" s="492"/>
      <c r="E58" s="492"/>
      <c r="F58" s="492"/>
      <c r="G58" s="492"/>
      <c r="H58" s="492"/>
      <c r="I58" s="492"/>
      <c r="J58" s="492"/>
      <c r="K58" s="492"/>
      <c r="L58" s="492"/>
      <c r="M58" s="493"/>
      <c r="N58" s="2930"/>
      <c r="O58" s="2930"/>
      <c r="P58" s="2955"/>
      <c r="Q58" s="2922"/>
      <c r="R58" s="2923"/>
      <c r="S58" s="2923"/>
      <c r="T58" s="2923"/>
      <c r="U58" s="2923"/>
      <c r="V58" s="2923"/>
      <c r="W58" s="2923"/>
      <c r="X58" s="2923"/>
      <c r="Y58" s="2923"/>
      <c r="Z58" s="2923"/>
      <c r="AA58" s="2923"/>
      <c r="AB58" s="2923"/>
      <c r="AC58" s="2923"/>
      <c r="AD58" s="2923"/>
    </row>
    <row r="59" spans="1:30" s="429" customFormat="1" ht="15.75" thickTop="1">
      <c r="A59" s="509"/>
      <c r="B59" s="494">
        <f>B13</f>
        <v>111</v>
      </c>
      <c r="C59" s="505"/>
      <c r="D59" s="505"/>
      <c r="E59" s="505"/>
      <c r="F59" s="505"/>
      <c r="G59" s="510"/>
      <c r="H59" s="511"/>
      <c r="I59" s="511"/>
      <c r="J59" s="511"/>
      <c r="K59" s="511"/>
      <c r="L59" s="512"/>
      <c r="M59" s="513"/>
      <c r="N59" s="2931"/>
      <c r="O59" s="2931"/>
      <c r="P59" s="2899"/>
      <c r="Q59" s="2925"/>
      <c r="R59" s="2923"/>
      <c r="S59" s="2923"/>
      <c r="T59" s="2923"/>
      <c r="U59" s="2923"/>
      <c r="V59" s="2923"/>
      <c r="W59" s="2923"/>
      <c r="X59" s="2923"/>
      <c r="Y59" s="2923"/>
      <c r="Z59" s="2923"/>
      <c r="AA59" s="2923"/>
      <c r="AB59" s="2923"/>
      <c r="AC59" s="2923"/>
      <c r="AD59" s="2923"/>
    </row>
    <row r="60" spans="1:30" s="429" customFormat="1" ht="15.75" thickBot="1">
      <c r="A60" s="509"/>
      <c r="B60" s="499"/>
      <c r="C60" s="516"/>
      <c r="D60" s="516"/>
      <c r="E60" s="516"/>
      <c r="F60" s="516"/>
      <c r="G60" s="516"/>
      <c r="H60" s="518"/>
      <c r="I60" s="518"/>
      <c r="J60" s="518"/>
      <c r="K60" s="518"/>
      <c r="L60" s="518"/>
      <c r="M60" s="519"/>
      <c r="N60" s="2931"/>
      <c r="O60" s="2931"/>
      <c r="P60" s="2955"/>
      <c r="Q60" s="2922"/>
      <c r="R60" s="2923"/>
      <c r="S60" s="2923"/>
      <c r="T60" s="2923"/>
      <c r="U60" s="2923"/>
      <c r="V60" s="2923"/>
      <c r="W60" s="2923"/>
      <c r="X60" s="2923"/>
      <c r="Y60" s="2923"/>
      <c r="Z60" s="2923"/>
      <c r="AA60" s="2923"/>
      <c r="AB60" s="2923"/>
      <c r="AC60" s="2923"/>
      <c r="AD60" s="2923"/>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9"/>
      <c r="O61" s="2929"/>
      <c r="P61" s="2956"/>
      <c r="Q61" s="2915"/>
      <c r="R61" s="2901"/>
      <c r="S61" s="2901"/>
      <c r="T61" s="2901"/>
      <c r="U61" s="2901"/>
      <c r="V61" s="2901"/>
      <c r="W61" s="2901"/>
      <c r="X61" s="2901"/>
      <c r="Y61" s="2901"/>
      <c r="Z61" s="2901"/>
      <c r="AA61" s="2901"/>
      <c r="AB61" s="2901"/>
      <c r="AC61" s="2901"/>
      <c r="AD61" s="290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0"/>
      <c r="O62" s="2930"/>
      <c r="P62" s="2954"/>
      <c r="Q62" s="2915"/>
      <c r="R62" s="2901"/>
      <c r="S62" s="2901"/>
      <c r="T62" s="2901"/>
      <c r="U62" s="2901"/>
      <c r="V62" s="2901"/>
      <c r="W62" s="2901"/>
      <c r="X62" s="2901"/>
      <c r="Y62" s="2901"/>
      <c r="Z62" s="2901"/>
      <c r="AA62" s="2901"/>
      <c r="AB62" s="2901"/>
      <c r="AC62" s="2901"/>
      <c r="AD62" s="2901"/>
    </row>
    <row r="63" spans="1:30" ht="27.75" thickTop="1">
      <c r="A63" s="490"/>
      <c r="B63" s="494" t="s">
        <v>2320</v>
      </c>
      <c r="C63" s="534" t="s">
        <v>2177</v>
      </c>
      <c r="D63" s="534" t="s">
        <v>2178</v>
      </c>
      <c r="E63" s="534" t="s">
        <v>2179</v>
      </c>
      <c r="F63" s="534" t="s">
        <v>2180</v>
      </c>
      <c r="G63" s="534" t="s">
        <v>2181</v>
      </c>
      <c r="H63" s="495"/>
      <c r="I63" s="495"/>
      <c r="J63" s="495"/>
      <c r="K63" s="496"/>
      <c r="L63" s="497"/>
      <c r="M63" s="498"/>
      <c r="N63" s="2929"/>
      <c r="O63" s="2929"/>
      <c r="P63" s="2954"/>
      <c r="Q63" s="2915"/>
      <c r="R63" s="2901"/>
      <c r="S63" s="2901"/>
      <c r="T63" s="2901"/>
      <c r="U63" s="2901"/>
      <c r="V63" s="2901"/>
      <c r="W63" s="2901"/>
      <c r="X63" s="2901"/>
      <c r="Y63" s="2901"/>
      <c r="Z63" s="2901"/>
      <c r="AA63" s="2901"/>
      <c r="AB63" s="2901"/>
      <c r="AC63" s="2901"/>
      <c r="AD63" s="290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0"/>
      <c r="O64" s="2930"/>
      <c r="P64" s="2954"/>
      <c r="Q64" s="2915"/>
      <c r="R64" s="2901"/>
      <c r="S64" s="2901"/>
      <c r="T64" s="2901"/>
      <c r="U64" s="2901"/>
      <c r="V64" s="2901"/>
      <c r="W64" s="2901"/>
      <c r="X64" s="2901"/>
      <c r="Y64" s="2901"/>
      <c r="Z64" s="2901"/>
      <c r="AA64" s="2901"/>
      <c r="AB64" s="2901"/>
      <c r="AC64" s="2901"/>
      <c r="AD64" s="2901"/>
    </row>
    <row r="65" spans="1:30" ht="15.75" thickTop="1">
      <c r="A65" s="490"/>
      <c r="B65" s="502" t="s">
        <v>2269</v>
      </c>
      <c r="C65" s="615" t="s">
        <v>2255</v>
      </c>
      <c r="D65" s="615" t="s">
        <v>2256</v>
      </c>
      <c r="E65" s="615" t="s">
        <v>2257</v>
      </c>
      <c r="F65" s="615" t="s">
        <v>2258</v>
      </c>
      <c r="G65" s="615" t="s">
        <v>2259</v>
      </c>
      <c r="H65" s="495"/>
      <c r="I65" s="495"/>
      <c r="J65" s="495"/>
      <c r="K65" s="495"/>
      <c r="L65" s="495"/>
      <c r="M65" s="1243"/>
      <c r="N65" s="2930"/>
      <c r="O65" s="2930"/>
      <c r="P65" s="2954"/>
      <c r="Q65" s="2915"/>
      <c r="R65" s="2901"/>
      <c r="S65" s="2901"/>
      <c r="T65" s="2901"/>
      <c r="U65" s="2901"/>
      <c r="V65" s="2901"/>
      <c r="W65" s="2901"/>
      <c r="X65" s="2901"/>
      <c r="Y65" s="2901"/>
      <c r="Z65" s="2901"/>
      <c r="AA65" s="2901"/>
      <c r="AB65" s="2901"/>
      <c r="AC65" s="2901"/>
      <c r="AD65" s="290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0"/>
      <c r="O66" s="2930"/>
      <c r="P66" s="2954"/>
      <c r="Q66" s="2915"/>
      <c r="R66" s="2901"/>
      <c r="S66" s="2901"/>
      <c r="T66" s="2901"/>
      <c r="U66" s="2901"/>
      <c r="V66" s="2901"/>
      <c r="W66" s="2901"/>
      <c r="X66" s="2901"/>
      <c r="Y66" s="2901"/>
      <c r="Z66" s="2901"/>
      <c r="AA66" s="2901"/>
      <c r="AB66" s="2901"/>
      <c r="AC66" s="2901"/>
      <c r="AD66" s="2901"/>
    </row>
    <row r="67" spans="1:30" ht="15.75" thickTop="1">
      <c r="A67" s="490"/>
      <c r="B67" s="494" t="s">
        <v>2189</v>
      </c>
      <c r="C67" s="534" t="s">
        <v>2177</v>
      </c>
      <c r="D67" s="534" t="s">
        <v>2178</v>
      </c>
      <c r="E67" s="534" t="s">
        <v>2179</v>
      </c>
      <c r="F67" s="534" t="s">
        <v>2180</v>
      </c>
      <c r="G67" s="534" t="s">
        <v>2181</v>
      </c>
      <c r="H67" s="495"/>
      <c r="I67" s="495"/>
      <c r="J67" s="495"/>
      <c r="K67" s="496"/>
      <c r="L67" s="497"/>
      <c r="M67" s="498"/>
      <c r="N67" s="2929"/>
      <c r="O67" s="2929"/>
      <c r="P67" s="2954"/>
      <c r="Q67" s="2915"/>
      <c r="R67" s="2901"/>
      <c r="S67" s="2901"/>
      <c r="T67" s="2901"/>
      <c r="U67" s="2901"/>
      <c r="V67" s="2901"/>
      <c r="W67" s="2901"/>
      <c r="X67" s="2901"/>
      <c r="Y67" s="2901"/>
      <c r="Z67" s="2901"/>
      <c r="AA67" s="2901"/>
      <c r="AB67" s="2901"/>
      <c r="AC67" s="2901"/>
      <c r="AD67" s="290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0"/>
      <c r="O68" s="2930"/>
      <c r="P68" s="2954"/>
      <c r="Q68" s="2915"/>
      <c r="R68" s="2901"/>
      <c r="S68" s="2901"/>
      <c r="T68" s="2901"/>
      <c r="U68" s="2901"/>
      <c r="V68" s="2901"/>
      <c r="W68" s="2901"/>
      <c r="X68" s="2901"/>
      <c r="Y68" s="2901"/>
      <c r="Z68" s="2901"/>
      <c r="AA68" s="2901"/>
      <c r="AB68" s="2901"/>
      <c r="AC68" s="2901"/>
      <c r="AD68" s="2901"/>
    </row>
    <row r="69" spans="1:30" ht="15.75" thickTop="1">
      <c r="A69" s="490"/>
      <c r="B69" s="494" t="s">
        <v>2309</v>
      </c>
      <c r="C69" s="510"/>
      <c r="D69" s="510"/>
      <c r="E69" s="510"/>
      <c r="F69" s="510"/>
      <c r="G69" s="510"/>
      <c r="H69" s="539"/>
      <c r="I69" s="539"/>
      <c r="J69" s="539"/>
      <c r="K69" s="540"/>
      <c r="L69" s="541"/>
      <c r="M69" s="542"/>
      <c r="N69" s="2929"/>
      <c r="O69" s="2929"/>
      <c r="P69" s="2954"/>
      <c r="Q69" s="2915"/>
      <c r="R69" s="2901"/>
      <c r="S69" s="2901"/>
      <c r="T69" s="2901"/>
      <c r="U69" s="2901"/>
      <c r="V69" s="2901"/>
      <c r="W69" s="2901"/>
      <c r="X69" s="2901"/>
      <c r="Y69" s="2901"/>
      <c r="Z69" s="2901"/>
      <c r="AA69" s="2901"/>
      <c r="AB69" s="2901"/>
      <c r="AC69" s="2901"/>
      <c r="AD69" s="2901"/>
    </row>
    <row r="70" spans="1:30" ht="15.75" thickBot="1">
      <c r="A70" s="490"/>
      <c r="B70" s="499"/>
      <c r="C70" s="500">
        <v>100</v>
      </c>
      <c r="D70" s="500">
        <f>C70-$K22</f>
        <v>100</v>
      </c>
      <c r="E70" s="500"/>
      <c r="F70" s="500"/>
      <c r="G70" s="500"/>
      <c r="H70" s="500"/>
      <c r="I70" s="500"/>
      <c r="J70" s="500"/>
      <c r="K70" s="500"/>
      <c r="L70" s="500"/>
      <c r="M70" s="501"/>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5"/>
      <c r="B71" s="494">
        <f>B23</f>
        <v>111</v>
      </c>
      <c r="C71" s="505"/>
      <c r="D71" s="505"/>
      <c r="E71" s="505"/>
      <c r="F71" s="505"/>
      <c r="G71" s="510"/>
      <c r="H71" s="510"/>
      <c r="I71" s="510"/>
      <c r="J71" s="510"/>
      <c r="K71" s="510"/>
      <c r="L71" s="536"/>
      <c r="M71" s="537"/>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5"/>
      <c r="B72" s="499"/>
      <c r="C72" s="516"/>
      <c r="D72" s="492"/>
      <c r="E72" s="492"/>
      <c r="F72" s="492"/>
      <c r="G72" s="492"/>
      <c r="H72" s="492"/>
      <c r="I72" s="492"/>
      <c r="J72" s="492"/>
      <c r="K72" s="492"/>
      <c r="L72" s="492"/>
      <c r="M72" s="493"/>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5"/>
      <c r="B73" s="494">
        <f>B24</f>
        <v>111</v>
      </c>
      <c r="C73" s="505"/>
      <c r="D73" s="505"/>
      <c r="E73" s="505"/>
      <c r="F73" s="505"/>
      <c r="G73" s="510"/>
      <c r="H73" s="510"/>
      <c r="I73" s="510"/>
      <c r="J73" s="510"/>
      <c r="K73" s="510"/>
      <c r="L73" s="510"/>
      <c r="M73" s="537"/>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5"/>
      <c r="B74" s="499"/>
      <c r="C74" s="516"/>
      <c r="D74" s="492"/>
      <c r="E74" s="492"/>
      <c r="F74" s="492"/>
      <c r="G74" s="492"/>
      <c r="H74" s="492"/>
      <c r="I74" s="492"/>
      <c r="J74" s="492"/>
      <c r="K74" s="492"/>
      <c r="L74" s="492"/>
      <c r="M74" s="493"/>
      <c r="N74" s="2930"/>
      <c r="O74" s="2930"/>
      <c r="P74" s="2954"/>
      <c r="Q74" s="2915"/>
      <c r="R74" s="2835"/>
      <c r="S74" s="2835"/>
      <c r="T74" s="2835"/>
      <c r="U74" s="2835"/>
      <c r="V74" s="2835"/>
      <c r="W74" s="2835"/>
      <c r="X74" s="2835"/>
      <c r="Y74" s="2835"/>
      <c r="Z74" s="2835"/>
      <c r="AA74" s="2835"/>
      <c r="AB74" s="2835"/>
      <c r="AC74" s="2835"/>
      <c r="AD74" s="2835"/>
    </row>
    <row r="75" spans="1:30" s="429" customFormat="1" ht="15.75" thickTop="1">
      <c r="A75" s="509"/>
      <c r="B75" s="494">
        <f>B25</f>
        <v>111</v>
      </c>
      <c r="C75" s="505"/>
      <c r="D75" s="505"/>
      <c r="E75" s="505"/>
      <c r="F75" s="505"/>
      <c r="G75" s="510"/>
      <c r="H75" s="511"/>
      <c r="I75" s="511"/>
      <c r="J75" s="511"/>
      <c r="K75" s="511"/>
      <c r="L75" s="512"/>
      <c r="M75" s="513"/>
      <c r="N75" s="2931"/>
      <c r="O75" s="2931"/>
      <c r="P75" s="2955"/>
      <c r="Q75" s="2922"/>
      <c r="R75" s="2923"/>
      <c r="S75" s="2923"/>
      <c r="T75" s="2923"/>
      <c r="U75" s="2923"/>
      <c r="V75" s="2923"/>
      <c r="W75" s="2923"/>
      <c r="X75" s="2923"/>
      <c r="Y75" s="2923"/>
      <c r="Z75" s="2923"/>
      <c r="AA75" s="2923"/>
      <c r="AB75" s="2923"/>
      <c r="AC75" s="2923"/>
      <c r="AD75" s="2923"/>
    </row>
    <row r="76" spans="1:30" s="429" customFormat="1" ht="15.75" thickBot="1">
      <c r="A76" s="509"/>
      <c r="B76" s="499"/>
      <c r="C76" s="516"/>
      <c r="D76" s="516"/>
      <c r="E76" s="516"/>
      <c r="F76" s="516"/>
      <c r="G76" s="492"/>
      <c r="H76" s="492"/>
      <c r="I76" s="492"/>
      <c r="J76" s="492"/>
      <c r="K76" s="492"/>
      <c r="L76" s="492"/>
      <c r="M76" s="493"/>
      <c r="N76" s="2931"/>
      <c r="O76" s="2931"/>
      <c r="P76" s="2955"/>
      <c r="Q76" s="2922"/>
      <c r="R76" s="2923"/>
      <c r="S76" s="2923"/>
      <c r="T76" s="2923"/>
      <c r="U76" s="2923"/>
      <c r="V76" s="2923"/>
      <c r="W76" s="2923"/>
      <c r="X76" s="2923"/>
      <c r="Y76" s="2923"/>
      <c r="Z76" s="2923"/>
      <c r="AA76" s="2923"/>
      <c r="AB76" s="2923"/>
      <c r="AC76" s="2923"/>
      <c r="AD76" s="2923"/>
    </row>
    <row r="77" spans="1:30" ht="15" thickTop="1">
      <c r="A77" s="483" t="s">
        <v>2143</v>
      </c>
      <c r="B77" s="484" t="s">
        <v>2196</v>
      </c>
      <c r="C77" s="510"/>
      <c r="D77" s="510"/>
      <c r="E77" s="486"/>
      <c r="F77" s="486"/>
      <c r="G77" s="486"/>
      <c r="H77" s="486"/>
      <c r="I77" s="486"/>
      <c r="J77" s="486"/>
      <c r="K77" s="487"/>
      <c r="L77" s="488"/>
      <c r="M77" s="489"/>
      <c r="N77" s="2929"/>
      <c r="O77" s="2929"/>
      <c r="P77" s="2954"/>
      <c r="Q77" s="2915"/>
      <c r="R77" s="2901"/>
      <c r="S77" s="2901"/>
      <c r="T77" s="2901"/>
      <c r="U77" s="2901"/>
      <c r="V77" s="2901"/>
      <c r="W77" s="2901"/>
      <c r="X77" s="2901"/>
      <c r="Y77" s="2901"/>
      <c r="Z77" s="2901"/>
      <c r="AA77" s="2901"/>
      <c r="AB77" s="2901"/>
      <c r="AC77" s="2901"/>
      <c r="AD77" s="290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8"/>
      <c r="O79" s="2928"/>
      <c r="P79" s="2954"/>
      <c r="Q79" s="2915"/>
      <c r="R79" s="2901"/>
      <c r="S79" s="2901"/>
      <c r="T79" s="2901"/>
      <c r="U79" s="2901"/>
      <c r="V79" s="2901"/>
      <c r="W79" s="2901"/>
      <c r="X79" s="2901"/>
      <c r="Y79" s="2901"/>
      <c r="Z79" s="2901"/>
      <c r="AA79" s="2901"/>
      <c r="AB79" s="2901"/>
      <c r="AC79" s="2901"/>
      <c r="AD79" s="2901"/>
    </row>
    <row r="80" spans="1:30" ht="15">
      <c r="A80" s="490"/>
      <c r="B80" s="502"/>
      <c r="C80" s="559">
        <v>0.5</v>
      </c>
      <c r="D80" s="559">
        <v>0.6</v>
      </c>
      <c r="E80" s="559">
        <v>0.7</v>
      </c>
      <c r="F80" s="559">
        <v>0.8</v>
      </c>
      <c r="G80" s="559">
        <v>0.9</v>
      </c>
      <c r="H80" s="559">
        <v>1.0001</v>
      </c>
      <c r="I80" s="615"/>
      <c r="J80" s="615"/>
      <c r="K80" s="623"/>
      <c r="L80" s="624"/>
      <c r="M80" s="625"/>
      <c r="N80" s="2928"/>
      <c r="O80" s="2928"/>
      <c r="P80" s="2954"/>
      <c r="Q80" s="2915"/>
      <c r="R80" s="2901"/>
      <c r="S80" s="2901"/>
      <c r="T80" s="2901"/>
      <c r="U80" s="2901"/>
      <c r="V80" s="2901"/>
      <c r="W80" s="2901"/>
      <c r="X80" s="2901"/>
      <c r="Y80" s="2901"/>
      <c r="Z80" s="2901"/>
      <c r="AA80" s="2901"/>
      <c r="AB80" s="2901"/>
      <c r="AC80" s="2901"/>
      <c r="AD80" s="290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5"/>
      <c r="B82" s="502" t="s">
        <v>2313</v>
      </c>
      <c r="C82" s="510"/>
      <c r="D82" s="510"/>
      <c r="E82" s="539"/>
      <c r="F82" s="539"/>
      <c r="G82" s="539"/>
      <c r="H82" s="539"/>
      <c r="I82" s="539"/>
      <c r="J82" s="539"/>
      <c r="K82" s="540"/>
      <c r="L82" s="541"/>
      <c r="M82" s="542"/>
      <c r="N82" s="2929"/>
      <c r="O82" s="2929"/>
      <c r="P82" s="2954"/>
      <c r="Q82" s="2915"/>
      <c r="R82" s="2901"/>
      <c r="S82" s="2901"/>
      <c r="T82" s="2901"/>
      <c r="U82" s="2901"/>
      <c r="V82" s="2901"/>
      <c r="W82" s="2901"/>
      <c r="X82" s="2901"/>
      <c r="Y82" s="2901"/>
      <c r="Z82" s="2901"/>
      <c r="AA82" s="2901"/>
      <c r="AB82" s="2901"/>
      <c r="AC82" s="2901"/>
      <c r="AD82" s="290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5"/>
      <c r="B84" s="494" t="s">
        <v>2321</v>
      </c>
      <c r="C84" s="510"/>
      <c r="D84" s="510"/>
      <c r="E84" s="510"/>
      <c r="F84" s="510"/>
      <c r="G84" s="510"/>
      <c r="H84" s="510"/>
      <c r="I84" s="539"/>
      <c r="J84" s="539"/>
      <c r="K84" s="540"/>
      <c r="L84" s="541"/>
      <c r="M84" s="542"/>
      <c r="N84" s="2929"/>
      <c r="O84" s="2929"/>
      <c r="P84" s="2954"/>
      <c r="Q84" s="2915"/>
      <c r="R84" s="2901"/>
      <c r="S84" s="2901"/>
      <c r="T84" s="2901"/>
      <c r="U84" s="2901"/>
      <c r="V84" s="2901"/>
      <c r="W84" s="2901"/>
      <c r="X84" s="2901"/>
      <c r="Y84" s="2901"/>
      <c r="Z84" s="2901"/>
      <c r="AA84" s="2901"/>
      <c r="AB84" s="2901"/>
      <c r="AC84" s="2901"/>
      <c r="AD84" s="290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5"/>
      <c r="B87" s="502"/>
      <c r="C87" s="551"/>
      <c r="D87" s="551"/>
      <c r="E87" s="551"/>
      <c r="F87" s="551"/>
      <c r="G87" s="551"/>
      <c r="H87" s="551"/>
      <c r="I87" s="551"/>
      <c r="J87" s="552"/>
      <c r="K87" s="552"/>
      <c r="L87" s="553"/>
      <c r="M87" s="554"/>
      <c r="N87" s="2929"/>
      <c r="O87" s="2929"/>
      <c r="P87" s="2954"/>
      <c r="Q87" s="2915"/>
      <c r="R87" s="2901"/>
      <c r="S87" s="2901"/>
      <c r="T87" s="2901"/>
      <c r="U87" s="2901"/>
      <c r="V87" s="2901"/>
      <c r="W87" s="2901"/>
      <c r="X87" s="2901"/>
      <c r="Y87" s="2901"/>
      <c r="Z87" s="2901"/>
      <c r="AA87" s="2901"/>
      <c r="AB87" s="2901"/>
      <c r="AC87" s="2901"/>
      <c r="AD87" s="2901"/>
    </row>
    <row r="88" spans="1:30" ht="15.75" thickBot="1">
      <c r="A88" s="490"/>
      <c r="B88" s="499"/>
      <c r="C88" s="516"/>
      <c r="D88" s="492"/>
      <c r="E88" s="492"/>
      <c r="F88" s="492"/>
      <c r="G88" s="492"/>
      <c r="H88" s="492"/>
      <c r="I88" s="492"/>
      <c r="J88" s="492"/>
      <c r="K88" s="492"/>
      <c r="L88" s="492"/>
      <c r="M88" s="492"/>
      <c r="N88" s="2930"/>
      <c r="O88" s="2930"/>
      <c r="P88" s="2954"/>
      <c r="Q88" s="2915"/>
      <c r="R88" s="2901"/>
      <c r="S88" s="2901"/>
      <c r="T88" s="2901"/>
      <c r="U88" s="2901"/>
      <c r="V88" s="2901"/>
      <c r="W88" s="2901"/>
      <c r="X88" s="2901"/>
      <c r="Y88" s="2901"/>
      <c r="Z88" s="2901"/>
      <c r="AA88" s="2901"/>
      <c r="AB88" s="2901"/>
      <c r="AC88" s="2901"/>
      <c r="AD88" s="2901"/>
    </row>
    <row r="89" spans="1:30" s="429" customFormat="1" ht="15" thickTop="1">
      <c r="A89" s="549"/>
      <c r="B89" s="494" t="s">
        <v>2323</v>
      </c>
      <c r="C89" s="510"/>
      <c r="D89" s="510"/>
      <c r="E89" s="510"/>
      <c r="F89" s="510"/>
      <c r="G89" s="510"/>
      <c r="H89" s="510"/>
      <c r="I89" s="510"/>
      <c r="J89" s="510"/>
      <c r="K89" s="510"/>
      <c r="L89" s="510"/>
      <c r="M89" s="537"/>
      <c r="N89" s="2931"/>
      <c r="O89" s="2931"/>
      <c r="P89" s="2955"/>
      <c r="Q89" s="2922"/>
      <c r="R89" s="2923"/>
      <c r="S89" s="2923"/>
      <c r="T89" s="2923"/>
      <c r="U89" s="2923"/>
      <c r="V89" s="2923"/>
      <c r="W89" s="2923"/>
      <c r="X89" s="2923"/>
      <c r="Y89" s="2923"/>
      <c r="Z89" s="2923"/>
      <c r="AA89" s="2923"/>
      <c r="AB89" s="2923"/>
      <c r="AC89" s="2923"/>
      <c r="AD89" s="2923"/>
    </row>
    <row r="90" spans="1:30" s="429" customFormat="1" ht="15.75" thickBot="1">
      <c r="A90" s="509"/>
      <c r="B90" s="499"/>
      <c r="C90" s="516"/>
      <c r="D90" s="492"/>
      <c r="E90" s="492"/>
      <c r="F90" s="492"/>
      <c r="G90" s="492"/>
      <c r="H90" s="492"/>
      <c r="I90" s="492"/>
      <c r="J90" s="492"/>
      <c r="K90" s="492"/>
      <c r="L90" s="492"/>
      <c r="M90" s="493"/>
      <c r="N90" s="2931"/>
      <c r="O90" s="2931"/>
      <c r="P90" s="2955"/>
      <c r="Q90" s="2922"/>
      <c r="R90" s="2923"/>
      <c r="S90" s="2923"/>
      <c r="T90" s="2923"/>
      <c r="U90" s="2923"/>
      <c r="V90" s="2923"/>
      <c r="W90" s="2923"/>
      <c r="X90" s="2923"/>
      <c r="Y90" s="2923"/>
      <c r="Z90" s="2923"/>
      <c r="AA90" s="2923"/>
      <c r="AB90" s="2923"/>
      <c r="AC90" s="2923"/>
      <c r="AD90" s="2923"/>
    </row>
    <row r="91" spans="1:30" ht="15" thickTop="1">
      <c r="A91" s="555"/>
      <c r="B91" s="494">
        <f>B32</f>
        <v>111</v>
      </c>
      <c r="C91" s="505"/>
      <c r="D91" s="505"/>
      <c r="E91" s="505"/>
      <c r="F91" s="505"/>
      <c r="G91" s="510"/>
      <c r="H91" s="511"/>
      <c r="I91" s="511"/>
      <c r="J91" s="511"/>
      <c r="K91" s="511"/>
      <c r="L91" s="512"/>
      <c r="M91" s="513"/>
      <c r="N91" s="2929"/>
      <c r="O91" s="2929"/>
      <c r="P91" s="2954"/>
      <c r="Q91" s="2915"/>
      <c r="R91" s="2901"/>
      <c r="S91" s="2901"/>
      <c r="T91" s="2901"/>
      <c r="U91" s="2901"/>
      <c r="V91" s="2901"/>
      <c r="W91" s="2901"/>
      <c r="X91" s="2901"/>
      <c r="Y91" s="2901"/>
      <c r="Z91" s="2901"/>
      <c r="AA91" s="2901"/>
      <c r="AB91" s="2901"/>
      <c r="AC91" s="2901"/>
      <c r="AD91" s="2901"/>
    </row>
    <row r="92" spans="1:30" ht="15.75" thickBot="1">
      <c r="A92" s="490"/>
      <c r="B92" s="499"/>
      <c r="C92" s="516"/>
      <c r="D92" s="492"/>
      <c r="E92" s="492"/>
      <c r="F92" s="492"/>
      <c r="G92" s="516"/>
      <c r="H92" s="518"/>
      <c r="I92" s="518"/>
      <c r="J92" s="518"/>
      <c r="K92" s="518"/>
      <c r="L92" s="518"/>
      <c r="M92" s="519"/>
      <c r="N92" s="2930"/>
      <c r="O92" s="2930"/>
      <c r="P92" s="2954"/>
      <c r="Q92" s="2915"/>
      <c r="R92" s="2901"/>
      <c r="S92" s="2901"/>
      <c r="T92" s="2901"/>
      <c r="U92" s="2901"/>
      <c r="V92" s="2901"/>
      <c r="W92" s="2901"/>
      <c r="X92" s="2901"/>
      <c r="Y92" s="2901"/>
      <c r="Z92" s="2901"/>
      <c r="AA92" s="2901"/>
      <c r="AB92" s="2901"/>
      <c r="AC92" s="2901"/>
      <c r="AD92" s="2901"/>
    </row>
    <row r="93" spans="1:30" ht="15" thickTop="1">
      <c r="A93" s="555"/>
      <c r="B93" s="494">
        <f>B33</f>
        <v>111</v>
      </c>
      <c r="C93" s="505"/>
      <c r="D93" s="505"/>
      <c r="E93" s="505"/>
      <c r="F93" s="505"/>
      <c r="G93" s="510"/>
      <c r="H93" s="511"/>
      <c r="I93" s="511"/>
      <c r="J93" s="511"/>
      <c r="K93" s="511"/>
      <c r="L93" s="512"/>
      <c r="M93" s="513"/>
      <c r="N93" s="2929"/>
      <c r="O93" s="2929"/>
      <c r="P93" s="2954"/>
      <c r="Q93" s="2915"/>
      <c r="R93" s="2901"/>
      <c r="S93" s="2901"/>
      <c r="T93" s="2901"/>
      <c r="U93" s="2901"/>
      <c r="V93" s="2901"/>
      <c r="W93" s="2901"/>
      <c r="X93" s="2901"/>
      <c r="Y93" s="2901"/>
      <c r="Z93" s="2901"/>
      <c r="AA93" s="2901"/>
      <c r="AB93" s="2901"/>
      <c r="AC93" s="2901"/>
      <c r="AD93" s="2901"/>
    </row>
    <row r="94" spans="1:30" ht="15.75" thickBot="1">
      <c r="A94" s="490"/>
      <c r="B94" s="499"/>
      <c r="C94" s="516"/>
      <c r="D94" s="492"/>
      <c r="E94" s="492"/>
      <c r="F94" s="492"/>
      <c r="G94" s="516"/>
      <c r="H94" s="518"/>
      <c r="I94" s="518"/>
      <c r="J94" s="518"/>
      <c r="K94" s="518"/>
      <c r="L94" s="518"/>
      <c r="M94" s="519"/>
      <c r="N94" s="2930"/>
      <c r="O94" s="2930"/>
      <c r="P94" s="2954"/>
      <c r="Q94" s="2915"/>
      <c r="R94" s="2901"/>
      <c r="S94" s="2901"/>
      <c r="T94" s="2901"/>
      <c r="U94" s="2901"/>
      <c r="V94" s="2901"/>
      <c r="W94" s="2901"/>
      <c r="X94" s="2901"/>
      <c r="Y94" s="2901"/>
      <c r="Z94" s="2901"/>
      <c r="AA94" s="2901"/>
      <c r="AB94" s="2901"/>
      <c r="AC94" s="2901"/>
      <c r="AD94" s="2901"/>
    </row>
    <row r="95" spans="1:30" ht="15" thickTop="1">
      <c r="A95" s="555"/>
      <c r="B95" s="591">
        <f>B34</f>
        <v>111</v>
      </c>
      <c r="C95" s="505"/>
      <c r="D95" s="505"/>
      <c r="E95" s="505"/>
      <c r="F95" s="505"/>
      <c r="G95" s="510"/>
      <c r="H95" s="511"/>
      <c r="I95" s="511"/>
      <c r="J95" s="511"/>
      <c r="K95" s="511"/>
      <c r="L95" s="512"/>
      <c r="M95" s="513"/>
      <c r="N95" s="2930"/>
      <c r="O95" s="2930"/>
      <c r="P95" s="2957"/>
      <c r="Q95" s="2944"/>
      <c r="R95" s="2901"/>
      <c r="S95" s="2901"/>
      <c r="T95" s="2901"/>
      <c r="U95" s="2901"/>
      <c r="V95" s="2901"/>
      <c r="W95" s="2901"/>
      <c r="X95" s="2901"/>
      <c r="Y95" s="2901"/>
      <c r="Z95" s="2901"/>
      <c r="AA95" s="2901"/>
      <c r="AB95" s="2901"/>
      <c r="AC95" s="2901"/>
      <c r="AD95" s="2901"/>
    </row>
    <row r="96" spans="1:30" ht="15.75" thickBot="1">
      <c r="A96" s="490"/>
      <c r="B96" s="499"/>
      <c r="C96" s="516"/>
      <c r="D96" s="516"/>
      <c r="E96" s="516"/>
      <c r="F96" s="516"/>
      <c r="G96" s="516"/>
      <c r="H96" s="518"/>
      <c r="I96" s="518"/>
      <c r="J96" s="518"/>
      <c r="K96" s="518"/>
      <c r="L96" s="518"/>
      <c r="M96" s="519"/>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7"/>
      <c r="B98" s="1047"/>
      <c r="C98" s="1047"/>
      <c r="D98" s="1047"/>
      <c r="E98" s="1047"/>
      <c r="F98" s="1047"/>
      <c r="G98" s="1047"/>
      <c r="H98" s="1047"/>
      <c r="I98" s="1047"/>
      <c r="J98" s="1047"/>
      <c r="K98" s="1048"/>
      <c r="L98" s="1049"/>
      <c r="M98" s="1047"/>
      <c r="N98" s="2901"/>
      <c r="O98" s="2901"/>
      <c r="P98" s="2901"/>
      <c r="Q98" s="2901"/>
      <c r="R98" s="2901"/>
      <c r="S98" s="2901"/>
      <c r="T98" s="2901"/>
      <c r="U98" s="2901"/>
      <c r="V98" s="2901"/>
      <c r="W98" s="2901"/>
      <c r="X98" s="2901"/>
      <c r="Y98" s="2901"/>
      <c r="Z98" s="2901"/>
      <c r="AA98" s="2901"/>
      <c r="AB98" s="2901"/>
      <c r="AC98" s="2901"/>
      <c r="AD98" s="2901"/>
    </row>
    <row r="99" spans="1:30">
      <c r="A99" s="1047"/>
      <c r="B99" s="1047"/>
      <c r="C99" s="1047"/>
      <c r="D99" s="1047"/>
      <c r="E99" s="1047"/>
      <c r="F99" s="1047"/>
      <c r="G99" s="1047"/>
      <c r="H99" s="1047"/>
      <c r="I99" s="1047"/>
      <c r="J99" s="1047"/>
      <c r="K99" s="1048"/>
      <c r="L99" s="1049"/>
      <c r="M99" s="1047"/>
      <c r="N99" s="2901"/>
      <c r="O99" s="2901"/>
      <c r="P99" s="2901"/>
      <c r="Q99" s="2901"/>
      <c r="R99" s="2901"/>
      <c r="S99" s="2901"/>
      <c r="T99" s="2901"/>
      <c r="U99" s="2901"/>
      <c r="V99" s="2901"/>
      <c r="W99" s="2901"/>
      <c r="X99" s="2901"/>
      <c r="Y99" s="2901"/>
      <c r="Z99" s="2901"/>
      <c r="AA99" s="2901"/>
      <c r="AB99" s="2901"/>
      <c r="AC99" s="2901"/>
      <c r="AD99" s="2901"/>
    </row>
    <row r="100" spans="1:30">
      <c r="A100" s="1047"/>
      <c r="B100" s="1047"/>
      <c r="C100" s="1047"/>
      <c r="D100" s="1047"/>
      <c r="E100" s="1047"/>
      <c r="F100" s="1047"/>
      <c r="G100" s="1047"/>
      <c r="H100" s="1047"/>
      <c r="I100" s="1047"/>
      <c r="J100" s="1047"/>
      <c r="K100" s="1048"/>
      <c r="L100" s="1049"/>
      <c r="M100" s="1047"/>
      <c r="N100" s="2901"/>
      <c r="O100" s="2901"/>
      <c r="P100" s="2901"/>
      <c r="Q100" s="2901"/>
      <c r="R100" s="2901"/>
      <c r="S100" s="2901"/>
      <c r="T100" s="2901"/>
      <c r="U100" s="2901"/>
      <c r="V100" s="2901"/>
      <c r="W100" s="2901"/>
      <c r="X100" s="2901"/>
      <c r="Y100" s="2901"/>
      <c r="Z100" s="2901"/>
      <c r="AA100" s="2901"/>
      <c r="AB100" s="2901"/>
      <c r="AC100" s="2901"/>
      <c r="AD100" s="2901"/>
    </row>
    <row r="101" spans="1:30">
      <c r="A101" s="1047"/>
      <c r="B101" s="1047"/>
      <c r="C101" s="1047"/>
      <c r="D101" s="1047"/>
      <c r="E101" s="1047"/>
      <c r="F101" s="1047"/>
      <c r="G101" s="1047"/>
      <c r="H101" s="1047"/>
      <c r="I101" s="1047"/>
      <c r="J101" s="1047"/>
      <c r="K101" s="1048"/>
      <c r="L101" s="1049"/>
      <c r="M101" s="1047"/>
      <c r="N101" s="2901"/>
      <c r="O101" s="2901"/>
      <c r="P101" s="2901"/>
      <c r="Q101" s="2901"/>
      <c r="R101" s="2901"/>
      <c r="S101" s="2901"/>
      <c r="T101" s="2901"/>
      <c r="U101" s="2901"/>
      <c r="V101" s="2901"/>
      <c r="W101" s="2901"/>
      <c r="X101" s="2901"/>
      <c r="Y101" s="2901"/>
      <c r="Z101" s="2901"/>
      <c r="AA101" s="2901"/>
      <c r="AB101" s="2901"/>
      <c r="AC101" s="2901"/>
      <c r="AD101" s="2901"/>
    </row>
    <row r="102" spans="1:30">
      <c r="A102" s="1047"/>
      <c r="B102" s="1047"/>
      <c r="C102" s="1047"/>
      <c r="D102" s="1047"/>
      <c r="E102" s="1047"/>
      <c r="F102" s="1047"/>
      <c r="G102" s="1047"/>
      <c r="H102" s="1047"/>
      <c r="I102" s="1047"/>
      <c r="J102" s="1047"/>
      <c r="K102" s="1048"/>
      <c r="L102" s="1049"/>
      <c r="M102" s="1047"/>
      <c r="N102" s="2901"/>
      <c r="O102" s="2901"/>
      <c r="P102" s="2901"/>
      <c r="Q102" s="2901"/>
      <c r="R102" s="2901"/>
      <c r="S102" s="2901"/>
      <c r="T102" s="2901"/>
      <c r="U102" s="2901"/>
      <c r="V102" s="2901"/>
      <c r="W102" s="2901"/>
      <c r="X102" s="2901"/>
      <c r="Y102" s="2901"/>
      <c r="Z102" s="2901"/>
      <c r="AA102" s="2901"/>
      <c r="AB102" s="2901"/>
      <c r="AC102" s="2901"/>
      <c r="AD102" s="2901"/>
    </row>
    <row r="103" spans="1:30">
      <c r="A103" s="1047"/>
      <c r="B103" s="1047"/>
      <c r="C103" s="1047"/>
      <c r="D103" s="1047"/>
      <c r="E103" s="1047"/>
      <c r="F103" s="1047"/>
      <c r="G103" s="1047"/>
      <c r="H103" s="1047"/>
      <c r="I103" s="1047"/>
      <c r="J103" s="1047"/>
      <c r="K103" s="1048"/>
      <c r="L103" s="1049"/>
      <c r="M103" s="1047"/>
      <c r="N103" s="1047"/>
      <c r="O103" s="1047"/>
      <c r="P103" s="2901"/>
      <c r="Q103" s="2901"/>
      <c r="R103" s="2901"/>
      <c r="S103" s="2901"/>
      <c r="T103" s="2901"/>
      <c r="U103" s="2901"/>
      <c r="V103" s="2901"/>
      <c r="W103" s="2901"/>
      <c r="X103" s="2901"/>
      <c r="Y103" s="2901"/>
      <c r="Z103" s="2901"/>
      <c r="AA103" s="2901"/>
      <c r="AB103" s="2901"/>
      <c r="AC103" s="2901"/>
      <c r="AD103" s="2901"/>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4" customWidth="1"/>
    <col min="33" max="36" width="9.375" style="2198" customWidth="1"/>
    <col min="37" max="38" width="9.375" style="2132" customWidth="1"/>
    <col min="39" max="16384" width="12" style="2132"/>
  </cols>
  <sheetData>
    <row r="1" spans="1:36" ht="28.5">
      <c r="A1" s="201" t="s">
        <v>2381</v>
      </c>
      <c r="B1" s="202"/>
      <c r="C1" s="206" t="s">
        <v>2382</v>
      </c>
      <c r="D1" s="347">
        <f>SUM(D29:D30,D33:D39)</f>
        <v>0</v>
      </c>
      <c r="E1" s="2129"/>
      <c r="F1" s="2129"/>
      <c r="G1" s="2129"/>
      <c r="H1" s="2129"/>
      <c r="I1" s="2129"/>
      <c r="J1" s="2129"/>
      <c r="K1" s="1232"/>
      <c r="L1" s="2130" t="s">
        <v>2383</v>
      </c>
      <c r="M1" s="974">
        <f>SUMPRODUCT((区片价!B5:B9=I2)*(区片价!C3:F3=E2)*(区片价!C5:F9))</f>
        <v>0</v>
      </c>
      <c r="N1" s="977">
        <f>SUMPRODUCT((因素修正幅度!B5:B9=I2)*(因素修正幅度!C3:F3=E2)*(因素修正幅度!C5:F9))</f>
        <v>0</v>
      </c>
      <c r="O1" s="2131"/>
      <c r="P1" s="2131"/>
      <c r="Q1" s="1232"/>
      <c r="R1" s="1325" t="s">
        <v>2384</v>
      </c>
      <c r="S1" s="1325" t="s">
        <v>2385</v>
      </c>
      <c r="T1" s="1325" t="s">
        <v>2386</v>
      </c>
      <c r="U1" s="1325" t="s">
        <v>2387</v>
      </c>
      <c r="V1" s="1325" t="s">
        <v>2388</v>
      </c>
      <c r="W1" s="1329"/>
      <c r="X1" s="1329"/>
      <c r="Y1" s="1329"/>
      <c r="Z1" s="1329"/>
      <c r="AA1" s="1329"/>
      <c r="AB1" s="1329"/>
      <c r="AC1" s="1330"/>
      <c r="AD1" s="1331"/>
      <c r="AE1" s="1331"/>
      <c r="AF1" s="1331"/>
      <c r="AG1" s="1331"/>
      <c r="AH1" s="1331"/>
      <c r="AI1" s="1331"/>
      <c r="AJ1" s="1332"/>
    </row>
    <row r="2" spans="1:36" ht="15.75">
      <c r="A2" s="206" t="s">
        <v>2389</v>
      </c>
      <c r="B2" s="209" t="e">
        <f>C26</f>
        <v>#DIV/0!</v>
      </c>
      <c r="C2" s="2133" t="s">
        <v>2390</v>
      </c>
      <c r="D2" s="2134" t="s">
        <v>2391</v>
      </c>
      <c r="E2" s="2135"/>
      <c r="F2" s="2134" t="s">
        <v>2392</v>
      </c>
      <c r="G2" s="2136">
        <f>IF(E2="商业",项目基本情况!B37,IF(E2="办公",项目基本情况!C37,IF(E2="住宅",项目基本情况!D37,项目基本情况!E37)))</f>
        <v>0</v>
      </c>
      <c r="H2" s="2134" t="s">
        <v>2393</v>
      </c>
      <c r="I2" s="2136">
        <f>IF(E2="商业",项目基本情况!B38,IF(E2="办公",项目基本情况!C38,IF(E2="住宅",项目基本情况!D38,项目基本情况!E38)))</f>
        <v>0</v>
      </c>
      <c r="J2" s="2137"/>
      <c r="K2" s="1232"/>
      <c r="L2" s="2138" t="s">
        <v>2394</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2395</v>
      </c>
      <c r="B3" s="209" t="e">
        <f>ROUND(B2*10000/D1,0)</f>
        <v>#DIV/0!</v>
      </c>
      <c r="C3" s="2133" t="s">
        <v>2396</v>
      </c>
      <c r="D3" s="2134" t="s">
        <v>2397</v>
      </c>
      <c r="E3" s="2139"/>
      <c r="F3" s="2140" t="s">
        <v>2398</v>
      </c>
      <c r="G3" s="836">
        <f>IF(F3="宗地容积率",'数据-汇总表'!I4,IF(F3="估价对象容积率",'数据-汇总表'!I6,'数据-汇总表'!I7))</f>
        <v>0.81</v>
      </c>
      <c r="H3" s="174" t="s">
        <v>2399</v>
      </c>
      <c r="I3" s="861"/>
      <c r="J3" s="2137" t="s">
        <v>2400</v>
      </c>
      <c r="K3" s="1232"/>
      <c r="L3" s="2138" t="s">
        <v>2401</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42"/>
      <c r="B4" s="3543"/>
      <c r="C4" s="3543"/>
      <c r="D4" s="3544"/>
      <c r="E4" s="3544"/>
      <c r="F4" s="3544"/>
      <c r="G4" s="3544"/>
      <c r="H4" s="3544"/>
      <c r="I4" s="3544"/>
      <c r="J4" s="3545"/>
      <c r="K4" s="1232"/>
      <c r="L4" s="2138" t="s">
        <v>2402</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0" customFormat="1" ht="15.75" thickBot="1">
      <c r="A5" s="2141" t="s">
        <v>626</v>
      </c>
      <c r="B5" s="2142" t="s">
        <v>2403</v>
      </c>
      <c r="C5" s="837" t="e">
        <f>ROUND(IF(E2="商业",C6*C7+C16,(IF(E2="住宅",C6*C12+C16,C6+C16))),0)</f>
        <v>#DIV/0!</v>
      </c>
      <c r="D5" s="1472" t="e">
        <f>ROUND(C6+C16,0)</f>
        <v>#DIV/0!</v>
      </c>
      <c r="E5" s="1472"/>
      <c r="F5" s="2143"/>
      <c r="G5" s="2144"/>
      <c r="H5" s="2144"/>
      <c r="I5" s="2144"/>
      <c r="J5" s="2145"/>
      <c r="K5" s="2146"/>
      <c r="L5" s="2138" t="s">
        <v>2404</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7"/>
      <c r="AD5" s="2148"/>
      <c r="AE5" s="2148"/>
      <c r="AF5" s="2148"/>
      <c r="AG5" s="2148"/>
      <c r="AH5" s="2148"/>
      <c r="AI5" s="2148"/>
      <c r="AJ5" s="2149"/>
    </row>
    <row r="6" spans="1:36" ht="15.75" thickBot="1">
      <c r="A6" s="2151" t="s">
        <v>2405</v>
      </c>
      <c r="B6" s="2152" t="s">
        <v>2406</v>
      </c>
      <c r="C6" s="838">
        <f>SUMIF(L1:L12,G2,M1:M12)</f>
        <v>0</v>
      </c>
      <c r="D6" s="2153" t="s">
        <v>2407</v>
      </c>
      <c r="E6" s="2154"/>
      <c r="F6" s="2154"/>
      <c r="G6" s="2155"/>
      <c r="H6" s="2155"/>
      <c r="I6" s="2155"/>
      <c r="J6" s="2156"/>
      <c r="K6" s="1517"/>
      <c r="L6" s="2138" t="s">
        <v>2408</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7"/>
      <c r="AD6" s="2148"/>
      <c r="AE6" s="2148"/>
      <c r="AF6" s="2148"/>
      <c r="AG6" s="2148"/>
      <c r="AH6" s="2148"/>
      <c r="AI6" s="2148"/>
      <c r="AJ6" s="2149"/>
    </row>
    <row r="7" spans="1:36" ht="24">
      <c r="A7" s="3546" t="str">
        <f>IF(E2="商业",IF(C8="不临58条商业街","",2),"")</f>
        <v/>
      </c>
      <c r="B7" s="2157" t="s">
        <v>2409</v>
      </c>
      <c r="C7" s="839" t="e">
        <f>IF(C8="不临58条商业街",1,ROUND(1+(1.6*E8+1.2*E9+0.8*E10+0.4*E11)*C9,4))</f>
        <v>#DIV/0!</v>
      </c>
      <c r="D7" s="2158" t="s">
        <v>2410</v>
      </c>
      <c r="E7" s="862"/>
      <c r="F7" s="2159"/>
      <c r="G7" s="2160"/>
      <c r="H7" s="2160"/>
      <c r="I7" s="2160"/>
      <c r="J7" s="2161"/>
      <c r="K7" s="1517"/>
      <c r="L7" s="2138" t="s">
        <v>2411</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2412</v>
      </c>
      <c r="X7" s="1327">
        <f>G2</f>
        <v>0</v>
      </c>
      <c r="Y7" s="1327" t="s">
        <v>2413</v>
      </c>
      <c r="Z7" s="1328">
        <f>G3</f>
        <v>0.81</v>
      </c>
      <c r="AA7" s="1329"/>
      <c r="AB7" s="1329"/>
      <c r="AC7" s="1330"/>
      <c r="AD7" s="1331"/>
      <c r="AE7" s="1331"/>
      <c r="AF7" s="1331"/>
      <c r="AG7" s="1331"/>
      <c r="AH7" s="1331"/>
      <c r="AI7" s="1331"/>
      <c r="AJ7" s="1332"/>
    </row>
    <row r="8" spans="1:36" ht="15">
      <c r="A8" s="3547"/>
      <c r="B8" s="174" t="s">
        <v>2414</v>
      </c>
      <c r="C8" s="2162"/>
      <c r="D8" s="840" t="s">
        <v>139</v>
      </c>
      <c r="E8" s="841" t="e">
        <f>ROUND(C11/E7,4)</f>
        <v>#DIV/0!</v>
      </c>
      <c r="F8" s="2163" t="s">
        <v>2415</v>
      </c>
      <c r="G8" s="2164"/>
      <c r="H8" s="2164"/>
      <c r="I8" s="2164"/>
      <c r="J8" s="2165"/>
      <c r="K8" s="1232"/>
      <c r="L8" s="2138" t="s">
        <v>2416</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39" t="s">
        <v>2417</v>
      </c>
      <c r="X8" s="3540"/>
      <c r="Y8" s="1333" t="s">
        <v>2418</v>
      </c>
      <c r="Z8" s="1333" t="s">
        <v>2419</v>
      </c>
      <c r="AA8" s="1333" t="s">
        <v>2420</v>
      </c>
      <c r="AB8" s="1333" t="s">
        <v>2421</v>
      </c>
      <c r="AC8" s="1333" t="s">
        <v>2422</v>
      </c>
      <c r="AD8" s="1333" t="s">
        <v>2423</v>
      </c>
      <c r="AE8" s="1333" t="s">
        <v>2424</v>
      </c>
      <c r="AF8" s="1333" t="s">
        <v>2425</v>
      </c>
      <c r="AG8" s="1333" t="s">
        <v>2426</v>
      </c>
      <c r="AH8" s="1333" t="s">
        <v>2427</v>
      </c>
      <c r="AI8" s="1333" t="s">
        <v>2428</v>
      </c>
      <c r="AJ8" s="1333" t="s">
        <v>2429</v>
      </c>
    </row>
    <row r="9" spans="1:36" ht="15">
      <c r="A9" s="3547"/>
      <c r="B9" s="174" t="s">
        <v>2430</v>
      </c>
      <c r="C9" s="842">
        <f>SUMIF(修正!C71:C138,C8,修正!E71:E138)</f>
        <v>0</v>
      </c>
      <c r="D9" s="175" t="s">
        <v>140</v>
      </c>
      <c r="E9" s="175" t="e">
        <f>ROUND(C11/E7,4)</f>
        <v>#DIV/0!</v>
      </c>
      <c r="F9" s="2163" t="s">
        <v>2431</v>
      </c>
      <c r="G9" s="2164"/>
      <c r="H9" s="2164"/>
      <c r="I9" s="2164"/>
      <c r="J9" s="2165"/>
      <c r="K9" s="1232"/>
      <c r="L9" s="2138" t="s">
        <v>2432</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41" t="s">
        <v>2433</v>
      </c>
      <c r="X9" s="1334" t="s">
        <v>2434</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47"/>
      <c r="B10" s="174" t="s">
        <v>2435</v>
      </c>
      <c r="C10" s="175">
        <f>SUMIF(修正!C71:C138,C8,修正!F71:F138)</f>
        <v>0</v>
      </c>
      <c r="D10" s="175" t="s">
        <v>141</v>
      </c>
      <c r="E10" s="175" t="e">
        <f>ROUND(C11/E7,4)</f>
        <v>#DIV/0!</v>
      </c>
      <c r="F10" s="2163" t="s">
        <v>2436</v>
      </c>
      <c r="G10" s="2164"/>
      <c r="H10" s="2164"/>
      <c r="I10" s="2164"/>
      <c r="J10" s="2165"/>
      <c r="K10" s="1232"/>
      <c r="L10" s="2138" t="s">
        <v>2437</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41"/>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47"/>
      <c r="B11" s="2166" t="s">
        <v>2438</v>
      </c>
      <c r="C11" s="843">
        <f>C10/4</f>
        <v>0</v>
      </c>
      <c r="D11" s="843" t="s">
        <v>142</v>
      </c>
      <c r="E11" s="843" t="e">
        <f>ROUND(C11/E7,4)</f>
        <v>#DIV/0!</v>
      </c>
      <c r="F11" s="2167" t="s">
        <v>2439</v>
      </c>
      <c r="G11" s="2168"/>
      <c r="H11" s="2168"/>
      <c r="I11" s="2168"/>
      <c r="J11" s="2169"/>
      <c r="K11" s="1232"/>
      <c r="L11" s="2138" t="s">
        <v>2440</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41" t="s">
        <v>2441</v>
      </c>
      <c r="X11" s="1337" t="s">
        <v>2442</v>
      </c>
      <c r="Y11" s="1338">
        <f>$G$3</f>
        <v>0.81</v>
      </c>
      <c r="Z11" s="1338">
        <f t="shared" ref="Z11:AJ11" si="3">$G$3</f>
        <v>0.81</v>
      </c>
      <c r="AA11" s="1338">
        <f t="shared" si="3"/>
        <v>0.81</v>
      </c>
      <c r="AB11" s="1338">
        <f t="shared" si="3"/>
        <v>0.81</v>
      </c>
      <c r="AC11" s="1338">
        <f t="shared" si="3"/>
        <v>0.81</v>
      </c>
      <c r="AD11" s="1338">
        <f t="shared" si="3"/>
        <v>0.81</v>
      </c>
      <c r="AE11" s="1338">
        <f t="shared" si="3"/>
        <v>0.81</v>
      </c>
      <c r="AF11" s="1338">
        <f t="shared" si="3"/>
        <v>0.81</v>
      </c>
      <c r="AG11" s="1338">
        <f t="shared" si="3"/>
        <v>0.81</v>
      </c>
      <c r="AH11" s="1338">
        <f t="shared" si="3"/>
        <v>0.81</v>
      </c>
      <c r="AI11" s="1338">
        <f t="shared" si="3"/>
        <v>0.81</v>
      </c>
      <c r="AJ11" s="1338">
        <f t="shared" si="3"/>
        <v>0.81</v>
      </c>
    </row>
    <row r="12" spans="1:36" ht="25.5" thickBot="1">
      <c r="A12" s="3546" t="s">
        <v>2443</v>
      </c>
      <c r="B12" s="2170" t="s">
        <v>2444</v>
      </c>
      <c r="C12" s="839">
        <f>ROUND(C15*D15*E15*F15*G15*H15*I15*J15,4)</f>
        <v>1</v>
      </c>
      <c r="D12" s="2171" t="s">
        <v>2445</v>
      </c>
      <c r="E12" s="2172"/>
      <c r="F12" s="2172"/>
      <c r="G12" s="2173"/>
      <c r="H12" s="2173"/>
      <c r="I12" s="2173"/>
      <c r="J12" s="2174"/>
      <c r="K12" s="1232"/>
      <c r="L12" s="2175" t="s">
        <v>2446</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41"/>
      <c r="X12" s="1339" t="s">
        <v>2447</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48"/>
      <c r="B13" s="2176" t="s">
        <v>2448</v>
      </c>
      <c r="C13" s="2177" t="s">
        <v>2449</v>
      </c>
      <c r="D13" s="1483" t="s">
        <v>2450</v>
      </c>
      <c r="E13" s="1483" t="s">
        <v>2451</v>
      </c>
      <c r="F13" s="30" t="s">
        <v>2452</v>
      </c>
      <c r="G13" s="2178" t="s">
        <v>2453</v>
      </c>
      <c r="H13" s="2178" t="s">
        <v>2453</v>
      </c>
      <c r="I13" s="2178" t="s">
        <v>2453</v>
      </c>
      <c r="J13" s="2179" t="s">
        <v>2453</v>
      </c>
      <c r="K13" s="1232"/>
      <c r="L13" s="1232"/>
      <c r="M13" s="1232"/>
      <c r="N13" s="1232"/>
      <c r="O13" s="1232"/>
      <c r="P13" s="1232"/>
      <c r="Q13" s="1232"/>
      <c r="R13" s="1325">
        <v>12</v>
      </c>
      <c r="S13" s="1326"/>
      <c r="T13" s="1325" t="e">
        <f t="shared" si="0"/>
        <v>#DIV/0!</v>
      </c>
      <c r="U13" s="1326"/>
      <c r="V13" s="1325" t="e">
        <f t="shared" si="1"/>
        <v>#DIV/0!</v>
      </c>
      <c r="W13" s="3541"/>
      <c r="X13" s="1339"/>
      <c r="Y13" s="1336">
        <f>(-0.163*(Y12^2)-0.59*Y12+7617)*(10^(-4))/Y11</f>
        <v>0.94037037037037041</v>
      </c>
      <c r="Z13" s="1336">
        <f t="shared" ref="Z13:AJ13" si="5">(-0.163*(Z12^2)-0.59*Z12+7617)*(10^(-4))/Z11</f>
        <v>0.94037037037037041</v>
      </c>
      <c r="AA13" s="1336">
        <f t="shared" si="5"/>
        <v>0.94037037037037041</v>
      </c>
      <c r="AB13" s="1336">
        <f t="shared" si="5"/>
        <v>0.94037037037037041</v>
      </c>
      <c r="AC13" s="1336">
        <f t="shared" si="5"/>
        <v>0.94037037037037041</v>
      </c>
      <c r="AD13" s="1336">
        <f t="shared" si="5"/>
        <v>0.94037037037037041</v>
      </c>
      <c r="AE13" s="1336">
        <f t="shared" si="5"/>
        <v>0.94037037037037041</v>
      </c>
      <c r="AF13" s="1336">
        <f t="shared" si="5"/>
        <v>0.94037037037037041</v>
      </c>
      <c r="AG13" s="1336">
        <f t="shared" si="5"/>
        <v>0.94037037037037041</v>
      </c>
      <c r="AH13" s="1336">
        <f t="shared" si="5"/>
        <v>0.94037037037037041</v>
      </c>
      <c r="AI13" s="1336">
        <f t="shared" si="5"/>
        <v>0.94037037037037041</v>
      </c>
      <c r="AJ13" s="1336">
        <f t="shared" si="5"/>
        <v>0.94037037037037041</v>
      </c>
    </row>
    <row r="14" spans="1:36" ht="15">
      <c r="A14" s="3548"/>
      <c r="B14" s="2180"/>
      <c r="C14" s="2181"/>
      <c r="D14" s="2182"/>
      <c r="E14" s="2182"/>
      <c r="F14" s="2183"/>
      <c r="G14" s="2184" t="s">
        <v>2454</v>
      </c>
      <c r="H14" s="2185"/>
      <c r="I14" s="2186"/>
      <c r="J14" s="2187"/>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7"/>
      <c r="AE14" s="2967"/>
      <c r="AF14" s="2967"/>
      <c r="AG14" s="2967"/>
      <c r="AH14" s="2967"/>
      <c r="AI14" s="2967"/>
      <c r="AJ14" s="2968"/>
    </row>
    <row r="15" spans="1:36" ht="15.75" thickBot="1">
      <c r="A15" s="3549"/>
      <c r="B15" s="2188" t="s">
        <v>2455</v>
      </c>
      <c r="C15" s="192">
        <f>IF(C14="有",1.1,1)</f>
        <v>1</v>
      </c>
      <c r="D15" s="192">
        <f>IF(D14="有",1.1,1)</f>
        <v>1</v>
      </c>
      <c r="E15" s="192">
        <f>IF(E14="有",1.1,1)</f>
        <v>1</v>
      </c>
      <c r="F15" s="192">
        <f>IF(F14="500米范围内",1.2,IF(F14="500-1000米",1.1,1))</f>
        <v>1</v>
      </c>
      <c r="G15" s="863">
        <v>1</v>
      </c>
      <c r="H15" s="863">
        <v>1</v>
      </c>
      <c r="I15" s="863">
        <v>1</v>
      </c>
      <c r="J15" s="864">
        <v>1</v>
      </c>
      <c r="K15" s="1232"/>
      <c r="L15" s="2131"/>
      <c r="M15" s="2131"/>
      <c r="N15" s="2131"/>
      <c r="O15" s="2131"/>
      <c r="P15" s="2131"/>
      <c r="Q15" s="1232"/>
      <c r="R15" s="1325">
        <v>14</v>
      </c>
      <c r="S15" s="1326"/>
      <c r="T15" s="1325" t="e">
        <f t="shared" si="0"/>
        <v>#DIV/0!</v>
      </c>
      <c r="U15" s="1326"/>
      <c r="V15" s="1325" t="e">
        <f t="shared" si="1"/>
        <v>#DIV/0!</v>
      </c>
      <c r="W15" s="1329"/>
      <c r="X15" s="1329"/>
      <c r="Y15" s="1329"/>
      <c r="Z15" s="1329"/>
      <c r="AA15" s="1329"/>
      <c r="AB15" s="1329"/>
      <c r="AC15" s="1330"/>
      <c r="AD15" s="2967"/>
      <c r="AE15" s="2967"/>
      <c r="AF15" s="2967"/>
      <c r="AG15" s="2967"/>
      <c r="AH15" s="2967"/>
      <c r="AI15" s="2967"/>
      <c r="AJ15" s="2968"/>
    </row>
    <row r="16" spans="1:36" ht="24.6" customHeight="1">
      <c r="A16" s="3546" t="s">
        <v>2460</v>
      </c>
      <c r="B16" s="2157" t="s">
        <v>2461</v>
      </c>
      <c r="C16" s="2319" t="e">
        <f>ROUND(IF(F17="与级别开发程度一致",0,(G17-E17)/C17),0)</f>
        <v>#DIV/0!</v>
      </c>
      <c r="D16" s="3562" t="s">
        <v>2465</v>
      </c>
      <c r="E16" s="3563"/>
      <c r="F16" s="3562" t="s">
        <v>2462</v>
      </c>
      <c r="G16" s="3563"/>
      <c r="H16" s="2189"/>
      <c r="I16" s="2189"/>
      <c r="J16" s="2323"/>
      <c r="K16" s="2189"/>
      <c r="L16" s="2189"/>
      <c r="M16" s="2189"/>
      <c r="N16" s="2189"/>
      <c r="O16" s="2190"/>
      <c r="P16" s="2131"/>
      <c r="Q16" s="1232"/>
      <c r="R16" s="1325">
        <v>15</v>
      </c>
      <c r="S16" s="1326"/>
      <c r="T16" s="1325" t="e">
        <f t="shared" si="0"/>
        <v>#DIV/0!</v>
      </c>
      <c r="U16" s="1326"/>
      <c r="V16" s="1325" t="e">
        <f t="shared" si="1"/>
        <v>#DIV/0!</v>
      </c>
      <c r="W16" s="1329"/>
      <c r="X16" s="1329"/>
      <c r="Y16" s="1329"/>
      <c r="Z16" s="1329"/>
      <c r="AA16" s="1329"/>
      <c r="AB16" s="1329"/>
      <c r="AC16" s="1330"/>
      <c r="AD16" s="2967"/>
      <c r="AE16" s="2967"/>
      <c r="AF16" s="2967"/>
      <c r="AG16" s="2967"/>
      <c r="AH16" s="2967"/>
      <c r="AI16" s="2967"/>
      <c r="AJ16" s="2968"/>
    </row>
    <row r="17" spans="1:37" ht="13.5" thickBot="1">
      <c r="A17" s="3550"/>
      <c r="B17" s="2330" t="s">
        <v>2464</v>
      </c>
      <c r="C17" s="2331">
        <f>SUMPRODUCT((修正!A2:A7=E2)*(修正!B1:M1=G2)*(修正!B2:M7))</f>
        <v>0</v>
      </c>
      <c r="D17" s="192"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2"/>
      <c r="R17" s="1232"/>
      <c r="S17" s="1232"/>
      <c r="T17" s="1232"/>
      <c r="U17" s="1232"/>
      <c r="V17" s="1232"/>
      <c r="W17" s="1232"/>
      <c r="X17" s="1232"/>
      <c r="Y17" s="1232"/>
      <c r="Z17" s="1233"/>
      <c r="AA17" s="1233"/>
      <c r="AB17" s="1233"/>
      <c r="AC17" s="1233"/>
      <c r="AD17" s="1233"/>
      <c r="AE17" s="1232"/>
      <c r="AF17" s="1232"/>
      <c r="AG17" s="2131"/>
      <c r="AH17" s="2131"/>
      <c r="AI17" s="2131"/>
      <c r="AJ17" s="2131"/>
    </row>
    <row r="18" spans="1:37" s="2150" customFormat="1" ht="15.75" thickBot="1">
      <c r="A18" s="2324" t="s">
        <v>627</v>
      </c>
      <c r="B18" s="2325" t="s">
        <v>2467</v>
      </c>
      <c r="C18" s="2326">
        <f>SUMIF(修正!C20:C51,E3,修正!E20:E51)</f>
        <v>0</v>
      </c>
      <c r="D18" s="2327"/>
      <c r="E18" s="2328"/>
      <c r="F18" s="2328"/>
      <c r="G18" s="2328"/>
      <c r="H18" s="2328"/>
      <c r="I18" s="2328"/>
      <c r="J18" s="2329"/>
      <c r="K18" s="1239"/>
      <c r="L18" s="2966"/>
      <c r="M18" s="2966"/>
      <c r="N18" s="2966"/>
      <c r="O18" s="1237"/>
      <c r="P18" s="1237"/>
      <c r="Q18" s="1238"/>
      <c r="R18" s="1238"/>
      <c r="S18" s="1238"/>
      <c r="T18" s="1233"/>
      <c r="U18" s="1233"/>
      <c r="V18" s="1233"/>
      <c r="W18" s="1232"/>
      <c r="X18" s="1232"/>
      <c r="Y18" s="1232"/>
      <c r="Z18" s="1239"/>
      <c r="AA18" s="1239"/>
      <c r="AB18" s="1239"/>
      <c r="AC18" s="1239"/>
      <c r="AD18" s="1239"/>
      <c r="AE18" s="1233"/>
      <c r="AF18" s="1233"/>
      <c r="AG18" s="2288"/>
      <c r="AH18" s="2288"/>
      <c r="AI18" s="2288"/>
      <c r="AJ18" s="2966"/>
    </row>
    <row r="19" spans="1:37" s="2150" customFormat="1" ht="27.75" thickBot="1">
      <c r="A19" s="2194" t="s">
        <v>628</v>
      </c>
      <c r="B19" s="2195" t="s">
        <v>2468</v>
      </c>
      <c r="C19" s="844" t="e">
        <f>ROUND(IF(H19="按公示增长率计算",SUMPRODUCT((地价!A3:A37=YEAR(G19)&amp;"-"&amp;ROUNDUP(MONTH(G19)/3,0))*(地价!X2:AB2=E2)*(地价!X3:AB37)),IF(H19="地价指数",M20/M19,(1+I19)^O19)),4)</f>
        <v>#VALUE!</v>
      </c>
      <c r="D19" s="2199" t="s">
        <v>2469</v>
      </c>
      <c r="E19" s="845">
        <v>41640</v>
      </c>
      <c r="F19" s="2199" t="s">
        <v>2470</v>
      </c>
      <c r="G19" s="846">
        <f>'数据-取费表'!B2</f>
        <v>44781</v>
      </c>
      <c r="H19" s="2200"/>
      <c r="I19" s="847" t="str">
        <f>IF(H19="季度增幅（自定义）",SUMIF(N21:N24,E2,O21:O24),"")</f>
        <v/>
      </c>
      <c r="J19" s="2197"/>
      <c r="K19" s="1239"/>
      <c r="L19" s="2201" t="s">
        <v>2471</v>
      </c>
      <c r="M19" s="1447">
        <f>ROUND(SUMIF(地价!B2:F2,E2,地价!B37:F37),0)</f>
        <v>0</v>
      </c>
      <c r="N19" s="2202" t="s">
        <v>2472</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9"/>
      <c r="AH19" s="2288"/>
      <c r="AI19" s="2970"/>
      <c r="AJ19" s="2970"/>
      <c r="AK19" s="2203"/>
    </row>
    <row r="20" spans="1:37" s="2150" customFormat="1" ht="27.75" thickBot="1">
      <c r="A20" s="2204" t="s">
        <v>629</v>
      </c>
      <c r="B20" s="2205" t="s">
        <v>2473</v>
      </c>
      <c r="C20" s="849" t="e">
        <f>ROUND(POWER(1+G20,J20-I20)*(POWER(1+G20,I20)-1)/(POWER(1+G20,J20)-1),4)</f>
        <v>#DIV/0!</v>
      </c>
      <c r="D20" s="2206" t="s">
        <v>2474</v>
      </c>
      <c r="E20" s="1454">
        <f>存贷款利率!E21/100</f>
        <v>4.3499999999999997E-2</v>
      </c>
      <c r="F20" s="2206" t="s">
        <v>2466</v>
      </c>
      <c r="G20" s="853">
        <f>SUMIF(M26:P26,E2,M28:P28)</f>
        <v>0</v>
      </c>
      <c r="H20" s="2206" t="s">
        <v>2475</v>
      </c>
      <c r="I20" s="854" t="e">
        <f>SUMIF('数据-取费表'!C6:C15,E2,'数据-取费表'!F6:F15)/COUNTIF('数据-取费表'!C6:C15,E2)</f>
        <v>#DIV/0!</v>
      </c>
      <c r="J20" s="855">
        <f>IF(E2="住宅",70,IF(E2="商业",40,50))</f>
        <v>50</v>
      </c>
      <c r="K20" s="1239"/>
      <c r="L20" s="2207" t="s">
        <v>2476</v>
      </c>
      <c r="M20" s="1448">
        <f>ROUND(SUMPRODUCT((地价!A4:A37=YEAR(G19)&amp;"-"&amp;ROUNDUP(MONTH(G19)/3,0))*(地价!B2:F2=E2)*(地价!B4:F37)),0)</f>
        <v>0</v>
      </c>
      <c r="N20" s="2208" t="s">
        <v>2477</v>
      </c>
      <c r="O20" s="2209" t="s">
        <v>2478</v>
      </c>
      <c r="P20" s="2210" t="s">
        <v>2479</v>
      </c>
      <c r="Q20" s="2966"/>
      <c r="R20" s="1238"/>
      <c r="S20" s="1238"/>
      <c r="T20" s="1233"/>
      <c r="U20" s="1233"/>
      <c r="V20" s="1233"/>
      <c r="W20" s="1232"/>
      <c r="X20" s="1232"/>
      <c r="Y20" s="1232"/>
      <c r="Z20" s="1239"/>
      <c r="AA20" s="1239"/>
      <c r="AB20" s="1239"/>
      <c r="AC20" s="1239"/>
      <c r="AD20" s="1239"/>
      <c r="AE20" s="1239"/>
      <c r="AF20" s="1239"/>
      <c r="AG20" s="2966"/>
      <c r="AH20" s="2966"/>
      <c r="AI20" s="2966"/>
      <c r="AJ20" s="2966"/>
    </row>
    <row r="21" spans="1:37" s="2150" customFormat="1" ht="15">
      <c r="A21" s="2211" t="s">
        <v>630</v>
      </c>
      <c r="B21" s="2212" t="s">
        <v>2480</v>
      </c>
      <c r="C21" s="856">
        <f>IF(B21="容积率修正",IF(G3&lt;=10,D22,J22),C23)</f>
        <v>0</v>
      </c>
      <c r="D21" s="2213"/>
      <c r="E21" s="2213"/>
      <c r="F21" s="2213"/>
      <c r="G21" s="2213"/>
      <c r="H21" s="2213"/>
      <c r="I21" s="2213"/>
      <c r="J21" s="2214"/>
      <c r="K21" s="1239"/>
      <c r="L21" s="2966"/>
      <c r="M21" s="2966"/>
      <c r="N21" s="2215" t="s">
        <v>2481</v>
      </c>
      <c r="O21" s="1287"/>
      <c r="P21" s="1288">
        <f>SUMPRODUCT((地价!A3:A37=YEAR(G19)&amp;"-"&amp;ROUNDUP(MONTH(G19)/3,0))*(地价!AD2:AH2=N21)*(地价!AD3:AH37))</f>
        <v>0</v>
      </c>
      <c r="Q21" s="2966"/>
      <c r="R21" s="1238"/>
      <c r="S21" s="1238"/>
      <c r="T21" s="1233"/>
      <c r="U21" s="1233"/>
      <c r="V21" s="1233"/>
      <c r="W21" s="1232"/>
      <c r="X21" s="1232"/>
      <c r="Y21" s="1232"/>
      <c r="Z21" s="1239"/>
      <c r="AA21" s="1239"/>
      <c r="AB21" s="1239"/>
      <c r="AC21" s="1239"/>
      <c r="AD21" s="1239"/>
      <c r="AE21" s="1239"/>
      <c r="AF21" s="1239"/>
      <c r="AG21" s="2966"/>
      <c r="AH21" s="2966"/>
      <c r="AI21" s="2966"/>
      <c r="AJ21" s="2966"/>
    </row>
    <row r="22" spans="1:37" s="2150" customFormat="1" ht="14.25">
      <c r="A22" s="2090" t="s">
        <v>2482</v>
      </c>
      <c r="B22" s="2216" t="s">
        <v>2483</v>
      </c>
      <c r="C22" s="1485" t="s">
        <v>2484</v>
      </c>
      <c r="D22" s="1485">
        <f>IF(E22=G22,F22,IF(G3&lt;=10,ROUND(F22+(H22-F22)*(G3-E22)/(G22-E22),4),"——"))</f>
        <v>0</v>
      </c>
      <c r="E22" s="836">
        <f>ROUNDDOWN(G3,1)</f>
        <v>0.8</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0.9</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6"/>
      <c r="M22" s="2966"/>
      <c r="N22" s="2215" t="s">
        <v>2485</v>
      </c>
      <c r="O22" s="1287"/>
      <c r="P22" s="1288">
        <f>SUMPRODUCT((地价!A3:A37=YEAR(G19)&amp;"-"&amp;ROUNDUP(MONTH(G19)/3,0))*(地价!AD2:AH2=N22)*(地价!AD3:AH37))</f>
        <v>0</v>
      </c>
      <c r="Q22" s="2966"/>
      <c r="R22" s="1238"/>
      <c r="S22" s="1238"/>
      <c r="T22" s="1233"/>
      <c r="U22" s="1233"/>
      <c r="V22" s="1233"/>
      <c r="W22" s="1232"/>
      <c r="X22" s="1232"/>
      <c r="Y22" s="1232"/>
      <c r="Z22" s="1239"/>
      <c r="AA22" s="1239"/>
      <c r="AB22" s="1239"/>
      <c r="AC22" s="1239"/>
      <c r="AD22" s="1239"/>
      <c r="AE22" s="1239"/>
      <c r="AF22" s="1239"/>
      <c r="AG22" s="2966"/>
      <c r="AH22" s="2966"/>
      <c r="AI22" s="2966"/>
      <c r="AJ22" s="2966"/>
    </row>
    <row r="23" spans="1:37" ht="27.75" thickBot="1">
      <c r="A23" s="2090" t="s">
        <v>2486</v>
      </c>
      <c r="B23" s="2217" t="s">
        <v>2487</v>
      </c>
      <c r="C23" s="930">
        <f>ROUND(IF(G3&gt;1,IF(I3&lt;7,SUMPRODUCT((B93:B98=I3)*(C92:N92=G2)*(C93:N98)),SUMIF(C92:N92,G2,C100:N100)),IF(I3&lt;7,SUMPRODUCT((B102:B107=I3)*(C92:N92=G2)*(C102:N107)),SUMIF(C92:N92,G2,C109:N109))),4)</f>
        <v>0</v>
      </c>
      <c r="D23" s="2185"/>
      <c r="E23" s="2185"/>
      <c r="F23" s="2218"/>
      <c r="G23" s="2219"/>
      <c r="H23" s="2220"/>
      <c r="I23" s="2221"/>
      <c r="J23" s="2222"/>
      <c r="K23" s="1232"/>
      <c r="L23" s="2131"/>
      <c r="M23" s="2131"/>
      <c r="N23" s="2215" t="s">
        <v>2488</v>
      </c>
      <c r="O23" s="1287"/>
      <c r="P23" s="1288">
        <f>SUMPRODUCT((地价!A3:A37=YEAR(G19)&amp;"-"&amp;ROUNDUP(MONTH(G19)/3,0))*(地价!AD2:AH2=N23)*(地价!AD3:AH37))</f>
        <v>0</v>
      </c>
      <c r="Q23" s="2131"/>
      <c r="R23" s="1238"/>
      <c r="S23" s="1238"/>
      <c r="T23" s="1233"/>
      <c r="U23" s="1233"/>
      <c r="V23" s="1233"/>
      <c r="W23" s="1232"/>
      <c r="X23" s="1232"/>
      <c r="Y23" s="1232"/>
      <c r="Z23" s="1239"/>
      <c r="AA23" s="1239"/>
      <c r="AB23" s="1239"/>
      <c r="AC23" s="1239"/>
      <c r="AD23" s="1239"/>
      <c r="AE23" s="1233"/>
      <c r="AF23" s="1233"/>
      <c r="AG23" s="2288"/>
      <c r="AH23" s="2288"/>
      <c r="AI23" s="2288"/>
      <c r="AJ23" s="2288"/>
      <c r="AK23" s="2198"/>
    </row>
    <row r="24" spans="1:37" s="2150" customFormat="1" ht="15.75" thickBot="1">
      <c r="A24" s="2204" t="s">
        <v>631</v>
      </c>
      <c r="B24" s="2195" t="s">
        <v>2489</v>
      </c>
      <c r="C24" s="844">
        <f>SUMIF(A45:A88,E2,B45:B88)</f>
        <v>0</v>
      </c>
      <c r="D24" s="2196"/>
      <c r="E24" s="2223"/>
      <c r="F24" s="2223"/>
      <c r="G24" s="2223"/>
      <c r="H24" s="2223"/>
      <c r="I24" s="2223"/>
      <c r="J24" s="2224"/>
      <c r="K24" s="1239"/>
      <c r="L24" s="2966"/>
      <c r="M24" s="2966"/>
      <c r="N24" s="2225" t="s">
        <v>2490</v>
      </c>
      <c r="O24" s="1289"/>
      <c r="P24" s="1290">
        <f>SUMPRODUCT((地价!A3:A37=YEAR(G19)&amp;"-"&amp;ROUNDUP(MONTH(G19)/3,0))*(地价!AD2:AH2=N24)*(地价!AD3:AH37))</f>
        <v>0</v>
      </c>
      <c r="Q24" s="2966"/>
      <c r="R24" s="1238"/>
      <c r="S24" s="1238"/>
      <c r="T24" s="1233"/>
      <c r="U24" s="1233"/>
      <c r="V24" s="1233"/>
      <c r="W24" s="1232"/>
      <c r="X24" s="1232"/>
      <c r="Y24" s="1232"/>
      <c r="Z24" s="1239"/>
      <c r="AA24" s="1239"/>
      <c r="AB24" s="1239"/>
      <c r="AC24" s="1239"/>
      <c r="AD24" s="1239"/>
      <c r="AE24" s="1239"/>
      <c r="AF24" s="1239"/>
      <c r="AG24" s="2966"/>
      <c r="AH24" s="2966"/>
      <c r="AI24" s="2966"/>
      <c r="AJ24" s="2966"/>
    </row>
    <row r="25" spans="1:37" ht="15.75" thickBot="1">
      <c r="A25" s="2204" t="s">
        <v>632</v>
      </c>
      <c r="B25" s="2226" t="s">
        <v>2491</v>
      </c>
      <c r="C25" s="850"/>
      <c r="D25" s="2160"/>
      <c r="E25" s="2160"/>
      <c r="F25" s="2227"/>
      <c r="G25" s="2160"/>
      <c r="H25" s="2160"/>
      <c r="I25" s="2160"/>
      <c r="J25" s="2161"/>
      <c r="K25" s="1232"/>
      <c r="L25" s="2131"/>
      <c r="M25" s="2131"/>
      <c r="N25" s="2961" t="s">
        <v>2492</v>
      </c>
      <c r="O25" s="2962"/>
      <c r="P25" s="2963">
        <f>SUMPRODUCT((地价!A3:A37=YEAR(G19)&amp;"-"&amp;ROUNDUP(MONTH(G19)/3,0))*(地价!AD2:AH2=N25)*(地价!AD3:AH37))</f>
        <v>0</v>
      </c>
      <c r="Q25" s="2131"/>
      <c r="R25" s="1238"/>
      <c r="S25" s="1238"/>
      <c r="T25" s="1233"/>
      <c r="U25" s="1233"/>
      <c r="V25" s="1233"/>
      <c r="W25" s="1232"/>
      <c r="X25" s="1232"/>
      <c r="Y25" s="1232"/>
      <c r="Z25" s="1239"/>
      <c r="AA25" s="1239"/>
      <c r="AB25" s="1239"/>
      <c r="AC25" s="1239"/>
      <c r="AD25" s="1239"/>
      <c r="AE25" s="1233"/>
      <c r="AF25" s="1233"/>
      <c r="AG25" s="2288"/>
      <c r="AH25" s="2288"/>
      <c r="AI25" s="2288"/>
      <c r="AJ25" s="2288"/>
    </row>
    <row r="26" spans="1:37" ht="15">
      <c r="A26" s="2228"/>
      <c r="B26" s="2216" t="s">
        <v>2493</v>
      </c>
      <c r="C26" s="2490" t="e">
        <f>IF(B21="容积率修正",E29+SUM(E33:E39),SUM(V2:V16)+SUM(E33:E39))</f>
        <v>#DIV/0!</v>
      </c>
      <c r="D26" s="2229"/>
      <c r="E26" s="2185"/>
      <c r="F26" s="2230"/>
      <c r="G26" s="2185"/>
      <c r="H26" s="2185"/>
      <c r="I26" s="2185"/>
      <c r="J26" s="2231"/>
      <c r="K26" s="1232"/>
      <c r="L26" s="2964" t="s">
        <v>2391</v>
      </c>
      <c r="M26" s="2158" t="s">
        <v>2456</v>
      </c>
      <c r="N26" s="2158" t="s">
        <v>2457</v>
      </c>
      <c r="O26" s="2158" t="s">
        <v>2458</v>
      </c>
      <c r="P26" s="2965" t="s">
        <v>2459</v>
      </c>
      <c r="Q26" s="2131"/>
      <c r="R26" s="1238"/>
      <c r="S26" s="1238"/>
      <c r="T26" s="1233"/>
      <c r="U26" s="1233"/>
      <c r="V26" s="1233"/>
      <c r="W26" s="1232"/>
      <c r="X26" s="1232"/>
      <c r="Y26" s="1232"/>
      <c r="Z26" s="1239"/>
      <c r="AA26" s="1239"/>
      <c r="AB26" s="1239"/>
      <c r="AC26" s="1239"/>
      <c r="AD26" s="1239"/>
      <c r="AE26" s="1233"/>
      <c r="AF26" s="1233"/>
      <c r="AG26" s="2288"/>
      <c r="AH26" s="2288"/>
      <c r="AI26" s="2288"/>
      <c r="AJ26" s="2288"/>
    </row>
    <row r="27" spans="1:37" ht="15.75" thickBot="1">
      <c r="A27" s="2228"/>
      <c r="B27" s="2232" t="s">
        <v>2494</v>
      </c>
      <c r="C27" s="851" t="e">
        <f>E30+SUM(I33:I39)</f>
        <v>#DIV/0!</v>
      </c>
      <c r="D27" s="2233"/>
      <c r="E27" s="2234"/>
      <c r="F27" s="2235"/>
      <c r="G27" s="2234"/>
      <c r="H27" s="2234"/>
      <c r="I27" s="2234"/>
      <c r="J27" s="2236"/>
      <c r="K27" s="1232"/>
      <c r="L27" s="2191" t="s">
        <v>2463</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8"/>
      <c r="AH27" s="2288"/>
      <c r="AI27" s="2288"/>
      <c r="AJ27" s="2288"/>
    </row>
    <row r="28" spans="1:37" ht="15.75" thickBot="1">
      <c r="A28" s="2237"/>
      <c r="B28" s="2238" t="s">
        <v>2495</v>
      </c>
      <c r="C28" s="2239" t="s">
        <v>2496</v>
      </c>
      <c r="D28" s="2239" t="s">
        <v>2497</v>
      </c>
      <c r="E28" s="2240" t="s">
        <v>2498</v>
      </c>
      <c r="F28" s="2241"/>
      <c r="G28" s="2173"/>
      <c r="H28" s="2173"/>
      <c r="I28" s="2173"/>
      <c r="J28" s="2174"/>
      <c r="K28" s="1232"/>
      <c r="L28" s="2192" t="s">
        <v>2466</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8"/>
      <c r="AH28" s="2288"/>
      <c r="AI28" s="2288"/>
      <c r="AJ28" s="2288"/>
    </row>
    <row r="29" spans="1:37" ht="22.5" customHeight="1">
      <c r="A29" s="2242"/>
      <c r="B29" s="2243" t="s">
        <v>2499</v>
      </c>
      <c r="C29" s="179" t="e">
        <f>ROUND(C5*C18*C19*C20*C21*C24,0)</f>
        <v>#DIV/0!</v>
      </c>
      <c r="D29" s="2244"/>
      <c r="E29" s="859" t="e">
        <f>ROUND(C29*D29/10000,0)</f>
        <v>#DIV/0!</v>
      </c>
      <c r="F29" s="2245" t="s">
        <v>2500</v>
      </c>
      <c r="G29" s="2246"/>
      <c r="H29" s="2246"/>
      <c r="I29" s="2246"/>
      <c r="J29" s="2247"/>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1"/>
      <c r="AH29" s="2131"/>
      <c r="AI29" s="2131"/>
      <c r="AJ29" s="2131"/>
    </row>
    <row r="30" spans="1:37" ht="25.5" thickBot="1">
      <c r="A30" s="2248"/>
      <c r="B30" s="2249" t="s">
        <v>2501</v>
      </c>
      <c r="C30" s="192" t="e">
        <f>ROUND(IF(E2="工业",C29*M39,C29*M38),0)</f>
        <v>#DIV/0!</v>
      </c>
      <c r="D30" s="2250"/>
      <c r="E30" s="859" t="e">
        <f>ROUND(C30*D30/10000,0)</f>
        <v>#DIV/0!</v>
      </c>
      <c r="F30" s="2251" t="s">
        <v>2502</v>
      </c>
      <c r="G30" s="2252"/>
      <c r="H30" s="2252"/>
      <c r="I30" s="2252"/>
      <c r="J30" s="2253"/>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1"/>
      <c r="AH30" s="2131"/>
      <c r="AI30" s="2131"/>
      <c r="AJ30" s="2131"/>
    </row>
    <row r="31" spans="1:37" ht="14.25">
      <c r="A31" s="2254"/>
      <c r="B31" s="2255" t="s">
        <v>2503</v>
      </c>
      <c r="C31" s="2256" t="s">
        <v>2504</v>
      </c>
      <c r="D31" s="2173"/>
      <c r="E31" s="2256"/>
      <c r="F31" s="2256"/>
      <c r="G31" s="2171" t="s">
        <v>2505</v>
      </c>
      <c r="H31" s="2173"/>
      <c r="I31" s="2257"/>
      <c r="J31" s="2174"/>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1"/>
      <c r="AH31" s="2131"/>
      <c r="AI31" s="2131"/>
      <c r="AJ31" s="2131"/>
    </row>
    <row r="32" spans="1:37" ht="24">
      <c r="A32" s="2242"/>
      <c r="B32" s="2258"/>
      <c r="C32" s="457" t="s">
        <v>2496</v>
      </c>
      <c r="D32" s="454" t="s">
        <v>2497</v>
      </c>
      <c r="E32" s="454" t="s">
        <v>2498</v>
      </c>
      <c r="F32" s="347" t="s">
        <v>2506</v>
      </c>
      <c r="G32" s="2259" t="s">
        <v>2496</v>
      </c>
      <c r="H32" s="2259" t="s">
        <v>2497</v>
      </c>
      <c r="I32" s="2259" t="s">
        <v>2498</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1"/>
      <c r="AH32" s="2131"/>
      <c r="AI32" s="2131"/>
      <c r="AJ32" s="2131"/>
    </row>
    <row r="33" spans="1:37" ht="36" customHeight="1">
      <c r="A33" s="3559"/>
      <c r="B33" s="2260" t="s">
        <v>2507</v>
      </c>
      <c r="C33" s="179" t="e">
        <f>ROUND(D5*C19*C20*C24*F33,0)</f>
        <v>#DIV/0!</v>
      </c>
      <c r="D33" s="2244"/>
      <c r="E33" s="175" t="e">
        <f>ROUND(C33*D33/10000,0)</f>
        <v>#DIV/0!</v>
      </c>
      <c r="F33" s="175">
        <f>SUMIF(修正!A57:A68,G2,修正!B57:B68)</f>
        <v>0</v>
      </c>
      <c r="G33" s="175" t="e">
        <f t="shared" ref="G33" si="6">ROUND(IF(E2="工业",C33*$M$39,C33*$M$38),0)</f>
        <v>#DIV/0!</v>
      </c>
      <c r="H33" s="175">
        <f>D33</f>
        <v>0</v>
      </c>
      <c r="I33" s="175" t="e">
        <f>ROUND(G33*H33/10000,0)</f>
        <v>#DIV/0!</v>
      </c>
      <c r="J33" s="3564"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8"/>
      <c r="AH33" s="2288"/>
      <c r="AI33" s="2288"/>
      <c r="AJ33" s="2288"/>
    </row>
    <row r="34" spans="1:37" ht="14.25">
      <c r="A34" s="3560"/>
      <c r="B34" s="2177" t="s">
        <v>2508</v>
      </c>
      <c r="C34" s="179" t="e">
        <f>ROUND(D5*C19*C20*C24*F34,0)</f>
        <v>#DIV/0!</v>
      </c>
      <c r="D34" s="2244"/>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60"/>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8"/>
      <c r="AH34" s="2288"/>
      <c r="AI34" s="2288"/>
      <c r="AJ34" s="2288"/>
    </row>
    <row r="35" spans="1:37">
      <c r="A35" s="3560"/>
      <c r="B35" s="2177" t="s">
        <v>2509</v>
      </c>
      <c r="C35" s="179" t="e">
        <f>ROUND(D5*C19*C20*C24*F35,0)</f>
        <v>#DIV/0!</v>
      </c>
      <c r="D35" s="2244"/>
      <c r="E35" s="175" t="e">
        <f t="shared" si="7"/>
        <v>#DIV/0!</v>
      </c>
      <c r="F35" s="175">
        <f>SUMIF(修正!A57:A68,G2,修正!D57:D68)</f>
        <v>0</v>
      </c>
      <c r="G35" s="175" t="e">
        <f>ROUND(IF(E2="工业",C35*$M$39,C35*$M$38),0)</f>
        <v>#DIV/0!</v>
      </c>
      <c r="H35" s="175">
        <f t="shared" si="8"/>
        <v>0</v>
      </c>
      <c r="I35" s="175" t="e">
        <f t="shared" si="9"/>
        <v>#DIV/0!</v>
      </c>
      <c r="J35" s="3560"/>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8"/>
      <c r="AH35" s="2288"/>
      <c r="AI35" s="2288"/>
      <c r="AJ35" s="2288"/>
    </row>
    <row r="36" spans="1:37" ht="13.5" thickBot="1">
      <c r="A36" s="3561"/>
      <c r="B36" s="2177" t="s">
        <v>2510</v>
      </c>
      <c r="C36" s="179" t="e">
        <f>ROUND(D5*C19*C20*C24*F36,0)</f>
        <v>#DIV/0!</v>
      </c>
      <c r="D36" s="2244"/>
      <c r="E36" s="175" t="e">
        <f t="shared" si="7"/>
        <v>#DIV/0!</v>
      </c>
      <c r="F36" s="175" t="e">
        <f>SUMIF(修正!A57:A68,G2,修正!#REF!)</f>
        <v>#REF!</v>
      </c>
      <c r="G36" s="175" t="e">
        <f>ROUND(IF(E2="工业",C36*$M$39,C36*$M$38),0)</f>
        <v>#DIV/0!</v>
      </c>
      <c r="H36" s="175">
        <f t="shared" si="8"/>
        <v>0</v>
      </c>
      <c r="I36" s="175" t="e">
        <f t="shared" si="9"/>
        <v>#DIV/0!</v>
      </c>
      <c r="J36" s="3561"/>
      <c r="K36" s="1232"/>
      <c r="L36" s="2131"/>
      <c r="M36" s="2131"/>
      <c r="N36" s="1232"/>
      <c r="O36" s="1232"/>
      <c r="P36" s="1232"/>
      <c r="Q36" s="1232"/>
      <c r="R36" s="1232"/>
      <c r="S36" s="1232"/>
      <c r="T36" s="1232"/>
      <c r="U36" s="1232"/>
      <c r="V36" s="1232"/>
      <c r="W36" s="1232"/>
      <c r="X36" s="1232"/>
      <c r="Y36" s="1232"/>
      <c r="Z36" s="1233"/>
      <c r="AA36" s="1233"/>
      <c r="AB36" s="1233"/>
      <c r="AC36" s="1233"/>
      <c r="AD36" s="1233"/>
      <c r="AE36" s="1233"/>
      <c r="AF36" s="1233"/>
      <c r="AG36" s="2288"/>
      <c r="AH36" s="2288"/>
      <c r="AI36" s="2288"/>
      <c r="AJ36" s="2288"/>
    </row>
    <row r="37" spans="1:37">
      <c r="A37" s="2262"/>
      <c r="B37" s="2177" t="s">
        <v>2511</v>
      </c>
      <c r="C37" s="175" t="e">
        <f>ROUND(D5*C19*C20*C24*F37,0)</f>
        <v>#DIV/0!</v>
      </c>
      <c r="D37" s="2244"/>
      <c r="E37" s="175" t="e">
        <f t="shared" si="7"/>
        <v>#DIV/0!</v>
      </c>
      <c r="F37" s="179">
        <f>SUMIF(修正!A57:A68,G2,修正!E57:E68)</f>
        <v>0</v>
      </c>
      <c r="G37" s="175" t="e">
        <f>ROUND(IF(E2="工业",C37*$M$39,C37*$M$38),0)</f>
        <v>#DIV/0!</v>
      </c>
      <c r="H37" s="175">
        <f t="shared" si="8"/>
        <v>0</v>
      </c>
      <c r="I37" s="175" t="e">
        <f t="shared" si="9"/>
        <v>#DIV/0!</v>
      </c>
      <c r="J37" s="2261"/>
      <c r="K37" s="1232"/>
      <c r="L37" s="2263" t="s">
        <v>2512</v>
      </c>
      <c r="M37" s="2264"/>
      <c r="N37" s="1232"/>
      <c r="O37" s="1232"/>
      <c r="P37" s="1232"/>
      <c r="Q37" s="1232"/>
      <c r="R37" s="1232"/>
      <c r="S37" s="1232"/>
      <c r="T37" s="1232"/>
      <c r="U37" s="1232"/>
      <c r="V37" s="1232"/>
      <c r="W37" s="1232"/>
      <c r="X37" s="1232"/>
      <c r="Y37" s="1232"/>
      <c r="Z37" s="1233"/>
      <c r="AA37" s="1233"/>
      <c r="AB37" s="1233"/>
      <c r="AC37" s="1233"/>
      <c r="AD37" s="1233"/>
      <c r="AE37" s="1233"/>
      <c r="AF37" s="1233"/>
      <c r="AG37" s="2288"/>
      <c r="AH37" s="2288"/>
      <c r="AI37" s="2288"/>
      <c r="AJ37" s="2288"/>
    </row>
    <row r="38" spans="1:37">
      <c r="A38" s="2262"/>
      <c r="B38" s="2177" t="s">
        <v>2513</v>
      </c>
      <c r="C38" s="175" t="e">
        <f>ROUND(D5*C19*C41*C24*F38,0)</f>
        <v>#DIV/0!</v>
      </c>
      <c r="D38" s="2244"/>
      <c r="E38" s="175" t="e">
        <f t="shared" si="7"/>
        <v>#DIV/0!</v>
      </c>
      <c r="F38" s="179">
        <f>SUMIF(修正!A57:A68,G2,修正!F57:F68)</f>
        <v>0</v>
      </c>
      <c r="G38" s="175" t="e">
        <f>ROUND(IF(E2="工业",C38*$M$39,C38*$M$38),0)</f>
        <v>#DIV/0!</v>
      </c>
      <c r="H38" s="175">
        <f t="shared" si="8"/>
        <v>0</v>
      </c>
      <c r="I38" s="175" t="e">
        <f t="shared" si="9"/>
        <v>#DIV/0!</v>
      </c>
      <c r="J38" s="2261"/>
      <c r="K38" s="1232"/>
      <c r="L38" s="1554" t="s">
        <v>2514</v>
      </c>
      <c r="M38" s="2265">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8"/>
      <c r="B39" s="2266" t="s">
        <v>2515</v>
      </c>
      <c r="C39" s="192" t="e">
        <f>ROUND(D5*C19*C41*C24*F39,0)</f>
        <v>#DIV/0!</v>
      </c>
      <c r="D39" s="2250"/>
      <c r="E39" s="192" t="e">
        <f t="shared" si="7"/>
        <v>#DIV/0!</v>
      </c>
      <c r="F39" s="852">
        <f>SUMIF(修正!A57:A68,G2,修正!G57:G68)</f>
        <v>0</v>
      </c>
      <c r="G39" s="192" t="e">
        <f>ROUND(IF(E2="工业",C39*$M$39,C39*$M$38),0)</f>
        <v>#DIV/0!</v>
      </c>
      <c r="H39" s="192">
        <f t="shared" si="8"/>
        <v>0</v>
      </c>
      <c r="I39" s="192" t="e">
        <f t="shared" si="9"/>
        <v>#DIV/0!</v>
      </c>
      <c r="J39" s="2267"/>
      <c r="K39" s="1232"/>
      <c r="L39" s="2268" t="s">
        <v>2459</v>
      </c>
      <c r="M39" s="2269">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8" t="s">
        <v>2620</v>
      </c>
      <c r="C41" s="347" t="e">
        <f>ROUND(POWER(1+E41,H41-G41)*(POWER(1+E41,G41)-1)/(POWER(1+E41,H41)-1),4)</f>
        <v>#DIV/0!</v>
      </c>
      <c r="D41" s="175" t="s">
        <v>2466</v>
      </c>
      <c r="E41" s="2317">
        <f>G20</f>
        <v>0</v>
      </c>
      <c r="F41" s="175" t="s">
        <v>2475</v>
      </c>
      <c r="G41" s="188"/>
      <c r="H41" s="175">
        <v>50</v>
      </c>
      <c r="Z41" s="1233"/>
      <c r="AA41" s="1233"/>
      <c r="AB41" s="1233"/>
      <c r="AC41" s="1233"/>
      <c r="AD41" s="1233"/>
      <c r="AE41" s="1233"/>
      <c r="AF41" s="1233"/>
      <c r="AG41" s="1233"/>
      <c r="AH41" s="1233"/>
      <c r="AI41" s="1233"/>
      <c r="AJ41" s="1233"/>
    </row>
    <row r="42" spans="1:37" s="1232" customFormat="1">
      <c r="A42" s="1233"/>
      <c r="B42" s="2270"/>
      <c r="Z42" s="1233"/>
      <c r="AA42" s="1233"/>
      <c r="AB42" s="1233"/>
      <c r="AC42" s="1233"/>
      <c r="AD42" s="1233"/>
      <c r="AE42" s="1233"/>
      <c r="AF42" s="1233"/>
      <c r="AG42" s="1233"/>
      <c r="AH42" s="1233"/>
      <c r="AI42" s="1233"/>
      <c r="AJ42" s="1233"/>
    </row>
    <row r="43" spans="1:37" s="1232" customFormat="1">
      <c r="A43" s="1233"/>
      <c r="B43" s="2270"/>
      <c r="Z43" s="1233"/>
      <c r="AA43" s="1233"/>
      <c r="AB43" s="1233"/>
      <c r="AC43" s="1233"/>
      <c r="AD43" s="1233"/>
      <c r="AE43" s="1233"/>
      <c r="AF43" s="1233"/>
      <c r="AG43" s="1233"/>
      <c r="AH43" s="1233"/>
      <c r="AI43" s="1233"/>
      <c r="AJ43" s="1233"/>
    </row>
    <row r="44" spans="1:37" s="1232" customFormat="1">
      <c r="A44" s="1233"/>
      <c r="B44" s="2270"/>
      <c r="Z44" s="1233"/>
      <c r="AA44" s="1233"/>
      <c r="AB44" s="1233"/>
      <c r="AC44" s="1233"/>
      <c r="AD44" s="1233"/>
      <c r="AE44" s="1233"/>
      <c r="AF44" s="1233"/>
      <c r="AG44" s="1233"/>
      <c r="AH44" s="1233"/>
      <c r="AI44" s="1233"/>
      <c r="AJ44" s="1233"/>
    </row>
    <row r="45" spans="1:37" s="1232" customFormat="1" ht="15.75" thickBot="1">
      <c r="A45" s="2271" t="s">
        <v>2516</v>
      </c>
      <c r="B45" s="2272"/>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3" t="s">
        <v>2517</v>
      </c>
      <c r="B46" s="2274">
        <f>1+E48</f>
        <v>1</v>
      </c>
      <c r="C46" s="2275"/>
      <c r="D46" s="752"/>
      <c r="E46" s="753"/>
      <c r="F46" s="2276"/>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7" t="s">
        <v>2518</v>
      </c>
      <c r="B47" s="1484" t="s">
        <v>2519</v>
      </c>
      <c r="C47" s="1484" t="s">
        <v>2520</v>
      </c>
      <c r="D47" s="1484" t="s">
        <v>2521</v>
      </c>
      <c r="E47" s="757" t="s">
        <v>2522</v>
      </c>
      <c r="F47" s="2278" t="s">
        <v>2523</v>
      </c>
      <c r="G47" s="1484" t="s">
        <v>574</v>
      </c>
      <c r="H47" s="2279" t="s">
        <v>2524</v>
      </c>
      <c r="I47" s="1484" t="s">
        <v>2525</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7" t="s">
        <v>2526</v>
      </c>
      <c r="B48" s="2280" t="str">
        <f>估价对象房地状况!C4</f>
        <v>估价对象位于XX商圈，周边商业氛围成熟，人流量大，商业繁华度好</v>
      </c>
      <c r="C48" s="2182"/>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7" t="s">
        <v>2527</v>
      </c>
      <c r="B49" s="2281" t="str">
        <f>估价对象房地状况!C18</f>
        <v>估价对象周边道路状况、公共交通通达情况、停车便捷程度，综合评价交通便捷度较好</v>
      </c>
      <c r="C49" s="2182"/>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7" t="s">
        <v>2528</v>
      </c>
      <c r="B50" s="2281">
        <f>估价对象房地状况!C19</f>
        <v>0</v>
      </c>
      <c r="C50" s="2182"/>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7" t="s">
        <v>2529</v>
      </c>
      <c r="B51" s="2282" t="s">
        <v>2530</v>
      </c>
      <c r="C51" s="2182"/>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7" t="s">
        <v>2531</v>
      </c>
      <c r="B52" s="2281">
        <f>估价对象房地状况!C24</f>
        <v>0</v>
      </c>
      <c r="C52" s="2182"/>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7" t="s">
        <v>2532</v>
      </c>
      <c r="B53" s="2283" t="s">
        <v>2533</v>
      </c>
      <c r="C53" s="2182"/>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4" t="s">
        <v>2534</v>
      </c>
      <c r="B54" s="1445" t="str">
        <f>估价对象房地状况!C21</f>
        <v>估价对象所在区域公共配套设施齐备情况</v>
      </c>
      <c r="C54" s="2182"/>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4" t="s">
        <v>2535</v>
      </c>
      <c r="B55" s="2281" t="str">
        <f>估价对象房地状况!C22</f>
        <v>估价对象所在区域基础设施水平</v>
      </c>
      <c r="C55" s="2182"/>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5" t="s">
        <v>2536</v>
      </c>
      <c r="B56" s="2286" t="str">
        <f>估价对象房地状况!C20</f>
        <v>区域自然环境：；人文环境；综合评价环境状况一般</v>
      </c>
      <c r="C56" s="2182"/>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3" t="s">
        <v>2537</v>
      </c>
      <c r="B57" s="2274">
        <f>1+E59</f>
        <v>1</v>
      </c>
      <c r="C57" s="752"/>
      <c r="D57" s="752"/>
      <c r="E57" s="753"/>
      <c r="F57" s="2276"/>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7" t="s">
        <v>2518</v>
      </c>
      <c r="B58" s="1484"/>
      <c r="C58" s="1484" t="s">
        <v>2520</v>
      </c>
      <c r="D58" s="1484" t="s">
        <v>2521</v>
      </c>
      <c r="E58" s="757" t="s">
        <v>2522</v>
      </c>
      <c r="F58" s="2278" t="s">
        <v>2538</v>
      </c>
      <c r="G58" s="1484" t="s">
        <v>574</v>
      </c>
      <c r="H58" s="2279" t="s">
        <v>2524</v>
      </c>
      <c r="I58" s="1484" t="s">
        <v>2525</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7" t="s">
        <v>2539</v>
      </c>
      <c r="B59" s="2280" t="str">
        <f>估价对象房地状况!C17</f>
        <v>估价对象位于XX商圈，周边办公楼项目较多，入驻率高，办公集聚程度较好</v>
      </c>
      <c r="C59" s="2182"/>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7" t="s">
        <v>2527</v>
      </c>
      <c r="B60" s="2281" t="str">
        <f>估价对象房地状况!C18</f>
        <v>估价对象周边道路状况、公共交通通达情况、停车便捷程度，综合评价交通便捷度较好</v>
      </c>
      <c r="C60" s="2182"/>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7" t="s">
        <v>2528</v>
      </c>
      <c r="B61" s="2281">
        <f>估价对象房地状况!C19</f>
        <v>0</v>
      </c>
      <c r="C61" s="2182"/>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7" t="s">
        <v>2529</v>
      </c>
      <c r="B62" s="2282" t="s">
        <v>2530</v>
      </c>
      <c r="C62" s="2182"/>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7" t="s">
        <v>2531</v>
      </c>
      <c r="B63" s="2281">
        <f>估价对象房地状况!C24</f>
        <v>0</v>
      </c>
      <c r="C63" s="2182"/>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7" t="s">
        <v>2532</v>
      </c>
      <c r="B64" s="2283" t="s">
        <v>2533</v>
      </c>
      <c r="C64" s="2182"/>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7" t="s">
        <v>2534</v>
      </c>
      <c r="B65" s="1445" t="str">
        <f>估价对象房地状况!C21</f>
        <v>估价对象所在区域公共配套设施齐备情况</v>
      </c>
      <c r="C65" s="2182"/>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7" t="s">
        <v>2535</v>
      </c>
      <c r="B66" s="1445" t="str">
        <f>估价对象房地状况!C22</f>
        <v>估价对象所在区域基础设施水平</v>
      </c>
      <c r="C66" s="2182"/>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5" t="s">
        <v>2536</v>
      </c>
      <c r="B67" s="2287" t="str">
        <f>估价对象房地状况!C20</f>
        <v>区域自然环境：；人文环境；综合评价环境状况一般</v>
      </c>
      <c r="C67" s="2182"/>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3" t="s">
        <v>2540</v>
      </c>
      <c r="B68" s="2274">
        <f>1+E70</f>
        <v>1</v>
      </c>
      <c r="C68" s="752"/>
      <c r="D68" s="752"/>
      <c r="E68" s="753"/>
      <c r="F68" s="2276"/>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7" t="s">
        <v>2518</v>
      </c>
      <c r="B69" s="1484"/>
      <c r="C69" s="1484" t="s">
        <v>2520</v>
      </c>
      <c r="D69" s="1484" t="s">
        <v>2521</v>
      </c>
      <c r="E69" s="757" t="s">
        <v>2522</v>
      </c>
      <c r="F69" s="2278" t="s">
        <v>2538</v>
      </c>
      <c r="G69" s="1484" t="s">
        <v>574</v>
      </c>
      <c r="H69" s="2279" t="s">
        <v>2524</v>
      </c>
      <c r="I69" s="1484" t="s">
        <v>2525</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7" t="s">
        <v>2541</v>
      </c>
      <c r="B70" s="2280" t="str">
        <f>估价对象房地状况!C15</f>
        <v>估价对象周边居住用地比例、居住小区规模和社区发展完善程度，综合评价居住社区成熟度一般</v>
      </c>
      <c r="C70" s="2182"/>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7" t="s">
        <v>2527</v>
      </c>
      <c r="B71" s="2281" t="str">
        <f>估价对象房地状况!C18</f>
        <v>估价对象周边道路状况、公共交通通达情况、停车便捷程度，综合评价交通便捷度较好</v>
      </c>
      <c r="C71" s="2182"/>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7" t="s">
        <v>2528</v>
      </c>
      <c r="B72" s="2281">
        <f>估价对象房地状况!C19</f>
        <v>0</v>
      </c>
      <c r="C72" s="2182"/>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7" t="s">
        <v>2542</v>
      </c>
      <c r="B73" s="2281">
        <f>估价对象房地状况!C24</f>
        <v>0</v>
      </c>
      <c r="C73" s="2182"/>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7" t="s">
        <v>2534</v>
      </c>
      <c r="B74" s="1445" t="str">
        <f>估价对象房地状况!C21</f>
        <v>估价对象所在区域公共配套设施齐备情况</v>
      </c>
      <c r="C74" s="2182"/>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7" t="s">
        <v>2535</v>
      </c>
      <c r="B75" s="1445" t="str">
        <f>估价对象房地状况!C22</f>
        <v>估价对象所在区域基础设施水平</v>
      </c>
      <c r="C75" s="2182"/>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1" customFormat="1" ht="24">
      <c r="A76" s="2277" t="s">
        <v>2532</v>
      </c>
      <c r="B76" s="2283" t="s">
        <v>2533</v>
      </c>
      <c r="C76" s="2182"/>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8"/>
      <c r="AB76" s="1233"/>
      <c r="AC76" s="1233"/>
      <c r="AD76" s="1233"/>
      <c r="AE76" s="1233"/>
      <c r="AF76" s="1233"/>
      <c r="AG76" s="1233"/>
      <c r="AH76" s="2288"/>
      <c r="AI76" s="2288"/>
      <c r="AJ76" s="2288"/>
      <c r="AK76" s="2288"/>
    </row>
    <row r="77" spans="1:37" ht="38.25">
      <c r="A77" s="2277" t="s">
        <v>2536</v>
      </c>
      <c r="B77" s="2280" t="str">
        <f>估价对象房地状况!C20</f>
        <v>区域自然环境：；人文环境；综合评价环境状况一般</v>
      </c>
      <c r="C77" s="2182"/>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2"/>
      <c r="AA77" s="2198"/>
      <c r="AG77" s="1234"/>
      <c r="AK77" s="2198"/>
    </row>
    <row r="78" spans="1:37" ht="24.75" thickBot="1">
      <c r="A78" s="2285" t="s">
        <v>2543</v>
      </c>
      <c r="B78" s="2289"/>
      <c r="C78" s="2182"/>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2"/>
      <c r="AA78" s="2198"/>
      <c r="AG78" s="1234"/>
      <c r="AK78" s="2198"/>
    </row>
    <row r="79" spans="1:37" ht="15">
      <c r="A79" s="2273" t="s">
        <v>2544</v>
      </c>
      <c r="B79" s="2274">
        <f>1+E81</f>
        <v>1</v>
      </c>
      <c r="C79" s="752"/>
      <c r="D79" s="752"/>
      <c r="E79" s="753"/>
      <c r="F79" s="2276"/>
      <c r="G79" s="6"/>
      <c r="H79" s="6"/>
      <c r="I79" s="6"/>
      <c r="J79" s="7"/>
      <c r="K79" s="7"/>
      <c r="L79" s="7"/>
      <c r="M79" s="7"/>
      <c r="N79" s="7"/>
      <c r="Z79" s="2132"/>
      <c r="AA79" s="2198"/>
      <c r="AG79" s="1234"/>
      <c r="AK79" s="2198"/>
    </row>
    <row r="80" spans="1:37" ht="24.75">
      <c r="A80" s="2277" t="s">
        <v>2518</v>
      </c>
      <c r="B80" s="1484"/>
      <c r="C80" s="1484" t="s">
        <v>2520</v>
      </c>
      <c r="D80" s="1484" t="s">
        <v>2521</v>
      </c>
      <c r="E80" s="757" t="s">
        <v>2522</v>
      </c>
      <c r="F80" s="2278" t="s">
        <v>2538</v>
      </c>
      <c r="G80" s="1484" t="s">
        <v>574</v>
      </c>
      <c r="H80" s="2279" t="s">
        <v>2524</v>
      </c>
      <c r="I80" s="1484" t="s">
        <v>2525</v>
      </c>
      <c r="J80" s="559" t="s">
        <v>2177</v>
      </c>
      <c r="K80" s="559" t="s">
        <v>2178</v>
      </c>
      <c r="L80" s="559" t="s">
        <v>2179</v>
      </c>
      <c r="M80" s="559" t="s">
        <v>2180</v>
      </c>
      <c r="N80" s="559" t="s">
        <v>2181</v>
      </c>
      <c r="Z80" s="2132"/>
      <c r="AA80" s="2198"/>
      <c r="AG80" s="1234"/>
      <c r="AK80" s="2198"/>
    </row>
    <row r="81" spans="1:37" ht="38.25">
      <c r="A81" s="2277" t="s">
        <v>2545</v>
      </c>
      <c r="B81" s="2281" t="str">
        <f>估价对象房地状况!G15</f>
        <v>估价对象位于XX开发区，园区建设成熟度XX，产业集聚程度XX</v>
      </c>
      <c r="C81" s="2182"/>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2"/>
      <c r="AA81" s="2198"/>
      <c r="AG81" s="1234"/>
      <c r="AK81" s="2198"/>
    </row>
    <row r="82" spans="1:37" ht="51">
      <c r="A82" s="2277" t="s">
        <v>2527</v>
      </c>
      <c r="B82" s="2281" t="str">
        <f>估价对象房地状况!G16</f>
        <v>估价对象周边道路状况、公共交通通达情况、停车便捷程度，综合评价交通便捷度较好</v>
      </c>
      <c r="C82" s="2182"/>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2"/>
      <c r="AA82" s="2198"/>
      <c r="AG82" s="1234"/>
      <c r="AK82" s="2198"/>
    </row>
    <row r="83" spans="1:37" ht="24">
      <c r="A83" s="2277" t="s">
        <v>2528</v>
      </c>
      <c r="B83" s="2281">
        <f>估价对象房地状况!G17</f>
        <v>0</v>
      </c>
      <c r="C83" s="2182"/>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2"/>
      <c r="AA83" s="2198"/>
      <c r="AG83" s="1234"/>
      <c r="AK83" s="2198"/>
    </row>
    <row r="84" spans="1:37" ht="14.25">
      <c r="A84" s="2277" t="s">
        <v>2542</v>
      </c>
      <c r="B84" s="2281">
        <f>估价对象房地状况!G22</f>
        <v>0</v>
      </c>
      <c r="C84" s="2182"/>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2"/>
      <c r="AA84" s="2198"/>
      <c r="AG84" s="1234"/>
      <c r="AK84" s="2198"/>
    </row>
    <row r="85" spans="1:37" ht="25.5">
      <c r="A85" s="2277" t="s">
        <v>2534</v>
      </c>
      <c r="B85" s="1445" t="str">
        <f>估价对象房地状况!G19</f>
        <v>估价对象所在区域公共配套设施齐备情况</v>
      </c>
      <c r="C85" s="2182"/>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2"/>
      <c r="AA85" s="2198"/>
      <c r="AG85" s="1234"/>
      <c r="AK85" s="2198"/>
    </row>
    <row r="86" spans="1:37" ht="25.5">
      <c r="A86" s="2277" t="s">
        <v>2535</v>
      </c>
      <c r="B86" s="1445" t="str">
        <f>估价对象房地状况!G20</f>
        <v>估价对象所在区域基础设施水平</v>
      </c>
      <c r="C86" s="2182"/>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2"/>
      <c r="AA86" s="2198"/>
      <c r="AG86" s="1234"/>
      <c r="AK86" s="2198"/>
    </row>
    <row r="87" spans="1:37" ht="24">
      <c r="A87" s="2277" t="s">
        <v>2532</v>
      </c>
      <c r="B87" s="2283" t="s">
        <v>2546</v>
      </c>
      <c r="C87" s="2182"/>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2"/>
      <c r="AA87" s="2198"/>
      <c r="AG87" s="1234"/>
      <c r="AK87" s="2198"/>
    </row>
    <row r="88" spans="1:37" ht="39" thickBot="1">
      <c r="A88" s="2285" t="s">
        <v>2547</v>
      </c>
      <c r="B88" s="2290" t="str">
        <f>估价对象房地状况!G18</f>
        <v>该园区内是否有污染型企业，绿化情况，卫生条件，整体环境状况判断</v>
      </c>
      <c r="C88" s="2182"/>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2"/>
      <c r="AA88" s="2198"/>
      <c r="AG88" s="1234"/>
      <c r="AK88" s="2198"/>
    </row>
    <row r="90" spans="1:37">
      <c r="A90" s="3551" t="s">
        <v>2548</v>
      </c>
      <c r="B90" s="3551"/>
      <c r="C90" s="3551"/>
      <c r="D90" s="3551"/>
      <c r="E90" s="3551"/>
      <c r="F90" s="3551"/>
      <c r="G90" s="3551"/>
      <c r="H90" s="3551"/>
      <c r="I90" s="3551"/>
      <c r="J90" s="3551"/>
      <c r="K90" s="2291"/>
      <c r="L90" s="2291"/>
      <c r="M90" s="2291"/>
      <c r="N90" s="2291"/>
    </row>
    <row r="91" spans="1:37">
      <c r="A91" s="3553" t="s">
        <v>2549</v>
      </c>
      <c r="B91" s="3553" t="s">
        <v>2550</v>
      </c>
      <c r="C91" s="2245" t="s">
        <v>2551</v>
      </c>
      <c r="D91" s="2246"/>
      <c r="E91" s="2246"/>
      <c r="F91" s="2246"/>
      <c r="G91" s="2246"/>
      <c r="H91" s="2246"/>
      <c r="I91" s="2246"/>
      <c r="J91" s="2292"/>
      <c r="K91" s="2293"/>
      <c r="L91" s="2293"/>
      <c r="M91" s="2293"/>
      <c r="N91" s="2293"/>
    </row>
    <row r="92" spans="1:37">
      <c r="A92" s="3553"/>
      <c r="B92" s="3553"/>
      <c r="C92" s="859" t="s">
        <v>2418</v>
      </c>
      <c r="D92" s="859" t="s">
        <v>2419</v>
      </c>
      <c r="E92" s="859" t="s">
        <v>2420</v>
      </c>
      <c r="F92" s="859" t="s">
        <v>2421</v>
      </c>
      <c r="G92" s="859" t="s">
        <v>2422</v>
      </c>
      <c r="H92" s="859" t="s">
        <v>2423</v>
      </c>
      <c r="I92" s="859" t="s">
        <v>2424</v>
      </c>
      <c r="J92" s="859" t="s">
        <v>2425</v>
      </c>
      <c r="K92" s="859" t="s">
        <v>2426</v>
      </c>
      <c r="L92" s="859" t="s">
        <v>2427</v>
      </c>
      <c r="M92" s="859" t="s">
        <v>2428</v>
      </c>
      <c r="N92" s="859" t="s">
        <v>2429</v>
      </c>
    </row>
    <row r="93" spans="1:37">
      <c r="A93" s="3554" t="s">
        <v>2552</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55"/>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55"/>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55"/>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55"/>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55"/>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555"/>
      <c r="B99" s="2294" t="s">
        <v>2434</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56"/>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554" t="s">
        <v>2553</v>
      </c>
      <c r="B101" s="2298" t="s">
        <v>2554</v>
      </c>
      <c r="C101" s="2299">
        <f>$G$3</f>
        <v>0.81</v>
      </c>
      <c r="D101" s="2299">
        <f t="shared" ref="D101:N101" si="31">$G$3</f>
        <v>0.81</v>
      </c>
      <c r="E101" s="2299">
        <f t="shared" si="31"/>
        <v>0.81</v>
      </c>
      <c r="F101" s="2299">
        <f t="shared" si="31"/>
        <v>0.81</v>
      </c>
      <c r="G101" s="2299">
        <f t="shared" si="31"/>
        <v>0.81</v>
      </c>
      <c r="H101" s="2299">
        <f t="shared" si="31"/>
        <v>0.81</v>
      </c>
      <c r="I101" s="2299">
        <f t="shared" si="31"/>
        <v>0.81</v>
      </c>
      <c r="J101" s="2299">
        <f t="shared" si="31"/>
        <v>0.81</v>
      </c>
      <c r="K101" s="2299">
        <f t="shared" si="31"/>
        <v>0.81</v>
      </c>
      <c r="L101" s="2299">
        <f t="shared" si="31"/>
        <v>0.81</v>
      </c>
      <c r="M101" s="2299">
        <f t="shared" si="31"/>
        <v>0.81</v>
      </c>
      <c r="N101" s="2299">
        <f t="shared" si="31"/>
        <v>0.81</v>
      </c>
    </row>
    <row r="102" spans="1:14">
      <c r="A102" s="3555"/>
      <c r="B102" s="2294">
        <v>1</v>
      </c>
      <c r="C102" s="2295">
        <f>1.9362/C101</f>
        <v>2.3903703703703703</v>
      </c>
      <c r="D102" s="2295">
        <f>1.9362/D101</f>
        <v>2.3903703703703703</v>
      </c>
      <c r="E102" s="2295">
        <f>1.8629/E101</f>
        <v>2.2998765432098764</v>
      </c>
      <c r="F102" s="2295">
        <f>1.8629/F101</f>
        <v>2.2998765432098764</v>
      </c>
      <c r="G102" s="2295">
        <f>1.8629/G101</f>
        <v>2.2998765432098764</v>
      </c>
      <c r="H102" s="2295">
        <f>1.8629/H101</f>
        <v>2.2998765432098764</v>
      </c>
      <c r="I102" s="2295">
        <f>1.8629/I101</f>
        <v>2.2998765432098764</v>
      </c>
      <c r="J102" s="2295">
        <f>1.942/J101</f>
        <v>2.3975308641975306</v>
      </c>
      <c r="K102" s="2295">
        <f>1.942/K101</f>
        <v>2.3975308641975306</v>
      </c>
      <c r="L102" s="2295">
        <f>1.942/L101</f>
        <v>2.3975308641975306</v>
      </c>
      <c r="M102" s="2295">
        <f>1.942/M101</f>
        <v>2.3975308641975306</v>
      </c>
      <c r="N102" s="2295">
        <f>1.942/N101</f>
        <v>2.3975308641975306</v>
      </c>
    </row>
    <row r="103" spans="1:14">
      <c r="A103" s="3555"/>
      <c r="B103" s="2294">
        <v>2</v>
      </c>
      <c r="C103" s="2295">
        <f>1.4198/C101</f>
        <v>1.7528395061728392</v>
      </c>
      <c r="D103" s="2295">
        <f>1.4198/D101</f>
        <v>1.7528395061728392</v>
      </c>
      <c r="E103" s="2295">
        <f>1.3372/E101</f>
        <v>1.650864197530864</v>
      </c>
      <c r="F103" s="2295">
        <f>1.3372/F101</f>
        <v>1.650864197530864</v>
      </c>
      <c r="G103" s="2295">
        <f>1.3372/G101</f>
        <v>1.650864197530864</v>
      </c>
      <c r="H103" s="2295">
        <f>1.3372/H101</f>
        <v>1.650864197530864</v>
      </c>
      <c r="I103" s="2295">
        <f>1.3372/I101</f>
        <v>1.650864197530864</v>
      </c>
      <c r="J103" s="2295">
        <f>1.2799/J101</f>
        <v>1.5801234567901234</v>
      </c>
      <c r="K103" s="2295">
        <f>1.2799/K101</f>
        <v>1.5801234567901234</v>
      </c>
      <c r="L103" s="2295">
        <f>1.2799/L101</f>
        <v>1.5801234567901234</v>
      </c>
      <c r="M103" s="2295">
        <f>1.2799/M101</f>
        <v>1.5801234567901234</v>
      </c>
      <c r="N103" s="2295">
        <f>1.2799/N101</f>
        <v>1.5801234567901234</v>
      </c>
    </row>
    <row r="104" spans="1:14">
      <c r="A104" s="3555"/>
      <c r="B104" s="2294">
        <v>3</v>
      </c>
      <c r="C104" s="2295">
        <f>1.1594/C101</f>
        <v>1.431358024691358</v>
      </c>
      <c r="D104" s="2295">
        <f>1.1594/D101</f>
        <v>1.431358024691358</v>
      </c>
      <c r="E104" s="2295">
        <f>1.0788/E101</f>
        <v>1.3318518518518518</v>
      </c>
      <c r="F104" s="2295">
        <f>1.0788/F101</f>
        <v>1.3318518518518518</v>
      </c>
      <c r="G104" s="2295">
        <f>1.0788/G101</f>
        <v>1.3318518518518518</v>
      </c>
      <c r="H104" s="2295">
        <f>1.0788/H101</f>
        <v>1.3318518518518518</v>
      </c>
      <c r="I104" s="2295">
        <f>1.0788/I101</f>
        <v>1.3318518518518518</v>
      </c>
      <c r="J104" s="2295">
        <f>1.0072/J101</f>
        <v>1.2434567901234568</v>
      </c>
      <c r="K104" s="2295">
        <f>1.0072/K101</f>
        <v>1.2434567901234568</v>
      </c>
      <c r="L104" s="2295">
        <f>1.0072/L101</f>
        <v>1.2434567901234568</v>
      </c>
      <c r="M104" s="2295">
        <f>1.0072/M101</f>
        <v>1.2434567901234568</v>
      </c>
      <c r="N104" s="2295">
        <f>1.0072/N101</f>
        <v>1.2434567901234568</v>
      </c>
    </row>
    <row r="105" spans="1:14">
      <c r="A105" s="3555"/>
      <c r="B105" s="2294">
        <v>4</v>
      </c>
      <c r="C105" s="2295">
        <f>0.9622/C101</f>
        <v>1.1879012345679012</v>
      </c>
      <c r="D105" s="2295">
        <f>0.9622/D101</f>
        <v>1.1879012345679012</v>
      </c>
      <c r="E105" s="2295">
        <f>0.8656/E101</f>
        <v>1.068641975308642</v>
      </c>
      <c r="F105" s="2295">
        <f>0.8656/F101</f>
        <v>1.068641975308642</v>
      </c>
      <c r="G105" s="2295">
        <f>0.8656/G101</f>
        <v>1.068641975308642</v>
      </c>
      <c r="H105" s="2295">
        <f>0.8656/H101</f>
        <v>1.068641975308642</v>
      </c>
      <c r="I105" s="2295">
        <f>0.8656/I101</f>
        <v>1.068641975308642</v>
      </c>
      <c r="J105" s="2295">
        <f>0.7525/J101</f>
        <v>0.92901234567901225</v>
      </c>
      <c r="K105" s="2295">
        <f>0.7525/K101</f>
        <v>0.92901234567901225</v>
      </c>
      <c r="L105" s="2295">
        <f>0.7525/L101</f>
        <v>0.92901234567901225</v>
      </c>
      <c r="M105" s="2295">
        <f>0.7525/M101</f>
        <v>0.92901234567901225</v>
      </c>
      <c r="N105" s="2295">
        <f>0.7525/N101</f>
        <v>0.92901234567901225</v>
      </c>
    </row>
    <row r="106" spans="1:14">
      <c r="A106" s="3555"/>
      <c r="B106" s="2294">
        <v>5</v>
      </c>
      <c r="C106" s="2295">
        <f>0.8417/C101</f>
        <v>1.0391358024691357</v>
      </c>
      <c r="D106" s="2295">
        <f>0.8417/D101</f>
        <v>1.0391358024691357</v>
      </c>
      <c r="E106" s="2295">
        <f>0.7371/E101</f>
        <v>0.90999999999999992</v>
      </c>
      <c r="F106" s="2295">
        <f>0.7371/F101</f>
        <v>0.90999999999999992</v>
      </c>
      <c r="G106" s="2295">
        <f>0.7371/G101</f>
        <v>0.90999999999999992</v>
      </c>
      <c r="H106" s="2295">
        <f>0.7371/H101</f>
        <v>0.90999999999999992</v>
      </c>
      <c r="I106" s="2295">
        <f>0.7371/I101</f>
        <v>0.90999999999999992</v>
      </c>
      <c r="J106" s="2295">
        <f>0.5659/J101</f>
        <v>0.69864197530864192</v>
      </c>
      <c r="K106" s="2295">
        <f>0.5659/K101</f>
        <v>0.69864197530864192</v>
      </c>
      <c r="L106" s="2295">
        <f>0.5659/L101</f>
        <v>0.69864197530864192</v>
      </c>
      <c r="M106" s="2295">
        <f>0.5659/M101</f>
        <v>0.69864197530864192</v>
      </c>
      <c r="N106" s="2295">
        <f>0.5659/N101</f>
        <v>0.69864197530864192</v>
      </c>
    </row>
    <row r="107" spans="1:14">
      <c r="A107" s="3555"/>
      <c r="B107" s="2294">
        <v>6</v>
      </c>
      <c r="C107" s="2295">
        <f>0.7608/C101</f>
        <v>0.93925925925925924</v>
      </c>
      <c r="D107" s="2295">
        <f>0.7608/D101</f>
        <v>0.93925925925925924</v>
      </c>
      <c r="E107" s="2295">
        <f>0.6482/E101</f>
        <v>0.80024691358024691</v>
      </c>
      <c r="F107" s="2295">
        <f>0.6482/F101</f>
        <v>0.80024691358024691</v>
      </c>
      <c r="G107" s="2295">
        <f>0.6482/G101</f>
        <v>0.80024691358024691</v>
      </c>
      <c r="H107" s="2295">
        <f>0.6482/H101</f>
        <v>0.80024691358024691</v>
      </c>
      <c r="I107" s="2295">
        <f>0.6482/I101</f>
        <v>0.80024691358024691</v>
      </c>
      <c r="J107" s="2295">
        <f>0.4525/J101</f>
        <v>0.5586419753086419</v>
      </c>
      <c r="K107" s="2295">
        <f>0.4525/K101</f>
        <v>0.5586419753086419</v>
      </c>
      <c r="L107" s="2295">
        <f>0.4525/L101</f>
        <v>0.5586419753086419</v>
      </c>
      <c r="M107" s="2295">
        <f>0.4525/M101</f>
        <v>0.5586419753086419</v>
      </c>
      <c r="N107" s="2295">
        <f>0.4525/N101</f>
        <v>0.5586419753086419</v>
      </c>
    </row>
    <row r="108" spans="1:14">
      <c r="A108" s="3555"/>
      <c r="B108" s="3557" t="s">
        <v>2555</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56"/>
      <c r="B109" s="3558"/>
      <c r="C109" s="2297">
        <f>(-0.163*(C108^2)-0.59*C108+7617)*(10^(-4))/C101</f>
        <v>0.94037037037037041</v>
      </c>
      <c r="D109" s="2297">
        <f>(-0.163*(D108^2)-0.59*D108+7617)*(10^(-4))/D101</f>
        <v>0.94037037037037041</v>
      </c>
      <c r="E109" s="2297">
        <f>(-0.161*(E108^2)-7.509*E108+6533)*(10^(-4))/E101</f>
        <v>0.80654320987654315</v>
      </c>
      <c r="F109" s="2297">
        <f>(-0.161*(F108^2)-7.509*F108+6533)*(10^(-4))/F101</f>
        <v>0.80654320987654315</v>
      </c>
      <c r="G109" s="2297">
        <f>(-0.161*(G108^2)-7.509*G108+6533)*(10^(-4))/G101</f>
        <v>0.80654320987654315</v>
      </c>
      <c r="H109" s="2297">
        <f>(-0.161*(H108^2)-7.509*H108+6533)*(10^(-4))/H101</f>
        <v>0.80654320987654315</v>
      </c>
      <c r="I109" s="2297">
        <f>(-0.161*(I108^2)-7.509*I108+6533)*(10^(-4))/I101</f>
        <v>0.80654320987654315</v>
      </c>
      <c r="J109" s="2297">
        <f>(-0.214*(J108^2)-21.991*J108+4665)*(10^(-4))/J101</f>
        <v>0.57592592592592595</v>
      </c>
      <c r="K109" s="2297">
        <f>(-0.214*(K108^2)-21.991*K108+4665)*(10^(-4))/K101</f>
        <v>0.57592592592592595</v>
      </c>
      <c r="L109" s="2297">
        <f>(-0.214*(L108^2)-21.991*L108+4665)*(10^(-4))/L101</f>
        <v>0.57592592592592595</v>
      </c>
      <c r="M109" s="2297">
        <f>(-0.214*(M108^2)-21.991*M108+4665)*(10^(-4))/M101</f>
        <v>0.57592592592592595</v>
      </c>
      <c r="N109" s="2297">
        <f>(-0.214*(N108^2)-21.991*N108+4665)*(10^(-4))/N101</f>
        <v>0.57592592592592595</v>
      </c>
    </row>
    <row r="110" spans="1:14">
      <c r="A110" s="3552" t="s">
        <v>2556</v>
      </c>
      <c r="B110" s="3552"/>
      <c r="C110" s="3552"/>
      <c r="D110" s="3552"/>
      <c r="E110" s="3552"/>
      <c r="F110" s="3552"/>
      <c r="G110" s="3552"/>
      <c r="H110" s="3552"/>
      <c r="I110" s="3552"/>
      <c r="J110" s="3552"/>
      <c r="K110" s="2300"/>
      <c r="L110" s="2300"/>
      <c r="M110" s="2300"/>
      <c r="N110" s="2300"/>
    </row>
    <row r="112" spans="1:14" ht="13.5" thickBot="1"/>
    <row r="113" spans="1:13" ht="25.5" thickBot="1">
      <c r="A113" s="823" t="s">
        <v>2557</v>
      </c>
      <c r="B113" s="1177">
        <f>G3</f>
        <v>0.81</v>
      </c>
      <c r="C113" s="824" t="s">
        <v>2558</v>
      </c>
      <c r="D113" s="825">
        <f>SUMPRODUCT((A115:A118=F113)*(B114:M114=H113)*B115:M118)</f>
        <v>0</v>
      </c>
      <c r="E113" s="2136" t="s">
        <v>2391</v>
      </c>
      <c r="F113" s="2302">
        <f>E2</f>
        <v>0</v>
      </c>
      <c r="G113" s="2136" t="s">
        <v>2392</v>
      </c>
      <c r="H113" s="2302">
        <f>G2</f>
        <v>0</v>
      </c>
      <c r="I113" s="2136"/>
      <c r="J113" s="2303"/>
      <c r="K113" s="2303"/>
      <c r="L113" s="2303"/>
      <c r="M113" s="2303"/>
    </row>
    <row r="114" spans="1:13">
      <c r="A114" s="828"/>
      <c r="B114" s="2304" t="s">
        <v>2559</v>
      </c>
      <c r="C114" s="2304" t="s">
        <v>2560</v>
      </c>
      <c r="D114" s="2304" t="s">
        <v>2561</v>
      </c>
      <c r="E114" s="2305" t="s">
        <v>2562</v>
      </c>
      <c r="F114" s="2305" t="s">
        <v>2563</v>
      </c>
      <c r="G114" s="2305" t="s">
        <v>2564</v>
      </c>
      <c r="H114" s="2306" t="s">
        <v>2565</v>
      </c>
      <c r="I114" s="2306" t="s">
        <v>2566</v>
      </c>
      <c r="J114" s="2307" t="s">
        <v>2567</v>
      </c>
      <c r="K114" s="2307" t="s">
        <v>2568</v>
      </c>
      <c r="L114" s="2307" t="s">
        <v>2569</v>
      </c>
      <c r="M114" s="2308" t="s">
        <v>2570</v>
      </c>
    </row>
    <row r="115" spans="1:13">
      <c r="A115" s="829" t="s">
        <v>2456</v>
      </c>
      <c r="B115" s="830">
        <f>ROUND(0.9335-0.0094*B113,4)</f>
        <v>0.92589999999999995</v>
      </c>
      <c r="C115" s="830">
        <f>B115</f>
        <v>0.92589999999999995</v>
      </c>
      <c r="D115" s="830">
        <f>ROUND(0.8331-0.0109*B113,4)</f>
        <v>0.82430000000000003</v>
      </c>
      <c r="E115" s="830">
        <f>D115</f>
        <v>0.82430000000000003</v>
      </c>
      <c r="F115" s="830">
        <f>E115</f>
        <v>0.82430000000000003</v>
      </c>
      <c r="G115" s="830">
        <f>F115</f>
        <v>0.82430000000000003</v>
      </c>
      <c r="H115" s="830">
        <f>G115</f>
        <v>0.82430000000000003</v>
      </c>
      <c r="I115" s="830">
        <f>ROUND(0.689-0.0155*B113,4)</f>
        <v>0.6764</v>
      </c>
      <c r="J115" s="830">
        <f t="shared" ref="J115:M118" si="33">I115</f>
        <v>0.6764</v>
      </c>
      <c r="K115" s="830">
        <f t="shared" si="33"/>
        <v>0.6764</v>
      </c>
      <c r="L115" s="830">
        <f t="shared" si="33"/>
        <v>0.6764</v>
      </c>
      <c r="M115" s="831">
        <f t="shared" si="33"/>
        <v>0.6764</v>
      </c>
    </row>
    <row r="116" spans="1:13">
      <c r="A116" s="829" t="s">
        <v>2457</v>
      </c>
      <c r="B116" s="830">
        <f>ROUND(0.949-0.012*B113,4)</f>
        <v>0.93930000000000002</v>
      </c>
      <c r="C116" s="830">
        <f>B116</f>
        <v>0.93930000000000002</v>
      </c>
      <c r="D116" s="830">
        <f>ROUND(0.8567-0.013*B113,4)</f>
        <v>0.84619999999999995</v>
      </c>
      <c r="E116" s="830">
        <f t="shared" ref="E116:H117" si="34">D116</f>
        <v>0.84619999999999995</v>
      </c>
      <c r="F116" s="830">
        <f t="shared" si="34"/>
        <v>0.84619999999999995</v>
      </c>
      <c r="G116" s="830">
        <f t="shared" si="34"/>
        <v>0.84619999999999995</v>
      </c>
      <c r="H116" s="830">
        <f t="shared" si="34"/>
        <v>0.84619999999999995</v>
      </c>
      <c r="I116" s="830">
        <f>ROUND(0.7694-0.014*B113,4)</f>
        <v>0.7581</v>
      </c>
      <c r="J116" s="830">
        <f t="shared" si="33"/>
        <v>0.7581</v>
      </c>
      <c r="K116" s="830">
        <f t="shared" si="33"/>
        <v>0.7581</v>
      </c>
      <c r="L116" s="830">
        <f t="shared" si="33"/>
        <v>0.7581</v>
      </c>
      <c r="M116" s="831">
        <f t="shared" si="33"/>
        <v>0.7581</v>
      </c>
    </row>
    <row r="117" spans="1:13">
      <c r="A117" s="829" t="s">
        <v>2458</v>
      </c>
      <c r="B117" s="830">
        <f>ROUND(0.8808-0.006*B113,4)</f>
        <v>0.87590000000000001</v>
      </c>
      <c r="C117" s="830">
        <f>B117</f>
        <v>0.87590000000000001</v>
      </c>
      <c r="D117" s="830">
        <f>ROUND(0.8748-0.008*B113,4)</f>
        <v>0.86829999999999996</v>
      </c>
      <c r="E117" s="830">
        <f t="shared" si="34"/>
        <v>0.86829999999999996</v>
      </c>
      <c r="F117" s="830">
        <f t="shared" si="34"/>
        <v>0.86829999999999996</v>
      </c>
      <c r="G117" s="830">
        <f t="shared" si="34"/>
        <v>0.86829999999999996</v>
      </c>
      <c r="H117" s="830">
        <f t="shared" si="34"/>
        <v>0.86829999999999996</v>
      </c>
      <c r="I117" s="830">
        <f>ROUND(0.7412-0.0095*B113,4)</f>
        <v>0.73350000000000004</v>
      </c>
      <c r="J117" s="830">
        <f t="shared" si="33"/>
        <v>0.73350000000000004</v>
      </c>
      <c r="K117" s="830">
        <f t="shared" si="33"/>
        <v>0.73350000000000004</v>
      </c>
      <c r="L117" s="830">
        <f t="shared" si="33"/>
        <v>0.73350000000000004</v>
      </c>
      <c r="M117" s="831">
        <f t="shared" si="33"/>
        <v>0.73350000000000004</v>
      </c>
    </row>
    <row r="118" spans="1:13" ht="13.5" thickBot="1">
      <c r="A118" s="669" t="s">
        <v>2459</v>
      </c>
      <c r="B118" s="832">
        <f>ROUND(0.7275-0.01*B113,4)</f>
        <v>0.71940000000000004</v>
      </c>
      <c r="C118" s="832">
        <f>B118</f>
        <v>0.71940000000000004</v>
      </c>
      <c r="D118" s="832">
        <f>ROUND(0.7043-0.012*B113,4)</f>
        <v>0.6946</v>
      </c>
      <c r="E118" s="832">
        <f>D118</f>
        <v>0.6946</v>
      </c>
      <c r="F118" s="832">
        <f>E118</f>
        <v>0.6946</v>
      </c>
      <c r="G118" s="832">
        <f>ROUND(0.6299-0.0122*B113,4)</f>
        <v>0.62</v>
      </c>
      <c r="H118" s="832">
        <f>G118</f>
        <v>0.62</v>
      </c>
      <c r="I118" s="832">
        <f>ROUND(0.5667-0.0136*B113,4)</f>
        <v>0.55569999999999997</v>
      </c>
      <c r="J118" s="832">
        <f t="shared" si="33"/>
        <v>0.55569999999999997</v>
      </c>
      <c r="K118" s="832">
        <f t="shared" si="33"/>
        <v>0.55569999999999997</v>
      </c>
      <c r="L118" s="832">
        <f t="shared" si="33"/>
        <v>0.55569999999999997</v>
      </c>
      <c r="M118" s="833">
        <f t="shared" si="33"/>
        <v>0.55569999999999997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2943</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2944</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2945</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2946</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2947</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2948</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2622</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2949</v>
      </c>
      <c r="B19" s="3207" t="s">
        <v>2950</v>
      </c>
      <c r="C19" s="3208" t="s">
        <v>2951</v>
      </c>
      <c r="D19" s="3209"/>
      <c r="E19" s="3203" t="s">
        <v>2952</v>
      </c>
      <c r="F19" s="802"/>
      <c r="G19" s="802"/>
    </row>
    <row r="20" spans="1:13" s="807" customFormat="1" ht="19.5" customHeight="1">
      <c r="A20" s="3574" t="s">
        <v>2953</v>
      </c>
      <c r="B20" s="3569" t="s">
        <v>2954</v>
      </c>
      <c r="C20" s="3210" t="s">
        <v>2955</v>
      </c>
      <c r="D20" s="3211"/>
      <c r="E20" s="3212">
        <v>1</v>
      </c>
      <c r="F20" s="3213" t="s">
        <v>2956</v>
      </c>
      <c r="G20" s="806"/>
      <c r="H20" s="800"/>
      <c r="I20" s="800"/>
    </row>
    <row r="21" spans="1:13" s="807" customFormat="1" ht="19.5" customHeight="1">
      <c r="A21" s="3575"/>
      <c r="B21" s="3568"/>
      <c r="C21" s="804" t="s">
        <v>2957</v>
      </c>
      <c r="D21" s="805"/>
      <c r="E21" s="3214">
        <v>1</v>
      </c>
      <c r="F21" s="3213" t="s">
        <v>2958</v>
      </c>
      <c r="G21" s="806"/>
      <c r="H21" s="800"/>
      <c r="I21" s="800"/>
    </row>
    <row r="22" spans="1:13" s="807" customFormat="1" ht="19.5" customHeight="1">
      <c r="A22" s="3575"/>
      <c r="B22" s="3568"/>
      <c r="C22" s="804" t="s">
        <v>2959</v>
      </c>
      <c r="D22" s="805"/>
      <c r="E22" s="3214">
        <v>0.9</v>
      </c>
      <c r="F22" s="3213" t="s">
        <v>2960</v>
      </c>
      <c r="G22" s="806"/>
      <c r="H22" s="800"/>
      <c r="I22" s="800"/>
    </row>
    <row r="23" spans="1:13" s="807" customFormat="1" ht="19.5" customHeight="1">
      <c r="A23" s="3575"/>
      <c r="B23" s="3568"/>
      <c r="C23" s="804" t="s">
        <v>2961</v>
      </c>
      <c r="D23" s="805"/>
      <c r="E23" s="3214">
        <v>0.9</v>
      </c>
      <c r="F23" s="3213" t="s">
        <v>2962</v>
      </c>
      <c r="G23" s="806"/>
      <c r="H23" s="800"/>
      <c r="I23" s="800"/>
    </row>
    <row r="24" spans="1:13" s="807" customFormat="1" ht="19.5" customHeight="1">
      <c r="A24" s="3575"/>
      <c r="B24" s="3568"/>
      <c r="C24" s="804" t="s">
        <v>2963</v>
      </c>
      <c r="D24" s="805"/>
      <c r="E24" s="3214">
        <v>0.8</v>
      </c>
      <c r="F24" s="3213" t="s">
        <v>2964</v>
      </c>
      <c r="G24" s="806"/>
      <c r="H24" s="800"/>
      <c r="I24" s="800"/>
    </row>
    <row r="25" spans="1:13" s="807" customFormat="1" ht="19.5" customHeight="1" thickBot="1">
      <c r="A25" s="3576"/>
      <c r="B25" s="3570"/>
      <c r="C25" s="3215" t="s">
        <v>2965</v>
      </c>
      <c r="D25" s="3216"/>
      <c r="E25" s="3217">
        <v>0.8</v>
      </c>
      <c r="F25" s="3213" t="s">
        <v>2966</v>
      </c>
      <c r="G25" s="806"/>
      <c r="H25" s="800"/>
      <c r="I25" s="800"/>
    </row>
    <row r="26" spans="1:13" s="807" customFormat="1" ht="19.5" customHeight="1" thickBot="1">
      <c r="A26" s="3218" t="s">
        <v>2967</v>
      </c>
      <c r="B26" s="3219" t="s">
        <v>2954</v>
      </c>
      <c r="C26" s="3220" t="s">
        <v>2968</v>
      </c>
      <c r="D26" s="3221"/>
      <c r="E26" s="3222">
        <v>1</v>
      </c>
      <c r="F26" s="3213" t="s">
        <v>2969</v>
      </c>
      <c r="G26" s="806"/>
      <c r="H26" s="800"/>
      <c r="I26" s="800"/>
    </row>
    <row r="27" spans="1:13" s="807" customFormat="1" ht="19.5" customHeight="1">
      <c r="A27" s="3571" t="s">
        <v>2970</v>
      </c>
      <c r="B27" s="3569" t="s">
        <v>2970</v>
      </c>
      <c r="C27" s="3210" t="s">
        <v>2971</v>
      </c>
      <c r="D27" s="3211"/>
      <c r="E27" s="3212">
        <v>1</v>
      </c>
      <c r="F27" s="3213" t="s">
        <v>2972</v>
      </c>
      <c r="G27" s="806"/>
      <c r="H27" s="800"/>
      <c r="I27" s="800"/>
    </row>
    <row r="28" spans="1:13" s="807" customFormat="1" ht="19.5" customHeight="1">
      <c r="A28" s="3572"/>
      <c r="B28" s="3568"/>
      <c r="C28" s="804" t="s">
        <v>2973</v>
      </c>
      <c r="D28" s="805"/>
      <c r="E28" s="3214">
        <v>1</v>
      </c>
      <c r="F28" s="3213" t="s">
        <v>2974</v>
      </c>
      <c r="G28" s="806"/>
      <c r="H28" s="800"/>
      <c r="I28" s="800"/>
    </row>
    <row r="29" spans="1:13" s="807" customFormat="1" ht="19.5" customHeight="1">
      <c r="A29" s="3572"/>
      <c r="B29" s="3568"/>
      <c r="C29" s="804" t="s">
        <v>2975</v>
      </c>
      <c r="D29" s="805"/>
      <c r="E29" s="3214">
        <v>0.8</v>
      </c>
      <c r="F29" s="3213" t="s">
        <v>2976</v>
      </c>
      <c r="G29" s="806"/>
      <c r="H29" s="800"/>
      <c r="I29" s="800"/>
    </row>
    <row r="30" spans="1:13" s="807" customFormat="1" ht="19.5" customHeight="1">
      <c r="A30" s="3572"/>
      <c r="B30" s="3568"/>
      <c r="C30" s="804" t="s">
        <v>2977</v>
      </c>
      <c r="D30" s="805"/>
      <c r="E30" s="3214">
        <v>0.8</v>
      </c>
      <c r="F30" s="3213" t="s">
        <v>2978</v>
      </c>
      <c r="G30" s="806"/>
      <c r="H30" s="800"/>
      <c r="I30" s="800"/>
    </row>
    <row r="31" spans="1:13" s="807" customFormat="1" ht="19.5" customHeight="1">
      <c r="A31" s="3572"/>
      <c r="B31" s="3568"/>
      <c r="C31" s="804" t="s">
        <v>2979</v>
      </c>
      <c r="D31" s="805"/>
      <c r="E31" s="3214">
        <v>0.8</v>
      </c>
      <c r="F31" s="3213" t="s">
        <v>2980</v>
      </c>
      <c r="G31" s="806"/>
      <c r="H31" s="800"/>
      <c r="I31" s="800"/>
    </row>
    <row r="32" spans="1:13" s="807" customFormat="1" ht="19.5" customHeight="1">
      <c r="A32" s="3572"/>
      <c r="B32" s="3568"/>
      <c r="C32" s="804" t="s">
        <v>2981</v>
      </c>
      <c r="D32" s="805"/>
      <c r="E32" s="3214">
        <v>0.7</v>
      </c>
      <c r="F32" s="3213" t="s">
        <v>2982</v>
      </c>
      <c r="G32" s="806"/>
      <c r="H32" s="800"/>
      <c r="I32" s="800"/>
    </row>
    <row r="33" spans="1:9" s="807" customFormat="1" ht="19.5" customHeight="1">
      <c r="A33" s="3572"/>
      <c r="B33" s="3568"/>
      <c r="C33" s="804" t="s">
        <v>2983</v>
      </c>
      <c r="D33" s="805"/>
      <c r="E33" s="3214">
        <v>0.8</v>
      </c>
      <c r="F33" s="3213" t="s">
        <v>2984</v>
      </c>
      <c r="G33" s="806"/>
      <c r="H33" s="800"/>
      <c r="I33" s="800"/>
    </row>
    <row r="34" spans="1:9" s="807" customFormat="1" ht="19.5" customHeight="1">
      <c r="A34" s="3572"/>
      <c r="B34" s="3568"/>
      <c r="C34" s="804" t="s">
        <v>2985</v>
      </c>
      <c r="D34" s="805"/>
      <c r="E34" s="3214">
        <v>0.6</v>
      </c>
      <c r="F34" s="3213" t="s">
        <v>2986</v>
      </c>
      <c r="G34" s="806"/>
      <c r="H34" s="800"/>
      <c r="I34" s="800"/>
    </row>
    <row r="35" spans="1:9" s="807" customFormat="1" ht="19.5" customHeight="1">
      <c r="A35" s="3572"/>
      <c r="B35" s="3568"/>
      <c r="C35" s="804" t="s">
        <v>2987</v>
      </c>
      <c r="D35" s="805"/>
      <c r="E35" s="3214">
        <v>0.2</v>
      </c>
      <c r="F35" s="3213" t="s">
        <v>2988</v>
      </c>
      <c r="G35" s="806"/>
      <c r="H35" s="800"/>
      <c r="I35" s="800"/>
    </row>
    <row r="36" spans="1:9" s="807" customFormat="1" ht="19.5" customHeight="1">
      <c r="A36" s="3572"/>
      <c r="B36" s="3568"/>
      <c r="C36" s="804" t="s">
        <v>2989</v>
      </c>
      <c r="D36" s="805"/>
      <c r="E36" s="3214">
        <v>0.2</v>
      </c>
      <c r="F36" s="3213" t="s">
        <v>2990</v>
      </c>
      <c r="G36" s="806"/>
      <c r="H36" s="800"/>
      <c r="I36" s="800"/>
    </row>
    <row r="37" spans="1:9" s="807" customFormat="1" ht="19.5" customHeight="1">
      <c r="A37" s="3572"/>
      <c r="B37" s="3566" t="s">
        <v>2991</v>
      </c>
      <c r="C37" s="804" t="s">
        <v>2992</v>
      </c>
      <c r="D37" s="805"/>
      <c r="E37" s="3214">
        <v>0.6</v>
      </c>
      <c r="F37" s="3213" t="s">
        <v>2993</v>
      </c>
      <c r="G37" s="806"/>
      <c r="H37" s="800"/>
      <c r="I37" s="800"/>
    </row>
    <row r="38" spans="1:9" s="807" customFormat="1" ht="19.5" customHeight="1">
      <c r="A38" s="3572"/>
      <c r="B38" s="3568"/>
      <c r="C38" s="804" t="s">
        <v>2994</v>
      </c>
      <c r="D38" s="805"/>
      <c r="E38" s="3214">
        <v>0.6</v>
      </c>
      <c r="F38" s="3213" t="s">
        <v>2995</v>
      </c>
      <c r="G38" s="806"/>
      <c r="H38" s="800"/>
      <c r="I38" s="800"/>
    </row>
    <row r="39" spans="1:9" s="807" customFormat="1" ht="19.5" customHeight="1" thickBot="1">
      <c r="A39" s="3573"/>
      <c r="B39" s="3570"/>
      <c r="C39" s="3215" t="s">
        <v>2996</v>
      </c>
      <c r="D39" s="3216"/>
      <c r="E39" s="3217">
        <v>0.6</v>
      </c>
      <c r="F39" s="3213" t="s">
        <v>2997</v>
      </c>
      <c r="G39" s="806"/>
      <c r="H39" s="800"/>
      <c r="I39" s="800"/>
    </row>
    <row r="40" spans="1:9" s="807" customFormat="1" ht="19.5" customHeight="1" thickBot="1">
      <c r="A40" s="3218" t="s">
        <v>2998</v>
      </c>
      <c r="B40" s="3219" t="s">
        <v>2998</v>
      </c>
      <c r="C40" s="3220" t="s">
        <v>2999</v>
      </c>
      <c r="D40" s="3221"/>
      <c r="E40" s="3222">
        <v>1</v>
      </c>
      <c r="F40" s="3213" t="s">
        <v>3000</v>
      </c>
      <c r="G40" s="806"/>
      <c r="H40" s="800"/>
      <c r="I40" s="800"/>
    </row>
    <row r="41" spans="1:9" s="807" customFormat="1" ht="19.5" customHeight="1">
      <c r="A41" s="3574" t="s">
        <v>3001</v>
      </c>
      <c r="B41" s="3569" t="s">
        <v>3002</v>
      </c>
      <c r="C41" s="3210" t="s">
        <v>3003</v>
      </c>
      <c r="D41" s="3211"/>
      <c r="E41" s="3212">
        <v>1</v>
      </c>
      <c r="F41" s="3213" t="s">
        <v>3004</v>
      </c>
      <c r="G41" s="806"/>
      <c r="H41" s="800"/>
      <c r="I41" s="800"/>
    </row>
    <row r="42" spans="1:9" s="807" customFormat="1" ht="19.5" customHeight="1">
      <c r="A42" s="3575"/>
      <c r="B42" s="3568"/>
      <c r="C42" s="804" t="s">
        <v>3005</v>
      </c>
      <c r="D42" s="805"/>
      <c r="E42" s="3214">
        <v>1</v>
      </c>
      <c r="F42" s="3213" t="s">
        <v>3006</v>
      </c>
      <c r="G42" s="806"/>
      <c r="H42" s="800"/>
      <c r="I42" s="800"/>
    </row>
    <row r="43" spans="1:9" s="807" customFormat="1" ht="19.5" customHeight="1">
      <c r="A43" s="3575"/>
      <c r="B43" s="3567"/>
      <c r="C43" s="804" t="s">
        <v>3007</v>
      </c>
      <c r="D43" s="805"/>
      <c r="E43" s="3214">
        <v>1.5</v>
      </c>
      <c r="F43" s="3213" t="s">
        <v>3008</v>
      </c>
      <c r="G43" s="806"/>
      <c r="H43" s="800"/>
      <c r="I43" s="800"/>
    </row>
    <row r="44" spans="1:9" s="807" customFormat="1" ht="19.5" customHeight="1">
      <c r="A44" s="3575"/>
      <c r="B44" s="3223" t="s">
        <v>2970</v>
      </c>
      <c r="C44" s="804" t="s">
        <v>3009</v>
      </c>
      <c r="D44" s="805"/>
      <c r="E44" s="3214">
        <v>2</v>
      </c>
      <c r="F44" s="3213" t="s">
        <v>3010</v>
      </c>
      <c r="G44" s="806"/>
      <c r="H44" s="800"/>
      <c r="I44" s="800"/>
    </row>
    <row r="45" spans="1:9" s="807" customFormat="1" ht="19.5" customHeight="1">
      <c r="A45" s="3575"/>
      <c r="B45" s="3566" t="s">
        <v>3011</v>
      </c>
      <c r="C45" s="804" t="s">
        <v>3012</v>
      </c>
      <c r="D45" s="805"/>
      <c r="E45" s="3214">
        <v>1</v>
      </c>
      <c r="F45" s="3213" t="s">
        <v>3013</v>
      </c>
      <c r="G45" s="806"/>
      <c r="H45" s="800"/>
      <c r="I45" s="800"/>
    </row>
    <row r="46" spans="1:9" s="807" customFormat="1" ht="19.5" customHeight="1">
      <c r="A46" s="3575"/>
      <c r="B46" s="3568"/>
      <c r="C46" s="804" t="s">
        <v>3014</v>
      </c>
      <c r="D46" s="805"/>
      <c r="E46" s="3214">
        <v>1</v>
      </c>
      <c r="F46" s="3213" t="s">
        <v>3015</v>
      </c>
      <c r="G46" s="806"/>
      <c r="H46" s="800"/>
      <c r="I46" s="800"/>
    </row>
    <row r="47" spans="1:9" s="807" customFormat="1" ht="19.5" customHeight="1">
      <c r="A47" s="3575"/>
      <c r="B47" s="3568"/>
      <c r="C47" s="804" t="s">
        <v>3016</v>
      </c>
      <c r="D47" s="805"/>
      <c r="E47" s="3214">
        <v>1</v>
      </c>
      <c r="F47" s="3213" t="s">
        <v>3017</v>
      </c>
      <c r="G47" s="806"/>
      <c r="H47" s="800"/>
      <c r="I47" s="800"/>
    </row>
    <row r="48" spans="1:9" s="807" customFormat="1" ht="19.5" customHeight="1">
      <c r="A48" s="3575"/>
      <c r="B48" s="3568"/>
      <c r="C48" s="804" t="s">
        <v>3018</v>
      </c>
      <c r="D48" s="805"/>
      <c r="E48" s="3214">
        <v>1</v>
      </c>
      <c r="F48" s="3213" t="s">
        <v>3019</v>
      </c>
      <c r="G48" s="806"/>
      <c r="H48" s="800"/>
      <c r="I48" s="800"/>
    </row>
    <row r="49" spans="1:9" s="807" customFormat="1" ht="19.5" customHeight="1">
      <c r="A49" s="3575"/>
      <c r="B49" s="3568"/>
      <c r="C49" s="804" t="s">
        <v>3020</v>
      </c>
      <c r="D49" s="805"/>
      <c r="E49" s="3214">
        <v>1</v>
      </c>
      <c r="F49" s="3213" t="s">
        <v>3021</v>
      </c>
      <c r="G49" s="806"/>
      <c r="H49" s="800"/>
      <c r="I49" s="800"/>
    </row>
    <row r="50" spans="1:9" s="807" customFormat="1" ht="19.5" customHeight="1">
      <c r="A50" s="3575"/>
      <c r="B50" s="3568"/>
      <c r="C50" s="804" t="s">
        <v>3022</v>
      </c>
      <c r="D50" s="805"/>
      <c r="E50" s="3214">
        <v>1</v>
      </c>
      <c r="F50" s="3213" t="s">
        <v>3023</v>
      </c>
      <c r="G50" s="806"/>
      <c r="H50" s="800"/>
      <c r="I50" s="800"/>
    </row>
    <row r="51" spans="1:9" s="807" customFormat="1" ht="19.5" customHeight="1" thickBot="1">
      <c r="A51" s="3576"/>
      <c r="B51" s="3570"/>
      <c r="C51" s="3215" t="s">
        <v>3024</v>
      </c>
      <c r="D51" s="3216"/>
      <c r="E51" s="3217">
        <v>1</v>
      </c>
      <c r="F51" s="3213" t="s">
        <v>3025</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3026</v>
      </c>
      <c r="D72" s="858"/>
      <c r="E72" s="815" t="s">
        <v>1</v>
      </c>
      <c r="F72" s="858" t="s">
        <v>1</v>
      </c>
    </row>
    <row r="73" spans="1:7" s="800" customFormat="1" ht="13.5">
      <c r="A73" s="3223">
        <v>1</v>
      </c>
      <c r="B73" s="3566" t="s">
        <v>3027</v>
      </c>
      <c r="C73" s="3203" t="s">
        <v>3028</v>
      </c>
      <c r="D73" s="3203" t="s">
        <v>3029</v>
      </c>
      <c r="E73" s="3224">
        <v>0.2</v>
      </c>
      <c r="F73" s="3223">
        <v>25</v>
      </c>
    </row>
    <row r="74" spans="1:7" s="800" customFormat="1" ht="24">
      <c r="A74" s="3223">
        <v>2</v>
      </c>
      <c r="B74" s="3568"/>
      <c r="C74" s="3203" t="s">
        <v>3030</v>
      </c>
      <c r="D74" s="3203" t="s">
        <v>3031</v>
      </c>
      <c r="E74" s="3224">
        <v>0.2</v>
      </c>
      <c r="F74" s="3223">
        <v>25</v>
      </c>
    </row>
    <row r="75" spans="1:7" s="800" customFormat="1" ht="24">
      <c r="A75" s="3223">
        <v>3</v>
      </c>
      <c r="B75" s="3568"/>
      <c r="C75" s="3203" t="s">
        <v>3032</v>
      </c>
      <c r="D75" s="3203" t="s">
        <v>3033</v>
      </c>
      <c r="E75" s="3224">
        <v>0.2</v>
      </c>
      <c r="F75" s="3223">
        <v>25</v>
      </c>
    </row>
    <row r="76" spans="1:7" s="800" customFormat="1" ht="13.5">
      <c r="A76" s="3223">
        <v>4</v>
      </c>
      <c r="B76" s="3568"/>
      <c r="C76" s="3203" t="s">
        <v>3034</v>
      </c>
      <c r="D76" s="3203" t="s">
        <v>3035</v>
      </c>
      <c r="E76" s="3224">
        <v>0.15</v>
      </c>
      <c r="F76" s="3223">
        <v>20</v>
      </c>
    </row>
    <row r="77" spans="1:7" s="800" customFormat="1" ht="24">
      <c r="A77" s="3223">
        <v>5</v>
      </c>
      <c r="B77" s="3568"/>
      <c r="C77" s="3203" t="s">
        <v>3036</v>
      </c>
      <c r="D77" s="3203" t="s">
        <v>3037</v>
      </c>
      <c r="E77" s="3224">
        <v>0.15</v>
      </c>
      <c r="F77" s="3223">
        <v>20</v>
      </c>
    </row>
    <row r="78" spans="1:7" s="800" customFormat="1" ht="24">
      <c r="A78" s="3223">
        <v>6</v>
      </c>
      <c r="B78" s="3568"/>
      <c r="C78" s="3203" t="s">
        <v>3038</v>
      </c>
      <c r="D78" s="3203" t="s">
        <v>3039</v>
      </c>
      <c r="E78" s="3224">
        <v>0.15</v>
      </c>
      <c r="F78" s="3223">
        <v>20</v>
      </c>
    </row>
    <row r="79" spans="1:7" s="800" customFormat="1" ht="24">
      <c r="A79" s="3223">
        <v>7</v>
      </c>
      <c r="B79" s="3568"/>
      <c r="C79" s="3203" t="s">
        <v>3040</v>
      </c>
      <c r="D79" s="3203" t="s">
        <v>3041</v>
      </c>
      <c r="E79" s="3224">
        <v>0.15</v>
      </c>
      <c r="F79" s="3223">
        <v>20</v>
      </c>
    </row>
    <row r="80" spans="1:7" s="800" customFormat="1" ht="24">
      <c r="A80" s="3223">
        <v>8</v>
      </c>
      <c r="B80" s="3568"/>
      <c r="C80" s="3203" t="s">
        <v>3042</v>
      </c>
      <c r="D80" s="3203" t="s">
        <v>3043</v>
      </c>
      <c r="E80" s="3224">
        <v>0.1</v>
      </c>
      <c r="F80" s="3223">
        <v>15</v>
      </c>
    </row>
    <row r="81" spans="1:6" s="800" customFormat="1" ht="24">
      <c r="A81" s="3223">
        <v>9</v>
      </c>
      <c r="B81" s="3568"/>
      <c r="C81" s="3203" t="s">
        <v>3044</v>
      </c>
      <c r="D81" s="3203" t="s">
        <v>3045</v>
      </c>
      <c r="E81" s="3224">
        <v>0.1</v>
      </c>
      <c r="F81" s="3223">
        <v>15</v>
      </c>
    </row>
    <row r="82" spans="1:6" s="800" customFormat="1" ht="24">
      <c r="A82" s="3223">
        <v>10</v>
      </c>
      <c r="B82" s="3568"/>
      <c r="C82" s="3203" t="s">
        <v>3046</v>
      </c>
      <c r="D82" s="3203" t="s">
        <v>3047</v>
      </c>
      <c r="E82" s="3224">
        <v>0.1</v>
      </c>
      <c r="F82" s="3223">
        <v>15</v>
      </c>
    </row>
    <row r="83" spans="1:6" s="800" customFormat="1" ht="24">
      <c r="A83" s="3223">
        <v>11</v>
      </c>
      <c r="B83" s="3568"/>
      <c r="C83" s="3203" t="s">
        <v>3048</v>
      </c>
      <c r="D83" s="3203" t="s">
        <v>3049</v>
      </c>
      <c r="E83" s="3224">
        <v>0.1</v>
      </c>
      <c r="F83" s="3223">
        <v>15</v>
      </c>
    </row>
    <row r="84" spans="1:6" s="800" customFormat="1" ht="24">
      <c r="A84" s="3223">
        <v>12</v>
      </c>
      <c r="B84" s="3568"/>
      <c r="C84" s="3203" t="s">
        <v>3050</v>
      </c>
      <c r="D84" s="3203" t="s">
        <v>3051</v>
      </c>
      <c r="E84" s="3224">
        <v>0.1</v>
      </c>
      <c r="F84" s="3223">
        <v>15</v>
      </c>
    </row>
    <row r="85" spans="1:6" s="800" customFormat="1" ht="13.5">
      <c r="A85" s="3223">
        <v>13</v>
      </c>
      <c r="B85" s="3568"/>
      <c r="C85" s="3203" t="s">
        <v>3052</v>
      </c>
      <c r="D85" s="3203" t="s">
        <v>3053</v>
      </c>
      <c r="E85" s="3224">
        <v>0.1</v>
      </c>
      <c r="F85" s="3223">
        <v>15</v>
      </c>
    </row>
    <row r="86" spans="1:6" s="800" customFormat="1" ht="13.5">
      <c r="A86" s="3223">
        <v>14</v>
      </c>
      <c r="B86" s="3568"/>
      <c r="C86" s="3203" t="s">
        <v>3054</v>
      </c>
      <c r="D86" s="3203" t="s">
        <v>3055</v>
      </c>
      <c r="E86" s="3224">
        <v>0.1</v>
      </c>
      <c r="F86" s="3223">
        <v>15</v>
      </c>
    </row>
    <row r="87" spans="1:6" s="800" customFormat="1" ht="13.5">
      <c r="A87" s="3223">
        <v>15</v>
      </c>
      <c r="B87" s="3568"/>
      <c r="C87" s="3203" t="s">
        <v>3056</v>
      </c>
      <c r="D87" s="3203" t="s">
        <v>3057</v>
      </c>
      <c r="E87" s="3224">
        <v>0.1</v>
      </c>
      <c r="F87" s="3223">
        <v>15</v>
      </c>
    </row>
    <row r="88" spans="1:6" s="800" customFormat="1" ht="24">
      <c r="A88" s="3223">
        <v>16</v>
      </c>
      <c r="B88" s="3568"/>
      <c r="C88" s="3203" t="s">
        <v>3058</v>
      </c>
      <c r="D88" s="3203" t="s">
        <v>3059</v>
      </c>
      <c r="E88" s="3224">
        <v>0.1</v>
      </c>
      <c r="F88" s="3223">
        <v>15</v>
      </c>
    </row>
    <row r="89" spans="1:6" s="800" customFormat="1" ht="24">
      <c r="A89" s="3223">
        <v>17</v>
      </c>
      <c r="B89" s="3567"/>
      <c r="C89" s="3203" t="s">
        <v>3060</v>
      </c>
      <c r="D89" s="3203" t="s">
        <v>3061</v>
      </c>
      <c r="E89" s="3224">
        <v>0.1</v>
      </c>
      <c r="F89" s="3223">
        <v>15</v>
      </c>
    </row>
    <row r="90" spans="1:6" s="800" customFormat="1" ht="13.5">
      <c r="A90" s="3223">
        <v>18</v>
      </c>
      <c r="B90" s="3566" t="s">
        <v>3062</v>
      </c>
      <c r="C90" s="3203" t="s">
        <v>3063</v>
      </c>
      <c r="D90" s="3203" t="s">
        <v>3064</v>
      </c>
      <c r="E90" s="3224">
        <v>0.2</v>
      </c>
      <c r="F90" s="3223">
        <v>25</v>
      </c>
    </row>
    <row r="91" spans="1:6" s="800" customFormat="1" ht="24">
      <c r="A91" s="3223">
        <v>19</v>
      </c>
      <c r="B91" s="3568"/>
      <c r="C91" s="3203" t="s">
        <v>3065</v>
      </c>
      <c r="D91" s="3203" t="s">
        <v>3066</v>
      </c>
      <c r="E91" s="3224">
        <v>0.2</v>
      </c>
      <c r="F91" s="3223">
        <v>25</v>
      </c>
    </row>
    <row r="92" spans="1:6" s="800" customFormat="1" ht="13.5">
      <c r="A92" s="3223">
        <v>20</v>
      </c>
      <c r="B92" s="3568"/>
      <c r="C92" s="3203" t="s">
        <v>3067</v>
      </c>
      <c r="D92" s="3203" t="s">
        <v>3068</v>
      </c>
      <c r="E92" s="3224">
        <v>0.15</v>
      </c>
      <c r="F92" s="3223">
        <v>20</v>
      </c>
    </row>
    <row r="93" spans="1:6" s="800" customFormat="1" ht="24">
      <c r="A93" s="3223">
        <v>21</v>
      </c>
      <c r="B93" s="3568"/>
      <c r="C93" s="3203" t="s">
        <v>3069</v>
      </c>
      <c r="D93" s="3203" t="s">
        <v>3070</v>
      </c>
      <c r="E93" s="3224">
        <v>0.15</v>
      </c>
      <c r="F93" s="3223">
        <v>20</v>
      </c>
    </row>
    <row r="94" spans="1:6" s="800" customFormat="1" ht="24">
      <c r="A94" s="3223">
        <v>22</v>
      </c>
      <c r="B94" s="3568"/>
      <c r="C94" s="3203" t="s">
        <v>3071</v>
      </c>
      <c r="D94" s="3203" t="s">
        <v>3072</v>
      </c>
      <c r="E94" s="3224">
        <v>0.15</v>
      </c>
      <c r="F94" s="3223">
        <v>20</v>
      </c>
    </row>
    <row r="95" spans="1:6" s="800" customFormat="1" ht="36">
      <c r="A95" s="3223">
        <v>23</v>
      </c>
      <c r="B95" s="3568"/>
      <c r="C95" s="3203" t="s">
        <v>3073</v>
      </c>
      <c r="D95" s="3203" t="s">
        <v>3074</v>
      </c>
      <c r="E95" s="3224">
        <v>0.15</v>
      </c>
      <c r="F95" s="3223">
        <v>20</v>
      </c>
    </row>
    <row r="96" spans="1:6" s="800" customFormat="1" ht="13.5">
      <c r="A96" s="3223">
        <v>24</v>
      </c>
      <c r="B96" s="3568"/>
      <c r="C96" s="3203" t="s">
        <v>3075</v>
      </c>
      <c r="D96" s="3203" t="s">
        <v>3076</v>
      </c>
      <c r="E96" s="3224">
        <v>0.1</v>
      </c>
      <c r="F96" s="3223">
        <v>15</v>
      </c>
    </row>
    <row r="97" spans="1:6" s="800" customFormat="1" ht="24">
      <c r="A97" s="3223">
        <v>25</v>
      </c>
      <c r="B97" s="3568"/>
      <c r="C97" s="3203" t="s">
        <v>3077</v>
      </c>
      <c r="D97" s="3203" t="s">
        <v>3078</v>
      </c>
      <c r="E97" s="3224">
        <v>0.1</v>
      </c>
      <c r="F97" s="3223">
        <v>15</v>
      </c>
    </row>
    <row r="98" spans="1:6" s="800" customFormat="1" ht="24">
      <c r="A98" s="3223">
        <v>26</v>
      </c>
      <c r="B98" s="3568"/>
      <c r="C98" s="3203" t="s">
        <v>3079</v>
      </c>
      <c r="D98" s="3203" t="s">
        <v>3080</v>
      </c>
      <c r="E98" s="3224">
        <v>0.1</v>
      </c>
      <c r="F98" s="3223">
        <v>15</v>
      </c>
    </row>
    <row r="99" spans="1:6" s="800" customFormat="1" ht="24">
      <c r="A99" s="3223">
        <v>27</v>
      </c>
      <c r="B99" s="3568"/>
      <c r="C99" s="3203" t="s">
        <v>3081</v>
      </c>
      <c r="D99" s="3203" t="s">
        <v>3082</v>
      </c>
      <c r="E99" s="3224">
        <v>0.1</v>
      </c>
      <c r="F99" s="3223">
        <v>15</v>
      </c>
    </row>
    <row r="100" spans="1:6" s="800" customFormat="1" ht="24">
      <c r="A100" s="3223">
        <v>28</v>
      </c>
      <c r="B100" s="3568"/>
      <c r="C100" s="3203" t="s">
        <v>3083</v>
      </c>
      <c r="D100" s="3203" t="s">
        <v>3084</v>
      </c>
      <c r="E100" s="3224">
        <v>0.1</v>
      </c>
      <c r="F100" s="3223">
        <v>15</v>
      </c>
    </row>
    <row r="101" spans="1:6" s="800" customFormat="1" ht="24">
      <c r="A101" s="3223">
        <v>29</v>
      </c>
      <c r="B101" s="3568"/>
      <c r="C101" s="3203" t="s">
        <v>3085</v>
      </c>
      <c r="D101" s="3203" t="s">
        <v>3086</v>
      </c>
      <c r="E101" s="3224">
        <v>0.1</v>
      </c>
      <c r="F101" s="3223">
        <v>15</v>
      </c>
    </row>
    <row r="102" spans="1:6" s="800" customFormat="1" ht="24">
      <c r="A102" s="3223">
        <v>30</v>
      </c>
      <c r="B102" s="3568"/>
      <c r="C102" s="3203" t="s">
        <v>3087</v>
      </c>
      <c r="D102" s="3203" t="s">
        <v>3088</v>
      </c>
      <c r="E102" s="3224">
        <v>0.1</v>
      </c>
      <c r="F102" s="3223">
        <v>15</v>
      </c>
    </row>
    <row r="103" spans="1:6" s="800" customFormat="1" ht="24">
      <c r="A103" s="3223">
        <v>31</v>
      </c>
      <c r="B103" s="3568"/>
      <c r="C103" s="3203" t="s">
        <v>3089</v>
      </c>
      <c r="D103" s="3203" t="s">
        <v>3090</v>
      </c>
      <c r="E103" s="3224">
        <v>0.1</v>
      </c>
      <c r="F103" s="3223">
        <v>15</v>
      </c>
    </row>
    <row r="104" spans="1:6" s="800" customFormat="1" ht="24">
      <c r="A104" s="3223">
        <v>32</v>
      </c>
      <c r="B104" s="3568"/>
      <c r="C104" s="3203" t="s">
        <v>3091</v>
      </c>
      <c r="D104" s="3203" t="s">
        <v>3092</v>
      </c>
      <c r="E104" s="3224">
        <v>0.1</v>
      </c>
      <c r="F104" s="3223">
        <v>15</v>
      </c>
    </row>
    <row r="105" spans="1:6" s="800" customFormat="1" ht="24">
      <c r="A105" s="3223">
        <v>33</v>
      </c>
      <c r="B105" s="3568"/>
      <c r="C105" s="3203" t="s">
        <v>3093</v>
      </c>
      <c r="D105" s="3203" t="s">
        <v>3094</v>
      </c>
      <c r="E105" s="3224">
        <v>0.1</v>
      </c>
      <c r="F105" s="3223">
        <v>15</v>
      </c>
    </row>
    <row r="106" spans="1:6" s="800" customFormat="1" ht="24">
      <c r="A106" s="3223">
        <v>34</v>
      </c>
      <c r="B106" s="3567"/>
      <c r="C106" s="3203" t="s">
        <v>3095</v>
      </c>
      <c r="D106" s="3203" t="s">
        <v>3096</v>
      </c>
      <c r="E106" s="3224">
        <v>0.1</v>
      </c>
      <c r="F106" s="3223">
        <v>15</v>
      </c>
    </row>
    <row r="107" spans="1:6" s="800" customFormat="1" ht="24">
      <c r="A107" s="3223">
        <v>35</v>
      </c>
      <c r="B107" s="3566" t="s">
        <v>3097</v>
      </c>
      <c r="C107" s="3223" t="s">
        <v>3098</v>
      </c>
      <c r="D107" s="3203" t="s">
        <v>3099</v>
      </c>
      <c r="E107" s="3224">
        <v>0.15</v>
      </c>
      <c r="F107" s="3223">
        <v>20</v>
      </c>
    </row>
    <row r="108" spans="1:6" s="800" customFormat="1" ht="24">
      <c r="A108" s="3223">
        <v>36</v>
      </c>
      <c r="B108" s="3568"/>
      <c r="C108" s="3223" t="s">
        <v>3100</v>
      </c>
      <c r="D108" s="3203" t="s">
        <v>3101</v>
      </c>
      <c r="E108" s="3224">
        <v>0.15</v>
      </c>
      <c r="F108" s="3223">
        <v>20</v>
      </c>
    </row>
    <row r="109" spans="1:6" s="800" customFormat="1" ht="24">
      <c r="A109" s="3223">
        <v>37</v>
      </c>
      <c r="B109" s="3568"/>
      <c r="C109" s="3223" t="s">
        <v>3102</v>
      </c>
      <c r="D109" s="3203" t="s">
        <v>3103</v>
      </c>
      <c r="E109" s="3224">
        <v>0.15</v>
      </c>
      <c r="F109" s="3223">
        <v>20</v>
      </c>
    </row>
    <row r="110" spans="1:6" s="800" customFormat="1" ht="13.5">
      <c r="A110" s="3223">
        <v>38</v>
      </c>
      <c r="B110" s="3568"/>
      <c r="C110" s="3223" t="s">
        <v>3104</v>
      </c>
      <c r="D110" s="3203" t="s">
        <v>3105</v>
      </c>
      <c r="E110" s="3224">
        <v>0.1</v>
      </c>
      <c r="F110" s="3223">
        <v>15</v>
      </c>
    </row>
    <row r="111" spans="1:6" s="800" customFormat="1" ht="24">
      <c r="A111" s="3223">
        <v>39</v>
      </c>
      <c r="B111" s="3568"/>
      <c r="C111" s="3223" t="s">
        <v>3106</v>
      </c>
      <c r="D111" s="3203" t="s">
        <v>3107</v>
      </c>
      <c r="E111" s="3224">
        <v>0.1</v>
      </c>
      <c r="F111" s="3223">
        <v>15</v>
      </c>
    </row>
    <row r="112" spans="1:6" s="800" customFormat="1" ht="24">
      <c r="A112" s="3223">
        <v>40</v>
      </c>
      <c r="B112" s="3567"/>
      <c r="C112" s="3223" t="s">
        <v>3108</v>
      </c>
      <c r="D112" s="3203" t="s">
        <v>3109</v>
      </c>
      <c r="E112" s="3224">
        <v>0.1</v>
      </c>
      <c r="F112" s="3223">
        <v>15</v>
      </c>
    </row>
    <row r="113" spans="1:6" s="800" customFormat="1" ht="24">
      <c r="A113" s="3223">
        <v>41</v>
      </c>
      <c r="B113" s="3565" t="s">
        <v>3110</v>
      </c>
      <c r="C113" s="3223" t="s">
        <v>3111</v>
      </c>
      <c r="D113" s="3203" t="s">
        <v>3112</v>
      </c>
      <c r="E113" s="3224">
        <v>0.1</v>
      </c>
      <c r="F113" s="3223">
        <v>15</v>
      </c>
    </row>
    <row r="114" spans="1:6" s="800" customFormat="1" ht="13.5">
      <c r="A114" s="3223">
        <v>42</v>
      </c>
      <c r="B114" s="3565"/>
      <c r="C114" s="3223" t="s">
        <v>3113</v>
      </c>
      <c r="D114" s="3203" t="s">
        <v>3114</v>
      </c>
      <c r="E114" s="3224">
        <v>0.1</v>
      </c>
      <c r="F114" s="3223">
        <v>15</v>
      </c>
    </row>
    <row r="115" spans="1:6" s="800" customFormat="1" ht="24">
      <c r="A115" s="3223">
        <v>43</v>
      </c>
      <c r="B115" s="3565"/>
      <c r="C115" s="3223" t="s">
        <v>3115</v>
      </c>
      <c r="D115" s="3203" t="s">
        <v>3116</v>
      </c>
      <c r="E115" s="3224">
        <v>0.1</v>
      </c>
      <c r="F115" s="3223">
        <v>15</v>
      </c>
    </row>
    <row r="116" spans="1:6" s="800" customFormat="1" ht="24">
      <c r="A116" s="3223">
        <v>44</v>
      </c>
      <c r="B116" s="3566" t="s">
        <v>3117</v>
      </c>
      <c r="C116" s="3223" t="s">
        <v>3118</v>
      </c>
      <c r="D116" s="3203" t="s">
        <v>3119</v>
      </c>
      <c r="E116" s="3224">
        <v>0.1</v>
      </c>
      <c r="F116" s="3223">
        <v>15</v>
      </c>
    </row>
    <row r="117" spans="1:6" s="800" customFormat="1" ht="24">
      <c r="A117" s="3223">
        <v>45</v>
      </c>
      <c r="B117" s="3567"/>
      <c r="C117" s="3203" t="s">
        <v>3120</v>
      </c>
      <c r="D117" s="3203" t="s">
        <v>3121</v>
      </c>
      <c r="E117" s="3224">
        <v>0.1</v>
      </c>
      <c r="F117" s="3223">
        <v>15</v>
      </c>
    </row>
    <row r="118" spans="1:6" s="800" customFormat="1" ht="24">
      <c r="A118" s="3223">
        <v>46</v>
      </c>
      <c r="B118" s="3566" t="s">
        <v>3122</v>
      </c>
      <c r="C118" s="3223" t="s">
        <v>3123</v>
      </c>
      <c r="D118" s="3203" t="s">
        <v>3124</v>
      </c>
      <c r="E118" s="3224">
        <v>0.1</v>
      </c>
      <c r="F118" s="3223">
        <v>15</v>
      </c>
    </row>
    <row r="119" spans="1:6" s="800" customFormat="1" ht="24">
      <c r="A119" s="3223">
        <v>47</v>
      </c>
      <c r="B119" s="3567"/>
      <c r="C119" s="3223" t="s">
        <v>3125</v>
      </c>
      <c r="D119" s="3203" t="s">
        <v>3126</v>
      </c>
      <c r="E119" s="3224">
        <v>0.1</v>
      </c>
      <c r="F119" s="3223">
        <v>15</v>
      </c>
    </row>
    <row r="120" spans="1:6" s="800" customFormat="1" ht="24">
      <c r="A120" s="3223">
        <v>48</v>
      </c>
      <c r="B120" s="3566" t="s">
        <v>3127</v>
      </c>
      <c r="C120" s="3223" t="s">
        <v>3128</v>
      </c>
      <c r="D120" s="3203" t="s">
        <v>3129</v>
      </c>
      <c r="E120" s="3224">
        <v>0.1</v>
      </c>
      <c r="F120" s="3223">
        <v>15</v>
      </c>
    </row>
    <row r="121" spans="1:6" s="800" customFormat="1" ht="13.5">
      <c r="A121" s="3223">
        <v>49</v>
      </c>
      <c r="B121" s="3567"/>
      <c r="C121" s="3223" t="s">
        <v>3130</v>
      </c>
      <c r="D121" s="3203" t="s">
        <v>3131</v>
      </c>
      <c r="E121" s="3224">
        <v>0.1</v>
      </c>
      <c r="F121" s="3223">
        <v>15</v>
      </c>
    </row>
    <row r="122" spans="1:6" s="800" customFormat="1" ht="24">
      <c r="A122" s="3223">
        <v>50</v>
      </c>
      <c r="B122" s="3565" t="s">
        <v>3132</v>
      </c>
      <c r="C122" s="3223" t="s">
        <v>3133</v>
      </c>
      <c r="D122" s="3203" t="s">
        <v>3134</v>
      </c>
      <c r="E122" s="3224">
        <v>0.1</v>
      </c>
      <c r="F122" s="3223">
        <v>15</v>
      </c>
    </row>
    <row r="123" spans="1:6" s="800" customFormat="1" ht="24">
      <c r="A123" s="3223">
        <v>51</v>
      </c>
      <c r="B123" s="3565"/>
      <c r="C123" s="3223" t="s">
        <v>3135</v>
      </c>
      <c r="D123" s="3203" t="s">
        <v>3136</v>
      </c>
      <c r="E123" s="3224">
        <v>0.1</v>
      </c>
      <c r="F123" s="3223">
        <v>15</v>
      </c>
    </row>
    <row r="124" spans="1:6" s="800" customFormat="1" ht="24">
      <c r="A124" s="3223">
        <v>52</v>
      </c>
      <c r="B124" s="3565" t="s">
        <v>3137</v>
      </c>
      <c r="C124" s="3223" t="s">
        <v>3138</v>
      </c>
      <c r="D124" s="3203" t="s">
        <v>3139</v>
      </c>
      <c r="E124" s="3224">
        <v>0.1</v>
      </c>
      <c r="F124" s="3223">
        <v>15</v>
      </c>
    </row>
    <row r="125" spans="1:6" s="800" customFormat="1" ht="24">
      <c r="A125" s="3223">
        <v>53</v>
      </c>
      <c r="B125" s="3565"/>
      <c r="C125" s="3223" t="s">
        <v>3140</v>
      </c>
      <c r="D125" s="3203" t="s">
        <v>3141</v>
      </c>
      <c r="E125" s="3224">
        <v>0.1</v>
      </c>
      <c r="F125" s="3223">
        <v>15</v>
      </c>
    </row>
    <row r="126" spans="1:6" ht="24">
      <c r="A126" s="3223">
        <v>54</v>
      </c>
      <c r="B126" s="3223" t="s">
        <v>3142</v>
      </c>
      <c r="C126" s="3223" t="s">
        <v>3143</v>
      </c>
      <c r="D126" s="3203" t="s">
        <v>3144</v>
      </c>
      <c r="E126" s="3224">
        <v>0.1</v>
      </c>
      <c r="F126" s="3223">
        <v>15</v>
      </c>
    </row>
    <row r="127" spans="1:6" ht="13.5">
      <c r="A127" s="3223">
        <v>55</v>
      </c>
      <c r="B127" s="3565" t="s">
        <v>3145</v>
      </c>
      <c r="C127" s="3223" t="s">
        <v>3146</v>
      </c>
      <c r="D127" s="3203" t="s">
        <v>3147</v>
      </c>
      <c r="E127" s="3224">
        <v>0.1</v>
      </c>
      <c r="F127" s="3223">
        <v>15</v>
      </c>
    </row>
    <row r="128" spans="1:6" ht="13.5">
      <c r="A128" s="3223">
        <v>56</v>
      </c>
      <c r="B128" s="3565"/>
      <c r="C128" s="3223" t="s">
        <v>3148</v>
      </c>
      <c r="D128" s="3203" t="s">
        <v>3149</v>
      </c>
      <c r="E128" s="3224">
        <v>0.1</v>
      </c>
      <c r="F128" s="3223">
        <v>15</v>
      </c>
    </row>
    <row r="129" spans="1:6" ht="24">
      <c r="A129" s="3223">
        <v>57</v>
      </c>
      <c r="B129" s="3565"/>
      <c r="C129" s="3223" t="s">
        <v>3150</v>
      </c>
      <c r="D129" s="3203" t="s">
        <v>3151</v>
      </c>
      <c r="E129" s="3224">
        <v>0.1</v>
      </c>
      <c r="F129" s="3223">
        <v>15</v>
      </c>
    </row>
    <row r="130" spans="1:6" ht="24">
      <c r="A130" s="3223">
        <v>58</v>
      </c>
      <c r="B130" s="3565" t="s">
        <v>3152</v>
      </c>
      <c r="C130" s="3223" t="s">
        <v>3153</v>
      </c>
      <c r="D130" s="3203" t="s">
        <v>3154</v>
      </c>
      <c r="E130" s="3224">
        <v>0.1</v>
      </c>
      <c r="F130" s="3223">
        <v>15</v>
      </c>
    </row>
    <row r="131" spans="1:6" ht="24">
      <c r="A131" s="3223">
        <v>59</v>
      </c>
      <c r="B131" s="3565"/>
      <c r="C131" s="3223" t="s">
        <v>3155</v>
      </c>
      <c r="D131" s="3203" t="s">
        <v>3156</v>
      </c>
      <c r="E131" s="3224">
        <v>0.1</v>
      </c>
      <c r="F131" s="3223">
        <v>15</v>
      </c>
    </row>
    <row r="132" spans="1:6" ht="24">
      <c r="A132" s="3223">
        <v>60</v>
      </c>
      <c r="B132" s="3566" t="s">
        <v>3157</v>
      </c>
      <c r="C132" s="3223" t="s">
        <v>3158</v>
      </c>
      <c r="D132" s="3203" t="s">
        <v>3159</v>
      </c>
      <c r="E132" s="3224">
        <v>0.1</v>
      </c>
      <c r="F132" s="3223">
        <v>15</v>
      </c>
    </row>
    <row r="133" spans="1:6" ht="24">
      <c r="A133" s="3223">
        <v>61</v>
      </c>
      <c r="B133" s="3567"/>
      <c r="C133" s="3223" t="s">
        <v>3160</v>
      </c>
      <c r="D133" s="3203" t="s">
        <v>3161</v>
      </c>
      <c r="E133" s="3224">
        <v>0.1</v>
      </c>
      <c r="F133" s="3223">
        <v>15</v>
      </c>
    </row>
    <row r="134" spans="1:6" ht="24">
      <c r="A134" s="3223">
        <v>62</v>
      </c>
      <c r="B134" s="3223" t="s">
        <v>3162</v>
      </c>
      <c r="C134" s="3223" t="s">
        <v>3163</v>
      </c>
      <c r="D134" s="3203" t="s">
        <v>3164</v>
      </c>
      <c r="E134" s="3224">
        <v>0.1</v>
      </c>
      <c r="F134" s="3223">
        <v>15</v>
      </c>
    </row>
    <row r="135" spans="1:6" ht="24">
      <c r="A135" s="3223">
        <v>63</v>
      </c>
      <c r="B135" s="3565" t="s">
        <v>3165</v>
      </c>
      <c r="C135" s="3223" t="s">
        <v>3166</v>
      </c>
      <c r="D135" s="3203" t="s">
        <v>3167</v>
      </c>
      <c r="E135" s="3224">
        <v>0.1</v>
      </c>
      <c r="F135" s="3223">
        <v>15</v>
      </c>
    </row>
    <row r="136" spans="1:6" ht="13.5">
      <c r="A136" s="3223">
        <v>64</v>
      </c>
      <c r="B136" s="3565"/>
      <c r="C136" s="3223" t="s">
        <v>3168</v>
      </c>
      <c r="D136" s="3203" t="s">
        <v>3169</v>
      </c>
      <c r="E136" s="3224">
        <v>0.1</v>
      </c>
      <c r="F136" s="3223">
        <v>15</v>
      </c>
    </row>
    <row r="137" spans="1:6" ht="24">
      <c r="A137" s="3223">
        <v>65</v>
      </c>
      <c r="B137" s="3223" t="s">
        <v>3170</v>
      </c>
      <c r="C137" s="3223" t="s">
        <v>3171</v>
      </c>
      <c r="D137" s="3203" t="s">
        <v>3172</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2579</v>
      </c>
      <c r="B1" s="2311"/>
      <c r="C1" s="2311"/>
      <c r="D1" s="2311"/>
      <c r="E1" s="2311"/>
      <c r="F1" s="2971"/>
      <c r="G1" s="2971"/>
      <c r="H1" s="2971"/>
      <c r="I1" s="2971"/>
      <c r="J1" s="2971"/>
      <c r="K1" s="2971"/>
      <c r="L1" s="2971"/>
      <c r="M1" s="2971"/>
      <c r="N1" s="2971"/>
      <c r="O1" s="2971"/>
      <c r="P1" s="2971"/>
    </row>
    <row r="2" spans="1:16" ht="15.75">
      <c r="A2" s="2309" t="s">
        <v>2571</v>
      </c>
      <c r="B2" s="2775" t="e">
        <f ca="1">SUMIF(B6:B13,"&lt;&gt;#ref!",B6:B13)</f>
        <v>#DIV/0!</v>
      </c>
      <c r="C2" s="2309" t="s">
        <v>2572</v>
      </c>
      <c r="D2" s="2309" t="s">
        <v>2573</v>
      </c>
      <c r="E2" s="2785">
        <f ca="1">SUMIF(E6:E13,"&lt;&gt;#ref!",E6:E13)</f>
        <v>0</v>
      </c>
      <c r="F2" s="2971"/>
      <c r="G2" s="2971"/>
      <c r="H2" s="2971"/>
      <c r="I2" s="2971"/>
      <c r="J2" s="2971"/>
      <c r="K2" s="2971"/>
      <c r="L2" s="2971"/>
      <c r="M2" s="2971"/>
      <c r="N2" s="2971"/>
      <c r="O2" s="2971"/>
      <c r="P2" s="2971"/>
    </row>
    <row r="3" spans="1:16" ht="15.75">
      <c r="A3" s="2309" t="s">
        <v>2574</v>
      </c>
      <c r="B3" s="2775" t="e">
        <f ca="1">ROUND(B2*10000/E2,0)</f>
        <v>#DIV/0!</v>
      </c>
      <c r="C3" s="2309" t="s">
        <v>2580</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2575</v>
      </c>
      <c r="B5" s="2783" t="s">
        <v>2576</v>
      </c>
      <c r="C5" s="2310"/>
      <c r="D5" s="2971"/>
      <c r="E5" s="2784" t="s">
        <v>2577</v>
      </c>
      <c r="F5" s="2971"/>
      <c r="G5" s="2971"/>
      <c r="H5" s="2971"/>
      <c r="I5" s="2971"/>
      <c r="J5" s="2971"/>
      <c r="K5" s="2971"/>
      <c r="L5" s="2971"/>
      <c r="M5" s="2971"/>
      <c r="N5" s="2971"/>
      <c r="O5" s="2971"/>
      <c r="P5" s="2971"/>
    </row>
    <row r="6" spans="1:16" ht="15.75">
      <c r="A6" s="2782" t="s">
        <v>2578</v>
      </c>
      <c r="B6" s="2775" t="e">
        <f ca="1">SUMIF(INDIRECT("'"&amp;A6&amp;"'"&amp;"!A:A"),"总价",INDIRECT("'"&amp;A6&amp;"'"&amp;"!B:B"))</f>
        <v>#DIV/0!</v>
      </c>
      <c r="C6" s="2309" t="s">
        <v>2572</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09" t="s">
        <v>2572</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09" t="s">
        <v>2572</v>
      </c>
      <c r="D8" s="2971"/>
      <c r="E8" s="2785" t="e">
        <f t="shared" ca="1" si="0"/>
        <v>#REF!</v>
      </c>
      <c r="F8" s="2971"/>
      <c r="G8" s="2971"/>
      <c r="H8" s="2971"/>
      <c r="I8" s="2971"/>
      <c r="J8" s="2971"/>
      <c r="K8" s="2971"/>
      <c r="L8" s="2971"/>
      <c r="M8" s="2971"/>
      <c r="N8" s="2971"/>
      <c r="O8" s="2971"/>
      <c r="P8" s="2971"/>
    </row>
    <row r="9" spans="1:16" ht="15.75">
      <c r="A9" s="2782"/>
      <c r="B9" s="2775" t="e">
        <f t="shared" ca="1" si="1"/>
        <v>#REF!</v>
      </c>
      <c r="C9" s="2309" t="s">
        <v>2572</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09" t="s">
        <v>2572</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09" t="s">
        <v>2572</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09" t="s">
        <v>2572</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09" t="s">
        <v>2572</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582" t="s">
        <v>877</v>
      </c>
      <c r="C1" s="3582"/>
      <c r="D1" s="3582"/>
      <c r="E1" s="3582"/>
      <c r="F1" s="3582"/>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2612</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2940</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3">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2613</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2939</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3">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2816</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8">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2815</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7">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2814</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91">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2812</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90">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2811</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7">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2629</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2627</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2626</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2625</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2623</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2621</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2624</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578">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2619</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578"/>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2618</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578"/>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2611</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587"/>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2609</v>
      </c>
      <c r="B22" s="2386">
        <v>439</v>
      </c>
      <c r="C22" s="2386">
        <v>327</v>
      </c>
      <c r="D22" s="2386">
        <f>C22</f>
        <v>327</v>
      </c>
      <c r="E22" s="2386">
        <v>627</v>
      </c>
      <c r="F22" s="2387">
        <v>283</v>
      </c>
      <c r="G22" s="3583">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2610</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578"/>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578"/>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587"/>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583">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578"/>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578"/>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579"/>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577">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578"/>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578"/>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579"/>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577">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578"/>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578"/>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579"/>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584">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585"/>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585"/>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586"/>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577">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578"/>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578"/>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579"/>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577">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578">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578">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579">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577">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578">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578">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579">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577">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578">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578">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579">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577">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578">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578">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579">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577">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578">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578">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579">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577">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578">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578">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579">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577">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578">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578">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579">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577">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578">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578">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579">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577">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578">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578">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579">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577">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578">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578">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579">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2581</v>
      </c>
      <c r="C1" s="3591" t="s">
        <v>2582</v>
      </c>
      <c r="D1" s="3592"/>
      <c r="E1" s="3592"/>
      <c r="F1" s="3592"/>
      <c r="G1" s="3592"/>
      <c r="H1" s="3592"/>
      <c r="I1" s="3592"/>
      <c r="J1" s="3592"/>
      <c r="K1" s="3592"/>
      <c r="L1" s="3592"/>
      <c r="M1" s="3592"/>
      <c r="N1" s="3592"/>
      <c r="O1" s="3592"/>
      <c r="P1" s="3592"/>
      <c r="Q1" s="3592"/>
      <c r="R1" s="3592"/>
      <c r="S1" s="3593"/>
      <c r="T1" s="1094" t="s">
        <v>2583</v>
      </c>
    </row>
    <row r="2" spans="1:45" s="662" customFormat="1">
      <c r="A2" s="1095"/>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5" t="s">
        <v>2585</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6" t="s">
        <v>2586</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6" t="s">
        <v>2587</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5" t="s">
        <v>2588</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5" t="s">
        <v>2589</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5" t="s">
        <v>2590</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2" t="s">
        <v>2591</v>
      </c>
      <c r="B17" s="2313" t="s">
        <v>2592</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4" t="s">
        <v>2593</v>
      </c>
      <c r="E19" s="1473"/>
      <c r="F19" s="1473"/>
      <c r="G19" s="1473"/>
      <c r="H19" s="1170"/>
      <c r="I19" s="163"/>
      <c r="J19" s="163"/>
      <c r="K19" s="163"/>
      <c r="L19" s="163"/>
      <c r="M19" s="163"/>
      <c r="N19" s="163"/>
      <c r="O19" s="163"/>
      <c r="P19" s="163"/>
      <c r="Q19" s="163"/>
      <c r="R19" s="726"/>
      <c r="S19" s="133"/>
    </row>
    <row r="20" spans="1:45" ht="16.5" thickBot="1">
      <c r="A20" s="670" t="s">
        <v>2594</v>
      </c>
      <c r="B20" s="299" t="e">
        <f ca="1">IF(D20="——",S22,S22-F20)</f>
        <v>#REF!</v>
      </c>
      <c r="C20" s="163"/>
      <c r="D20" s="2315"/>
      <c r="E20" s="1474"/>
      <c r="F20" s="1094" t="e">
        <f ca="1">SUMIF(INDIRECT("'"&amp;H20&amp;"'"&amp;"!A:A"),"承租人权益价值",INDIRECT("'"&amp;H20&amp;"'"&amp;"!c:c"))</f>
        <v>#REF!</v>
      </c>
      <c r="G20" s="1094" t="s">
        <v>2595</v>
      </c>
      <c r="H20" s="2316"/>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4">
        <f>SUM(B24:B10000)</f>
        <v>100</v>
      </c>
      <c r="C22" s="3588" t="s">
        <v>33</v>
      </c>
      <c r="D22" s="3589"/>
      <c r="E22" s="3589"/>
      <c r="F22" s="3589"/>
      <c r="G22" s="3589"/>
      <c r="H22" s="3589"/>
      <c r="I22" s="3589"/>
      <c r="J22" s="3589"/>
      <c r="K22" s="3589"/>
      <c r="L22" s="3589"/>
      <c r="M22" s="3589"/>
      <c r="N22" s="3589"/>
      <c r="O22" s="3589"/>
      <c r="P22" s="3589"/>
      <c r="Q22" s="3590"/>
      <c r="R22" s="671">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8">
        <v>1</v>
      </c>
      <c r="D24" s="2989"/>
      <c r="E24" s="2988">
        <v>1</v>
      </c>
      <c r="F24" s="2989"/>
      <c r="G24" s="2988">
        <v>1</v>
      </c>
      <c r="H24" s="2989"/>
      <c r="I24" s="2988">
        <v>1</v>
      </c>
      <c r="J24" s="2989"/>
      <c r="K24" s="2988">
        <v>1</v>
      </c>
      <c r="L24" s="2989"/>
      <c r="M24" s="2988">
        <v>1</v>
      </c>
      <c r="N24" s="2989"/>
      <c r="O24" s="2988">
        <v>1</v>
      </c>
      <c r="P24" s="2989"/>
      <c r="Q24" s="298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7"/>
      <c r="B4" s="3255" t="s">
        <v>1354</v>
      </c>
      <c r="C4" s="3255"/>
      <c r="D4" s="3255"/>
      <c r="E4" s="1627"/>
    </row>
    <row r="5" spans="1:5" ht="16.5" thickTop="1">
      <c r="A5" s="1625"/>
      <c r="B5" s="3253" t="s">
        <v>1346</v>
      </c>
      <c r="C5" s="1628" t="s">
        <v>1347</v>
      </c>
      <c r="D5" s="939">
        <f ca="1">结果表!H101</f>
        <v>7482</v>
      </c>
      <c r="E5" s="1625"/>
    </row>
    <row r="6" spans="1:5" ht="15.75">
      <c r="A6" s="1625"/>
      <c r="B6" s="3253"/>
      <c r="C6" s="1628" t="s">
        <v>1348</v>
      </c>
      <c r="D6" s="939" t="str">
        <f ca="1">NUMBERSTRING(INT(D5*10000),2)&amp;"元整"</f>
        <v>柒仟肆佰捌拾贰万元整</v>
      </c>
      <c r="E6" s="1625"/>
    </row>
    <row r="7" spans="1:5" ht="15.75">
      <c r="A7" s="1625"/>
      <c r="B7" s="3258"/>
      <c r="C7" s="1629" t="s">
        <v>1349</v>
      </c>
      <c r="D7" s="940">
        <f ca="1">结果表!H102</f>
        <v>5395</v>
      </c>
      <c r="E7" s="1625"/>
    </row>
    <row r="8" spans="1:5" ht="15.75">
      <c r="A8" s="1625"/>
      <c r="B8" s="3259" t="str">
        <f>结果表!E103</f>
        <v>2.估价师知悉的法定优先受偿款</v>
      </c>
      <c r="C8" s="1630" t="s">
        <v>1350</v>
      </c>
      <c r="D8" s="940">
        <f>结果表!H103</f>
        <v>0</v>
      </c>
      <c r="E8" s="1625"/>
    </row>
    <row r="9" spans="1:5" ht="15.75">
      <c r="A9" s="1625"/>
      <c r="B9" s="3261"/>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52" t="str">
        <f>结果表!E107</f>
        <v>3.房地产抵押价值</v>
      </c>
      <c r="C13" s="1633" t="s">
        <v>1347</v>
      </c>
      <c r="D13" s="942">
        <f ca="1">结果表!H107</f>
        <v>7482</v>
      </c>
      <c r="E13" s="1625"/>
    </row>
    <row r="14" spans="1:5" ht="15.75">
      <c r="A14" s="1625"/>
      <c r="B14" s="3253"/>
      <c r="C14" s="1628" t="s">
        <v>1348</v>
      </c>
      <c r="D14" s="939" t="str">
        <f ca="1">NUMBERSTRING(INT(D13*10000),2)&amp;"元整"</f>
        <v>柒仟肆佰捌拾贰万元整</v>
      </c>
      <c r="E14" s="1625"/>
    </row>
    <row r="15" spans="1:5" ht="15">
      <c r="A15" s="1625"/>
      <c r="B15" s="3258"/>
      <c r="C15" s="1629" t="s">
        <v>1358</v>
      </c>
      <c r="D15" s="948">
        <f ca="1">结果表!H108</f>
        <v>5395</v>
      </c>
      <c r="E15" s="1625"/>
    </row>
    <row r="16" spans="1:5" ht="15">
      <c r="A16" s="1625"/>
      <c r="B16" s="3259" t="str">
        <f>结果表!E109</f>
        <v>——</v>
      </c>
      <c r="C16" s="1633" t="s">
        <v>1359</v>
      </c>
      <c r="D16" s="1634" t="str">
        <f>结果表!H109</f>
        <v>——</v>
      </c>
      <c r="E16" s="1625"/>
    </row>
    <row r="17" spans="1:5" ht="15.75">
      <c r="A17" s="1625"/>
      <c r="B17" s="3260"/>
      <c r="C17" s="1628" t="s">
        <v>1360</v>
      </c>
      <c r="D17" s="939" t="e">
        <f>NUMBERSTRING(INT(D16*10000),2)&amp;"元整"</f>
        <v>#VALUE!</v>
      </c>
      <c r="E17" s="1625"/>
    </row>
    <row r="18" spans="1:5" ht="15">
      <c r="A18" s="1625"/>
      <c r="B18" s="3261"/>
      <c r="C18" s="1629" t="s">
        <v>1349</v>
      </c>
      <c r="D18" s="948" t="str">
        <f>结果表!H110</f>
        <v>——</v>
      </c>
      <c r="E18" s="1625"/>
    </row>
    <row r="19" spans="1:5" ht="15.75">
      <c r="A19" s="1625"/>
      <c r="B19" s="3252" t="str">
        <f>结果表!E111</f>
        <v>——</v>
      </c>
      <c r="C19" s="1633" t="s">
        <v>1347</v>
      </c>
      <c r="D19" s="940" t="str">
        <f>结果表!H111</f>
        <v>——</v>
      </c>
      <c r="E19" s="1625"/>
    </row>
    <row r="20" spans="1:5" ht="15.75">
      <c r="A20" s="1625"/>
      <c r="B20" s="3253"/>
      <c r="C20" s="1628" t="s">
        <v>1360</v>
      </c>
      <c r="D20" s="939" t="e">
        <f>NUMBERSTRING(INT(D19*10000),2)&amp;"元整"</f>
        <v>#VALUE!</v>
      </c>
      <c r="E20" s="1625"/>
    </row>
    <row r="21" spans="1:5" ht="15.75" thickBot="1">
      <c r="A21" s="1625"/>
      <c r="B21" s="3254"/>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28589</v>
      </c>
      <c r="C2" s="2" t="s">
        <v>133</v>
      </c>
      <c r="D2" s="204"/>
      <c r="E2" s="204"/>
      <c r="F2" s="204"/>
      <c r="G2" s="204"/>
    </row>
    <row r="3" spans="1:7" s="205" customFormat="1" ht="18" customHeight="1" thickBot="1">
      <c r="A3" s="208" t="s">
        <v>85</v>
      </c>
      <c r="B3" s="209">
        <f ca="1">ROUND(B2*10000/'数据-汇总表'!E3,0)</f>
        <v>20616</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305</v>
      </c>
      <c r="D10" s="934">
        <f>'数据-汇总表'!E6</f>
        <v>13867.57</v>
      </c>
      <c r="E10" s="230">
        <f>'数据-取费表'!B28</f>
        <v>220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277</v>
      </c>
      <c r="D19" s="938">
        <f>'数据-汇总表'!E3</f>
        <v>13867.57</v>
      </c>
      <c r="E19" s="216">
        <f>'数据-取费表'!B31</f>
        <v>200</v>
      </c>
      <c r="F19" s="236"/>
      <c r="G19" s="1" t="s">
        <v>861</v>
      </c>
    </row>
    <row r="20" spans="1:7" s="219" customFormat="1" ht="13.5" customHeight="1">
      <c r="A20" s="865" t="s">
        <v>844</v>
      </c>
      <c r="B20" s="215" t="s">
        <v>104</v>
      </c>
      <c r="C20" s="237">
        <f>ROUND((C5+C19)*F20,0)</f>
        <v>418</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887</v>
      </c>
      <c r="D22" s="240">
        <f ca="1">C26</f>
        <v>4.0000000000000002E-4</v>
      </c>
      <c r="E22" s="241" t="s">
        <v>126</v>
      </c>
      <c r="F22" s="242">
        <f ca="1">'数据-取费表'!B40</f>
        <v>4.2000000000000003E-2</v>
      </c>
      <c r="G22" s="1179" t="str">
        <f>IF('数据-取费表'!B22&lt;=1,"单利计息","复利计息")</f>
        <v>单利计息</v>
      </c>
    </row>
    <row r="23" spans="1:7" s="219" customFormat="1" ht="13.5" customHeight="1">
      <c r="A23" s="868" t="s">
        <v>613</v>
      </c>
      <c r="B23" s="220" t="s">
        <v>848</v>
      </c>
      <c r="C23" s="1217">
        <f ca="1">ROUND(IF('数据-取费表'!B22&lt;=1,C5*F22*'数据-取费表'!B23,C5*(POWER((1+F22),'数据-取费表'!B23)-1)),0)</f>
        <v>866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12</v>
      </c>
      <c r="D24" s="243"/>
      <c r="E24" s="243"/>
      <c r="F24" s="244"/>
      <c r="G24" s="245" t="s">
        <v>109</v>
      </c>
    </row>
    <row r="25" spans="1:7" s="219" customFormat="1" ht="24">
      <c r="A25" s="868" t="s">
        <v>612</v>
      </c>
      <c r="B25" s="220" t="s">
        <v>845</v>
      </c>
      <c r="C25" s="1217">
        <f ca="1">ROUND(IF('数据-取费表'!B22&lt;=1,C20*F22*'数据-取费表'!B23/2,C20*(POWER((1+F22),'数据-取费表'!B23/2)-1)),0)</f>
        <v>9</v>
      </c>
      <c r="D25" s="243"/>
      <c r="E25" s="246"/>
      <c r="F25" s="244"/>
      <c r="G25" s="247" t="s">
        <v>110</v>
      </c>
    </row>
    <row r="26" spans="1:7" s="219" customFormat="1">
      <c r="A26" s="868" t="s">
        <v>614</v>
      </c>
      <c r="B26" s="220" t="s">
        <v>847</v>
      </c>
      <c r="C26" s="243">
        <f ca="1">ROUND(IF('数据-取费表'!B22&lt;=1,F21*F22*'数据-取费表'!B23/2,F21*(POWER((1+F22),'数据-取费表'!B23/2)-1)),4)</f>
        <v>4.0000000000000002E-4</v>
      </c>
      <c r="D26" s="243"/>
      <c r="E26" s="246"/>
      <c r="F26" s="244"/>
      <c r="G26" s="248"/>
    </row>
    <row r="27" spans="1:7" s="219" customFormat="1" ht="24.75">
      <c r="A27" s="865" t="s">
        <v>606</v>
      </c>
      <c r="B27" s="249" t="s">
        <v>112</v>
      </c>
      <c r="C27" s="250">
        <f>C28</f>
        <v>1065</v>
      </c>
      <c r="D27" s="240">
        <f>C29</f>
        <v>1E-3</v>
      </c>
      <c r="E27" s="241" t="s">
        <v>126</v>
      </c>
      <c r="F27" s="251">
        <f>'数据-取费表'!Q16</f>
        <v>0.05</v>
      </c>
      <c r="G27" s="252" t="s">
        <v>856</v>
      </c>
    </row>
    <row r="28" spans="1:7" s="219" customFormat="1" ht="13.5" customHeight="1">
      <c r="A28" s="868" t="s">
        <v>613</v>
      </c>
      <c r="B28" s="253" t="s">
        <v>849</v>
      </c>
      <c r="C28" s="254">
        <f>ROUND((C5+C19+C20)*F27*'数据-取费表'!B21/'数据-取费表'!B20,0)</f>
        <v>1065</v>
      </c>
      <c r="D28" s="240"/>
      <c r="E28" s="241"/>
      <c r="F28" s="251"/>
      <c r="G28" s="252"/>
    </row>
    <row r="29" spans="1:7" s="219" customFormat="1" ht="13.5" customHeight="1">
      <c r="A29" s="868" t="s">
        <v>611</v>
      </c>
      <c r="B29" s="253" t="s">
        <v>850</v>
      </c>
      <c r="C29" s="243">
        <f>ROUND(C21*F27*'数据-取费表'!B21/'数据-取费表'!B20,4)</f>
        <v>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25135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3900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3467</v>
      </c>
      <c r="D34" s="222"/>
      <c r="E34" s="225"/>
      <c r="F34" s="262">
        <f>IF('数据-取费表'!B24=0,1,'数据-取费表'!N16)</f>
        <v>1</v>
      </c>
      <c r="G34" s="224" t="s">
        <v>116</v>
      </c>
    </row>
    <row r="35" spans="1:7" ht="13.5" customHeight="1">
      <c r="A35" s="868" t="s">
        <v>615</v>
      </c>
      <c r="B35" s="220" t="s">
        <v>60</v>
      </c>
      <c r="C35" s="225">
        <f>ROUND(C34*F35,0)</f>
        <v>104</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68" t="s">
        <v>617</v>
      </c>
      <c r="B37" s="220" t="s">
        <v>118</v>
      </c>
      <c r="C37" s="254">
        <f>ROUND(E37*D37*F34/10000,0)</f>
        <v>277</v>
      </c>
      <c r="D37" s="222">
        <f>'数据-汇总表'!E3</f>
        <v>13867.57</v>
      </c>
      <c r="E37" s="254">
        <f>'数据-取费表'!B35</f>
        <v>200</v>
      </c>
      <c r="F37" s="264"/>
      <c r="G37" s="266" t="s">
        <v>119</v>
      </c>
    </row>
    <row r="38" spans="1:7" ht="13.5" customHeight="1">
      <c r="A38" s="868" t="s">
        <v>618</v>
      </c>
      <c r="B38" s="220" t="s">
        <v>63</v>
      </c>
      <c r="C38" s="225">
        <f>ROUND(C34*F38,0)</f>
        <v>52</v>
      </c>
      <c r="D38" s="225"/>
      <c r="E38" s="225"/>
      <c r="F38" s="264">
        <f>'数据-取费表'!B36</f>
        <v>1.4999999999999999E-2</v>
      </c>
      <c r="G38" s="224" t="s">
        <v>117</v>
      </c>
    </row>
    <row r="39" spans="1:7" s="219" customFormat="1" ht="13.5" customHeight="1">
      <c r="A39" s="865" t="s">
        <v>602</v>
      </c>
      <c r="B39" s="215" t="s">
        <v>104</v>
      </c>
      <c r="C39" s="237">
        <f>ROUND(C33*F20,0)</f>
        <v>78</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84</v>
      </c>
      <c r="D41" s="240">
        <f ca="1">C44</f>
        <v>4.0000000000000002E-4</v>
      </c>
      <c r="E41" s="241" t="s">
        <v>129</v>
      </c>
      <c r="F41" s="242"/>
      <c r="G41" s="1179" t="str">
        <f>IF('数据-取费表'!B22&lt;=1,"单利计息","复利计息")</f>
        <v>单利计息</v>
      </c>
    </row>
    <row r="42" spans="1:7" ht="13.5" customHeight="1">
      <c r="A42" s="868" t="s">
        <v>613</v>
      </c>
      <c r="B42" s="220" t="s">
        <v>848</v>
      </c>
      <c r="C42" s="243">
        <f ca="1">ROUND(IF('数据-取费表'!B22&lt;=1,C33*F22*'数据-取费表'!B21/2,C33*(POWER((1+F22),'数据-取费表'!B21/2)-1)),0)</f>
        <v>82</v>
      </c>
      <c r="D42" s="243"/>
      <c r="E42" s="243"/>
      <c r="F42" s="244"/>
      <c r="G42" s="3440" t="s">
        <v>121</v>
      </c>
    </row>
    <row r="43" spans="1:7" ht="13.5" customHeight="1">
      <c r="A43" s="868" t="s">
        <v>611</v>
      </c>
      <c r="B43" s="220" t="s">
        <v>851</v>
      </c>
      <c r="C43" s="243">
        <f ca="1">ROUND(IF('数据-取费表'!B22&lt;=1,C39*F22*'数据-取费表'!B21/2,C39*(POWER((1+F22),'数据-取费表'!B21/2)-1)),0)</f>
        <v>2</v>
      </c>
      <c r="D43" s="243"/>
      <c r="E43" s="243"/>
      <c r="F43" s="244"/>
      <c r="G43" s="3441"/>
    </row>
    <row r="44" spans="1:7" ht="13.5" customHeight="1">
      <c r="A44" s="868" t="s">
        <v>612</v>
      </c>
      <c r="B44" s="220" t="s">
        <v>853</v>
      </c>
      <c r="C44" s="243">
        <f ca="1">ROUND(IF('数据-取费表'!B22&lt;=1,C40*F22*'数据-取费表'!B21/2,C40*(POWER((1+F22),'数据-取费表'!B21/2)-1)),4)</f>
        <v>4.0000000000000002E-4</v>
      </c>
      <c r="D44" s="243"/>
      <c r="E44" s="243"/>
      <c r="F44" s="244"/>
      <c r="G44" s="3442"/>
    </row>
    <row r="45" spans="1:7" s="219" customFormat="1" ht="13.5" customHeight="1">
      <c r="A45" s="865" t="s">
        <v>605</v>
      </c>
      <c r="B45" s="249" t="s">
        <v>112</v>
      </c>
      <c r="C45" s="250">
        <f>C46</f>
        <v>199</v>
      </c>
      <c r="D45" s="240">
        <f>C47</f>
        <v>1E-3</v>
      </c>
      <c r="E45" s="241" t="s">
        <v>129</v>
      </c>
      <c r="F45" s="251"/>
      <c r="G45" s="252" t="s">
        <v>859</v>
      </c>
    </row>
    <row r="46" spans="1:7" s="219" customFormat="1" ht="13.5" customHeight="1">
      <c r="A46" s="868" t="s">
        <v>613</v>
      </c>
      <c r="B46" s="253" t="s">
        <v>852</v>
      </c>
      <c r="C46" s="254">
        <f>ROUND((C33+C39)*F27,0)</f>
        <v>199</v>
      </c>
      <c r="D46" s="268"/>
      <c r="E46" s="241"/>
      <c r="F46" s="251"/>
      <c r="G46" s="252"/>
    </row>
    <row r="47" spans="1:7" s="219" customFormat="1" ht="13.5" customHeight="1">
      <c r="A47" s="868" t="s">
        <v>611</v>
      </c>
      <c r="B47" s="253" t="s">
        <v>854</v>
      </c>
      <c r="C47" s="243">
        <f>ROUND(C40*F27,4)</f>
        <v>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4605</v>
      </c>
      <c r="D49" s="237"/>
      <c r="E49" s="237"/>
      <c r="F49" s="269"/>
      <c r="G49" s="239" t="s">
        <v>860</v>
      </c>
    </row>
    <row r="50" spans="1:7" s="263" customFormat="1" ht="24">
      <c r="A50" s="865" t="s">
        <v>608</v>
      </c>
      <c r="B50" s="215" t="s">
        <v>124</v>
      </c>
      <c r="C50" s="237"/>
      <c r="D50" s="237"/>
      <c r="E50" s="237"/>
      <c r="F50" s="269">
        <f>IF('数据-取费表'!B24=0,'数据-取费表'!N16,1)</f>
        <v>0.75</v>
      </c>
      <c r="G50" s="252" t="s">
        <v>125</v>
      </c>
    </row>
    <row r="51" spans="1:7" ht="16.5" customHeight="1">
      <c r="A51" s="865" t="s">
        <v>609</v>
      </c>
      <c r="B51" s="215" t="s">
        <v>132</v>
      </c>
      <c r="C51" s="237">
        <f ca="1">ROUND(C49*F50,0)</f>
        <v>3454</v>
      </c>
      <c r="D51" s="237"/>
      <c r="E51" s="237"/>
      <c r="F51" s="269"/>
      <c r="G51" s="239" t="s">
        <v>64</v>
      </c>
    </row>
    <row r="52" spans="1:7" s="213" customFormat="1" ht="16.5" thickBot="1">
      <c r="A52" s="270" t="s">
        <v>65</v>
      </c>
      <c r="B52" s="271"/>
      <c r="C52" s="272">
        <f ca="1">C31+C51</f>
        <v>28589</v>
      </c>
      <c r="D52" s="271"/>
      <c r="E52" s="271"/>
      <c r="F52" s="271"/>
      <c r="G52" s="273"/>
    </row>
    <row r="55" spans="1:7" ht="15">
      <c r="B55" s="275" t="s">
        <v>66</v>
      </c>
      <c r="C55" s="276"/>
    </row>
    <row r="56" spans="1:7">
      <c r="B56" s="278" t="s">
        <v>67</v>
      </c>
      <c r="C56" s="279">
        <f ca="1">ROUND(C51/C52,3)</f>
        <v>0.121</v>
      </c>
    </row>
    <row r="57" spans="1:7">
      <c r="B57" s="278" t="s">
        <v>68</v>
      </c>
      <c r="C57" s="280">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4" t="s">
        <v>156</v>
      </c>
      <c r="B1" s="3594"/>
      <c r="C1" s="3594"/>
      <c r="D1" s="3594"/>
      <c r="E1" s="3594"/>
      <c r="F1" s="359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5" t="s">
        <v>169</v>
      </c>
      <c r="B2" s="3595"/>
      <c r="C2" s="3595"/>
      <c r="D2" s="3595"/>
      <c r="E2" s="3595"/>
      <c r="F2" s="359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6"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7"/>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4" t="s">
        <v>658</v>
      </c>
      <c r="B1" s="3594"/>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44781</v>
      </c>
      <c r="D1" s="1421" t="s">
        <v>1028</v>
      </c>
      <c r="E1" s="1416">
        <f>'数据-取费表'!B22</f>
        <v>1</v>
      </c>
      <c r="F1" s="1421" t="s">
        <v>1029</v>
      </c>
      <c r="G1" s="1417">
        <f ca="1">INDIRECT("d"&amp;$K$1)/100</f>
        <v>3.7000000000000005E-2</v>
      </c>
      <c r="H1" s="1421" t="s">
        <v>1059</v>
      </c>
      <c r="I1" s="1417">
        <f ca="1">F4/100</f>
        <v>1.4999999999999999E-2</v>
      </c>
      <c r="J1" s="1422">
        <f>IF(C1&gt;C13,0,MATCH(C1,C$13:C$108,-1))+IF(SUMIF(C13:C108,C1,D13:D108)=0,13,12)</f>
        <v>13</v>
      </c>
      <c r="K1" s="1422">
        <f ca="1">MATCH(E1,C3:C7,1)+IF(SUMIF(C3:C7,E1,D3:D7)=0,2,1)</f>
        <v>4</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3.7</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3.7</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3.7</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3.7</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4.45</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9">
        <v>44701</v>
      </c>
      <c r="D13" s="3000">
        <v>3.7</v>
      </c>
      <c r="E13" s="3000">
        <f>D13</f>
        <v>3.7</v>
      </c>
      <c r="F13" s="3000">
        <f>D13</f>
        <v>3.7</v>
      </c>
      <c r="G13" s="3000">
        <f>D13</f>
        <v>3.7</v>
      </c>
      <c r="H13" s="3000">
        <v>4.45</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4"/>
      <c r="C14" s="2996">
        <v>44581</v>
      </c>
      <c r="D14" s="2995">
        <v>3.7</v>
      </c>
      <c r="E14" s="2995">
        <f>D14</f>
        <v>3.7</v>
      </c>
      <c r="F14" s="2995">
        <f>D14</f>
        <v>3.7</v>
      </c>
      <c r="G14" s="2995">
        <f>D14</f>
        <v>3.7</v>
      </c>
      <c r="H14" s="2995">
        <v>4.5999999999999996</v>
      </c>
      <c r="I14" s="3000"/>
      <c r="J14" s="3000"/>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5"/>
      <c r="C15" s="2996">
        <v>44550</v>
      </c>
      <c r="D15" s="2995">
        <v>3.8</v>
      </c>
      <c r="E15" s="2995">
        <f>D15</f>
        <v>3.8</v>
      </c>
      <c r="F15" s="2995">
        <f>D15</f>
        <v>3.8</v>
      </c>
      <c r="G15" s="2995">
        <f>D15</f>
        <v>3.8</v>
      </c>
      <c r="H15" s="2995">
        <v>4.6500000000000004</v>
      </c>
      <c r="I15" s="2995"/>
      <c r="J15" s="3000"/>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5"/>
      <c r="C16" s="2996">
        <v>43941</v>
      </c>
      <c r="D16" s="2995">
        <v>3.85</v>
      </c>
      <c r="E16" s="2995">
        <v>3.85</v>
      </c>
      <c r="F16" s="2995">
        <v>3.85</v>
      </c>
      <c r="G16" s="2995">
        <v>3.85</v>
      </c>
      <c r="H16" s="2995">
        <v>4.6500000000000004</v>
      </c>
      <c r="I16" s="2995"/>
      <c r="J16" s="2995"/>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5"/>
      <c r="C17" s="2996">
        <v>43881</v>
      </c>
      <c r="D17" s="2995">
        <v>4.05</v>
      </c>
      <c r="E17" s="2995">
        <v>4.05</v>
      </c>
      <c r="F17" s="2995">
        <v>4.05</v>
      </c>
      <c r="G17" s="2995">
        <v>4.05</v>
      </c>
      <c r="H17" s="2995">
        <v>4.75</v>
      </c>
      <c r="I17" s="2995"/>
      <c r="J17" s="2995"/>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5"/>
      <c r="C18" s="2996">
        <v>43789</v>
      </c>
      <c r="D18" s="2995">
        <v>4.1500000000000004</v>
      </c>
      <c r="E18" s="2995">
        <v>4.1500000000000004</v>
      </c>
      <c r="F18" s="2995">
        <v>4.1500000000000004</v>
      </c>
      <c r="G18" s="2995">
        <v>4.1500000000000004</v>
      </c>
      <c r="H18" s="2995">
        <v>4.8</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3"/>
      <c r="B19" s="2995"/>
      <c r="C19" s="2996">
        <v>43728</v>
      </c>
      <c r="D19" s="2995">
        <v>4.2</v>
      </c>
      <c r="E19" s="2995">
        <v>4.2</v>
      </c>
      <c r="F19" s="2995">
        <v>4.2</v>
      </c>
      <c r="G19" s="2995">
        <v>4.2</v>
      </c>
      <c r="H19" s="2995">
        <v>4.8499999999999996</v>
      </c>
      <c r="I19" s="2995"/>
      <c r="J19" s="2995"/>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4" t="s">
        <v>2813</v>
      </c>
      <c r="C20" s="2997">
        <v>43697</v>
      </c>
      <c r="D20" s="2998">
        <v>4.25</v>
      </c>
      <c r="E20" s="2998">
        <v>4.25</v>
      </c>
      <c r="F20" s="2998">
        <v>4.25</v>
      </c>
      <c r="G20" s="2998">
        <v>4.25</v>
      </c>
      <c r="H20" s="2998">
        <v>4.8499999999999996</v>
      </c>
      <c r="I20" s="2998"/>
      <c r="J20" s="2998"/>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3001"/>
      <c r="B21" s="3002"/>
      <c r="C21" s="3003">
        <v>42301</v>
      </c>
      <c r="D21" s="3004">
        <v>4.3499999999999996</v>
      </c>
      <c r="E21" s="3004">
        <v>4.3499999999999996</v>
      </c>
      <c r="F21" s="3004">
        <v>4.75</v>
      </c>
      <c r="G21" s="3004">
        <v>4.75</v>
      </c>
      <c r="H21" s="3004">
        <v>4.9000000000000004</v>
      </c>
      <c r="I21" s="3004"/>
      <c r="J21" s="3004"/>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c r="B22" s="1409"/>
      <c r="C22" s="1410">
        <v>42242</v>
      </c>
      <c r="D22" s="1409">
        <v>4.5999999999999996</v>
      </c>
      <c r="E22" s="1409">
        <v>4.5999999999999996</v>
      </c>
      <c r="F22" s="1409">
        <v>5</v>
      </c>
      <c r="G22" s="1409">
        <v>5</v>
      </c>
      <c r="H22" s="1409">
        <v>5.15</v>
      </c>
      <c r="I22" s="1409">
        <v>2.75</v>
      </c>
      <c r="J22" s="1409">
        <v>3.25</v>
      </c>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42183</v>
      </c>
      <c r="D23" s="1409">
        <v>4.8499999999999996</v>
      </c>
      <c r="E23" s="1409">
        <v>4.8499999999999996</v>
      </c>
      <c r="F23" s="1409">
        <v>5.25</v>
      </c>
      <c r="G23" s="1409">
        <v>5.25</v>
      </c>
      <c r="H23" s="1409">
        <v>5.4</v>
      </c>
      <c r="I23" s="1409">
        <v>3</v>
      </c>
      <c r="J23" s="1409">
        <v>3.5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42135</v>
      </c>
      <c r="D24" s="1409">
        <v>5.0999999999999996</v>
      </c>
      <c r="E24" s="1409">
        <v>5.0999999999999996</v>
      </c>
      <c r="F24" s="1409">
        <v>5.5</v>
      </c>
      <c r="G24" s="1409">
        <v>5.5</v>
      </c>
      <c r="H24" s="1409">
        <v>5.65</v>
      </c>
      <c r="I24" s="1409">
        <v>3.25</v>
      </c>
      <c r="J24" s="1409">
        <v>3.75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42064</v>
      </c>
      <c r="D25" s="1409">
        <v>5.35</v>
      </c>
      <c r="E25" s="1409">
        <v>5.35</v>
      </c>
      <c r="F25" s="1409">
        <v>5.75</v>
      </c>
      <c r="G25" s="1409">
        <v>5.75</v>
      </c>
      <c r="H25" s="1409">
        <v>5.9</v>
      </c>
      <c r="I25" s="1409"/>
      <c r="J25" s="1409"/>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41965</v>
      </c>
      <c r="D26" s="1409">
        <v>5.6</v>
      </c>
      <c r="E26" s="1409">
        <v>5.6</v>
      </c>
      <c r="F26" s="1409">
        <v>6</v>
      </c>
      <c r="G26" s="1409">
        <v>6</v>
      </c>
      <c r="H26" s="1409">
        <v>6.15</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41096</v>
      </c>
      <c r="D27" s="1409">
        <v>5.6</v>
      </c>
      <c r="E27" s="1409">
        <v>6</v>
      </c>
      <c r="F27" s="1409">
        <v>6.15</v>
      </c>
      <c r="G27" s="1409">
        <v>6.4</v>
      </c>
      <c r="H27" s="1409">
        <v>6.55</v>
      </c>
      <c r="I27" s="1409">
        <v>4</v>
      </c>
      <c r="J27" s="1409">
        <v>4.5</v>
      </c>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41068</v>
      </c>
      <c r="D28" s="1409">
        <v>5.85</v>
      </c>
      <c r="E28" s="1409">
        <v>6.31</v>
      </c>
      <c r="F28" s="1409">
        <v>6.4</v>
      </c>
      <c r="G28" s="1409">
        <v>6.65</v>
      </c>
      <c r="H28" s="1409">
        <v>6.8</v>
      </c>
      <c r="I28" s="1409">
        <v>4.2</v>
      </c>
      <c r="J28" s="1409">
        <v>4.7</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40731</v>
      </c>
      <c r="D29" s="1409">
        <v>6.1</v>
      </c>
      <c r="E29" s="1409">
        <v>6.56</v>
      </c>
      <c r="F29" s="1409">
        <v>6.65</v>
      </c>
      <c r="G29" s="1409">
        <v>6.9</v>
      </c>
      <c r="H29" s="1409">
        <v>7.05</v>
      </c>
      <c r="I29" s="1409">
        <v>4.45</v>
      </c>
      <c r="J29" s="1409">
        <v>4.9000000000000004</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40639</v>
      </c>
      <c r="D30" s="1409">
        <v>5.85</v>
      </c>
      <c r="E30" s="1409">
        <v>6.31</v>
      </c>
      <c r="F30" s="1409">
        <v>6.4</v>
      </c>
      <c r="G30" s="1409">
        <v>6.65</v>
      </c>
      <c r="H30" s="1409">
        <v>6.8</v>
      </c>
      <c r="I30" s="1409">
        <v>4.2</v>
      </c>
      <c r="J30" s="1409">
        <v>4.7</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40583</v>
      </c>
      <c r="D31" s="1409">
        <v>5.6</v>
      </c>
      <c r="E31" s="1409">
        <v>6.06</v>
      </c>
      <c r="F31" s="1409">
        <v>6.1</v>
      </c>
      <c r="G31" s="1409">
        <v>6.45</v>
      </c>
      <c r="H31" s="1409">
        <v>6.6</v>
      </c>
      <c r="I31" s="1409">
        <v>4</v>
      </c>
      <c r="J31" s="1409">
        <v>4.5</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40538</v>
      </c>
      <c r="D32" s="1409">
        <v>5.35</v>
      </c>
      <c r="E32" s="1409">
        <v>5.81</v>
      </c>
      <c r="F32" s="1409">
        <v>5.85</v>
      </c>
      <c r="G32" s="1409">
        <v>6.22</v>
      </c>
      <c r="H32" s="1409">
        <v>6.4</v>
      </c>
      <c r="I32" s="1409">
        <v>3.75</v>
      </c>
      <c r="J32" s="1409">
        <v>4.3</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40471</v>
      </c>
      <c r="D33" s="1409">
        <v>5.0999999999999996</v>
      </c>
      <c r="E33" s="1409">
        <v>5.56</v>
      </c>
      <c r="F33" s="1409">
        <v>5.6</v>
      </c>
      <c r="G33" s="1409">
        <v>5.96</v>
      </c>
      <c r="H33" s="1409">
        <v>6.14</v>
      </c>
      <c r="I33" s="1409">
        <v>3.5</v>
      </c>
      <c r="J33" s="1409">
        <v>4.05</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39805</v>
      </c>
      <c r="D34" s="1409">
        <v>4.8600000000000003</v>
      </c>
      <c r="E34" s="1409">
        <v>5.31</v>
      </c>
      <c r="F34" s="1409">
        <v>5.4</v>
      </c>
      <c r="G34" s="1409">
        <v>5.76</v>
      </c>
      <c r="H34" s="1409">
        <v>5.94</v>
      </c>
      <c r="I34" s="1409">
        <v>3.33</v>
      </c>
      <c r="J34" s="1409">
        <v>3.87</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39779</v>
      </c>
      <c r="D35" s="1409">
        <v>5.04</v>
      </c>
      <c r="E35" s="1409">
        <v>5.58</v>
      </c>
      <c r="F35" s="1409">
        <v>5.67</v>
      </c>
      <c r="G35" s="1409">
        <v>5.94</v>
      </c>
      <c r="H35" s="1409">
        <v>6.12</v>
      </c>
      <c r="I35" s="1409">
        <v>3.51</v>
      </c>
      <c r="J35" s="1409">
        <v>4.05</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39751</v>
      </c>
      <c r="D36" s="1409">
        <v>6.03</v>
      </c>
      <c r="E36" s="1409">
        <v>6.66</v>
      </c>
      <c r="F36" s="1409">
        <v>6.75</v>
      </c>
      <c r="G36" s="1409">
        <v>7.02</v>
      </c>
      <c r="H36" s="1409">
        <v>7.2</v>
      </c>
      <c r="I36" s="1409">
        <v>4.05</v>
      </c>
      <c r="J36" s="1409">
        <v>4.59</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1">
        <v>39748</v>
      </c>
      <c r="D37" s="1409">
        <v>6.12</v>
      </c>
      <c r="E37" s="1409">
        <v>6.93</v>
      </c>
      <c r="F37" s="1409">
        <v>7.02</v>
      </c>
      <c r="G37" s="1409">
        <v>7.29</v>
      </c>
      <c r="H37" s="1409">
        <v>7.47</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0">
        <v>39730</v>
      </c>
      <c r="D38" s="1409">
        <v>6.12</v>
      </c>
      <c r="E38" s="1409">
        <v>6.93</v>
      </c>
      <c r="F38" s="1409">
        <v>7.02</v>
      </c>
      <c r="G38" s="1409">
        <v>7.29</v>
      </c>
      <c r="H38" s="1409">
        <v>7.47</v>
      </c>
      <c r="I38" s="1409">
        <v>4.32</v>
      </c>
      <c r="J38" s="1409">
        <v>4.8600000000000003</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39707</v>
      </c>
      <c r="D39" s="1409">
        <v>6.21</v>
      </c>
      <c r="E39" s="1409">
        <v>7.2</v>
      </c>
      <c r="F39" s="1409">
        <v>7.29</v>
      </c>
      <c r="G39" s="1409">
        <v>7.56</v>
      </c>
      <c r="H39" s="1409">
        <v>7.74</v>
      </c>
      <c r="I39" s="1409">
        <v>4.59</v>
      </c>
      <c r="J39" s="1409">
        <v>5.13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39437</v>
      </c>
      <c r="D40" s="1409">
        <v>6.57</v>
      </c>
      <c r="E40" s="1409">
        <v>7.47</v>
      </c>
      <c r="F40" s="1409">
        <v>7.56</v>
      </c>
      <c r="G40" s="1409">
        <v>7.74</v>
      </c>
      <c r="H40" s="1409">
        <v>7.83</v>
      </c>
      <c r="I40" s="1409">
        <v>4.7699999999999996</v>
      </c>
      <c r="J40" s="1409">
        <v>5.22</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39340</v>
      </c>
      <c r="D41" s="1409">
        <v>6.48</v>
      </c>
      <c r="E41" s="1409">
        <v>7.29</v>
      </c>
      <c r="F41" s="1409">
        <v>7.47</v>
      </c>
      <c r="G41" s="1409">
        <v>7.65</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39316</v>
      </c>
      <c r="D42" s="1409">
        <v>6.21</v>
      </c>
      <c r="E42" s="1409">
        <v>7.02</v>
      </c>
      <c r="F42" s="1409">
        <v>7.2</v>
      </c>
      <c r="G42" s="1409">
        <v>7.38</v>
      </c>
      <c r="H42" s="1409">
        <v>7.56</v>
      </c>
      <c r="I42" s="1409">
        <v>4.59</v>
      </c>
      <c r="J42" s="1409">
        <v>5.04</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39284</v>
      </c>
      <c r="D43" s="1409">
        <v>6.03</v>
      </c>
      <c r="E43" s="1409">
        <v>6.84</v>
      </c>
      <c r="F43" s="1409">
        <v>7.02</v>
      </c>
      <c r="G43" s="1409">
        <v>7.2</v>
      </c>
      <c r="H43" s="1409">
        <v>7.38</v>
      </c>
      <c r="I43" s="1409">
        <v>4.5</v>
      </c>
      <c r="J43" s="1409">
        <v>4.95</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39221</v>
      </c>
      <c r="D44" s="1409">
        <v>5.85</v>
      </c>
      <c r="E44" s="1409">
        <v>6.57</v>
      </c>
      <c r="F44" s="1409">
        <v>6.75</v>
      </c>
      <c r="G44" s="1409">
        <v>6.93</v>
      </c>
      <c r="H44" s="1409">
        <v>7.2</v>
      </c>
      <c r="I44" s="1409">
        <v>4.41</v>
      </c>
      <c r="J44" s="1409">
        <v>4.8600000000000003</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39159</v>
      </c>
      <c r="D45" s="1409">
        <v>5.67</v>
      </c>
      <c r="E45" s="1409">
        <v>6.39</v>
      </c>
      <c r="F45" s="1409">
        <v>6.57</v>
      </c>
      <c r="G45" s="1409">
        <v>6.75</v>
      </c>
      <c r="H45" s="1409">
        <v>7.11</v>
      </c>
      <c r="I45" s="1409">
        <v>4.32</v>
      </c>
      <c r="J45" s="1409">
        <v>4.7699999999999996</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38948</v>
      </c>
      <c r="D46" s="1409">
        <v>5.58</v>
      </c>
      <c r="E46" s="1409">
        <v>6.12</v>
      </c>
      <c r="F46" s="1409">
        <v>6.3</v>
      </c>
      <c r="G46" s="1409">
        <v>6.48</v>
      </c>
      <c r="H46" s="1409">
        <v>6.84</v>
      </c>
      <c r="I46" s="1409">
        <v>4.1399999999999997</v>
      </c>
      <c r="J46" s="1409">
        <v>4.59</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38835</v>
      </c>
      <c r="D47" s="1409">
        <v>5.4</v>
      </c>
      <c r="E47" s="1409">
        <v>5.85</v>
      </c>
      <c r="F47" s="1409">
        <v>6.03</v>
      </c>
      <c r="G47" s="1409">
        <v>6.12</v>
      </c>
      <c r="H47" s="1409">
        <v>6.39</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38428</v>
      </c>
      <c r="D48" s="1409">
        <v>5.22</v>
      </c>
      <c r="E48" s="1409">
        <v>5.58</v>
      </c>
      <c r="F48" s="1409">
        <v>5.76</v>
      </c>
      <c r="G48" s="1409">
        <v>5.85</v>
      </c>
      <c r="H48" s="1409">
        <v>6.12</v>
      </c>
      <c r="I48" s="1409">
        <v>3.96</v>
      </c>
      <c r="J48" s="1409">
        <v>4.41</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38289</v>
      </c>
      <c r="D49" s="1409">
        <v>5.22</v>
      </c>
      <c r="E49" s="1409">
        <v>5.58</v>
      </c>
      <c r="F49" s="1409">
        <v>5.76</v>
      </c>
      <c r="G49" s="1409">
        <v>5.85</v>
      </c>
      <c r="H49" s="1409">
        <v>6.12</v>
      </c>
      <c r="I49" s="1409">
        <v>3.78</v>
      </c>
      <c r="J49" s="1409">
        <v>4.2300000000000004</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37308</v>
      </c>
      <c r="D50" s="1409">
        <v>5.04</v>
      </c>
      <c r="E50" s="1409">
        <v>5.31</v>
      </c>
      <c r="F50" s="1409">
        <v>5.49</v>
      </c>
      <c r="G50" s="1409">
        <v>5.58</v>
      </c>
      <c r="H50" s="1409">
        <v>5.76</v>
      </c>
      <c r="I50" s="1409">
        <v>3.6</v>
      </c>
      <c r="J50" s="1409">
        <v>4.05</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36321</v>
      </c>
      <c r="D51" s="1409">
        <v>5.58</v>
      </c>
      <c r="E51" s="1409">
        <v>5.85</v>
      </c>
      <c r="F51" s="1409">
        <v>5.94</v>
      </c>
      <c r="G51" s="1409">
        <v>6.03</v>
      </c>
      <c r="H51" s="1409">
        <v>6.21</v>
      </c>
      <c r="I51" s="1409">
        <v>4.1399999999999997</v>
      </c>
      <c r="J51" s="1409">
        <v>4.59</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36136</v>
      </c>
      <c r="D52" s="1409">
        <v>6.12</v>
      </c>
      <c r="E52" s="1409">
        <v>6.39</v>
      </c>
      <c r="F52" s="1409">
        <v>6.66</v>
      </c>
      <c r="G52" s="1409">
        <v>7.2</v>
      </c>
      <c r="H52" s="1409">
        <v>7.56</v>
      </c>
      <c r="I52" s="1409">
        <v>0</v>
      </c>
      <c r="J52" s="1409">
        <v>0</v>
      </c>
      <c r="L52" s="1409"/>
      <c r="M52" s="1410"/>
      <c r="N52" s="1409"/>
      <c r="O52" s="1409"/>
      <c r="P52" s="1409"/>
      <c r="Q52" s="1409"/>
      <c r="R52" s="1409"/>
      <c r="S52" s="1409"/>
      <c r="T52" s="1409"/>
      <c r="U52" s="1409"/>
      <c r="V52" s="1409"/>
      <c r="W52" s="1409"/>
      <c r="X52" s="1409"/>
      <c r="Y52" s="1409"/>
      <c r="Z52" s="1409"/>
    </row>
    <row r="53" spans="2:26">
      <c r="B53" s="1409"/>
      <c r="C53" s="1410">
        <v>35977</v>
      </c>
      <c r="D53" s="1409">
        <v>6.57</v>
      </c>
      <c r="E53" s="1409">
        <v>6.93</v>
      </c>
      <c r="F53" s="1409">
        <v>7.11</v>
      </c>
      <c r="G53" s="1409">
        <v>7.65</v>
      </c>
      <c r="H53" s="1409">
        <v>8.01</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35879</v>
      </c>
      <c r="D54" s="1409">
        <v>7.02</v>
      </c>
      <c r="E54" s="1409">
        <v>7.92</v>
      </c>
      <c r="F54" s="1409">
        <v>9</v>
      </c>
      <c r="G54" s="1409">
        <v>9.7200000000000006</v>
      </c>
      <c r="H54" s="1409">
        <v>10.35</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35726</v>
      </c>
      <c r="D55" s="1409">
        <v>7.65</v>
      </c>
      <c r="E55" s="1409">
        <v>8.64</v>
      </c>
      <c r="F55" s="1409">
        <v>9.36</v>
      </c>
      <c r="G55" s="1409">
        <v>9.9</v>
      </c>
      <c r="H55" s="1409">
        <v>10.53</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35300</v>
      </c>
      <c r="D56" s="1409">
        <v>9.18</v>
      </c>
      <c r="E56" s="1409">
        <v>10.08</v>
      </c>
      <c r="F56" s="1409">
        <v>10.98</v>
      </c>
      <c r="G56" s="1409">
        <v>11.7</v>
      </c>
      <c r="H56" s="1409">
        <v>12.42</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35186</v>
      </c>
      <c r="D57" s="1409">
        <v>9.7200000000000006</v>
      </c>
      <c r="E57" s="1409">
        <v>10.98</v>
      </c>
      <c r="F57" s="1409">
        <v>13.14</v>
      </c>
      <c r="G57" s="1409">
        <v>14.94</v>
      </c>
      <c r="H57" s="1409">
        <v>15.12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34881</v>
      </c>
      <c r="D58" s="1409">
        <v>10.08</v>
      </c>
      <c r="E58" s="1409">
        <v>12.06</v>
      </c>
      <c r="F58" s="1409">
        <v>13.5</v>
      </c>
      <c r="G58" s="1409">
        <v>15.12</v>
      </c>
      <c r="H58" s="1409">
        <v>15.3</v>
      </c>
      <c r="I58" s="1409">
        <v>0</v>
      </c>
      <c r="J58" s="1409">
        <v>0</v>
      </c>
    </row>
    <row r="59" spans="2:26">
      <c r="B59" s="1409"/>
      <c r="C59" s="1410">
        <v>34700</v>
      </c>
      <c r="D59" s="1409">
        <v>9</v>
      </c>
      <c r="E59" s="1409">
        <v>10.98</v>
      </c>
      <c r="F59" s="1409">
        <v>12.96</v>
      </c>
      <c r="G59" s="1409">
        <v>14.58</v>
      </c>
      <c r="H59" s="1409">
        <v>14.76</v>
      </c>
      <c r="I59" s="1409">
        <v>0</v>
      </c>
      <c r="J59" s="1409">
        <v>0</v>
      </c>
    </row>
    <row r="60" spans="2:26">
      <c r="B60" s="1409"/>
      <c r="C60" s="1410">
        <v>34161</v>
      </c>
      <c r="D60" s="1409">
        <v>9</v>
      </c>
      <c r="E60" s="1409">
        <v>10.98</v>
      </c>
      <c r="F60" s="1409">
        <v>12.24</v>
      </c>
      <c r="G60" s="1409">
        <v>13.86</v>
      </c>
      <c r="H60" s="1409">
        <v>14.04</v>
      </c>
      <c r="I60" s="1409">
        <v>0</v>
      </c>
      <c r="J60" s="1409">
        <v>0</v>
      </c>
    </row>
    <row r="61" spans="2:26">
      <c r="B61" s="1409"/>
      <c r="C61" s="1410">
        <v>34104</v>
      </c>
      <c r="D61" s="1409">
        <v>8.82</v>
      </c>
      <c r="E61" s="1409">
        <v>9.36</v>
      </c>
      <c r="F61" s="1409">
        <v>10.8</v>
      </c>
      <c r="G61" s="1409">
        <v>12.06</v>
      </c>
      <c r="H61" s="1409">
        <v>12.24</v>
      </c>
      <c r="I61" s="1409">
        <v>0</v>
      </c>
      <c r="J61" s="1409">
        <v>0</v>
      </c>
    </row>
    <row r="62" spans="2:26">
      <c r="B62" s="1409"/>
      <c r="C62" s="1410">
        <v>33349</v>
      </c>
      <c r="D62" s="1409">
        <v>8.1</v>
      </c>
      <c r="E62" s="1409">
        <v>8.64</v>
      </c>
      <c r="F62" s="1409">
        <v>9</v>
      </c>
      <c r="G62" s="1409">
        <v>9.5399999999999991</v>
      </c>
      <c r="H62" s="1409">
        <v>9.7200000000000006</v>
      </c>
      <c r="I62" s="1409">
        <v>0</v>
      </c>
      <c r="J62" s="1409">
        <v>0</v>
      </c>
    </row>
    <row r="63" spans="2:26">
      <c r="B63" s="1409"/>
      <c r="C63" s="1410">
        <v>33318</v>
      </c>
      <c r="D63" s="1409">
        <v>9</v>
      </c>
      <c r="E63" s="1409">
        <v>10.08</v>
      </c>
      <c r="F63" s="1409">
        <v>10.8</v>
      </c>
      <c r="G63" s="1409">
        <v>11.52</v>
      </c>
      <c r="H63" s="1409">
        <v>11.88</v>
      </c>
      <c r="I63" s="1409" t="s">
        <v>1058</v>
      </c>
      <c r="J63" s="1409" t="s">
        <v>1058</v>
      </c>
    </row>
    <row r="64" spans="2:26">
      <c r="B64" s="1409"/>
      <c r="C64" s="1410">
        <v>33106</v>
      </c>
      <c r="D64" s="1409">
        <v>8.64</v>
      </c>
      <c r="E64" s="1409">
        <v>9.36</v>
      </c>
      <c r="F64" s="1409">
        <v>10.08</v>
      </c>
      <c r="G64" s="1409">
        <v>10.8</v>
      </c>
      <c r="H64" s="1409">
        <v>11.16</v>
      </c>
      <c r="I64" s="1409">
        <v>0</v>
      </c>
      <c r="J64" s="1409">
        <v>0</v>
      </c>
    </row>
    <row r="65" spans="2:10">
      <c r="B65" s="1409"/>
      <c r="C65" s="1410">
        <v>32540</v>
      </c>
      <c r="D65" s="1409">
        <v>11.34</v>
      </c>
      <c r="E65" s="1409">
        <v>11.34</v>
      </c>
      <c r="F65" s="1409">
        <v>12.78</v>
      </c>
      <c r="G65" s="1409">
        <v>14.4</v>
      </c>
      <c r="H65" s="1409">
        <v>19.260000000000002</v>
      </c>
      <c r="I65" s="1409">
        <v>0</v>
      </c>
      <c r="J65" s="1409">
        <v>0</v>
      </c>
    </row>
    <row r="66" spans="2:10">
      <c r="B66" s="1409"/>
      <c r="C66" s="1410"/>
      <c r="D66" s="1409"/>
      <c r="E66" s="1409"/>
      <c r="F66" s="1409"/>
      <c r="G66" s="1409"/>
      <c r="H66" s="1409"/>
      <c r="I66" s="1409"/>
      <c r="J66" s="1409"/>
    </row>
    <row r="67" spans="2:10">
      <c r="B67" s="1412"/>
      <c r="C67" s="1413"/>
      <c r="D67" s="1412"/>
      <c r="E67" s="1412"/>
      <c r="F67" s="1412"/>
      <c r="G67" s="1412"/>
      <c r="H67" s="1412"/>
      <c r="I67" s="1412"/>
      <c r="J67" s="1412"/>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361"/>
      <c r="C70" s="1361"/>
      <c r="D70" s="1361"/>
      <c r="E70" s="1361"/>
      <c r="F70" s="1361"/>
      <c r="G70" s="1361"/>
      <c r="H70" s="1361"/>
      <c r="I70" s="1361"/>
      <c r="J70" s="1361"/>
    </row>
    <row r="71" spans="2:10">
      <c r="B71" s="1361"/>
      <c r="C71" s="1361"/>
      <c r="D71" s="1361"/>
      <c r="E71" s="1361"/>
      <c r="F71" s="1361"/>
      <c r="G71" s="1361"/>
      <c r="H71" s="1361"/>
      <c r="I71" s="1361"/>
      <c r="J71" s="136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R131"/>
  <sheetViews>
    <sheetView topLeftCell="A68" zoomScaleNormal="100" workbookViewId="0">
      <selection activeCell="D50" sqref="D31:D50"/>
    </sheetView>
  </sheetViews>
  <sheetFormatPr defaultRowHeight="13.5"/>
  <cols>
    <col min="1" max="1" width="36.375" customWidth="1"/>
    <col min="6" max="6" width="12.5" customWidth="1"/>
    <col min="10" max="10" width="0" hidden="1" customWidth="1"/>
  </cols>
  <sheetData>
    <row r="30" spans="1:18">
      <c r="A30" s="3228" t="s">
        <v>3175</v>
      </c>
      <c r="B30" s="3228" t="s">
        <v>3176</v>
      </c>
      <c r="C30" s="3228" t="s">
        <v>3177</v>
      </c>
      <c r="D30" s="3228" t="s">
        <v>3178</v>
      </c>
      <c r="E30" s="3228" t="s">
        <v>3179</v>
      </c>
      <c r="F30" s="3228" t="s">
        <v>3180</v>
      </c>
      <c r="G30" s="3228" t="s">
        <v>3181</v>
      </c>
      <c r="H30" s="3228" t="s">
        <v>3182</v>
      </c>
      <c r="I30" s="3228" t="s">
        <v>3183</v>
      </c>
      <c r="J30" s="3228" t="s">
        <v>3184</v>
      </c>
      <c r="K30" s="3228" t="s">
        <v>3185</v>
      </c>
      <c r="L30" s="3228" t="s">
        <v>3186</v>
      </c>
      <c r="M30" s="3228" t="s">
        <v>3187</v>
      </c>
      <c r="N30" s="3228" t="s">
        <v>3188</v>
      </c>
      <c r="O30" s="3228" t="s">
        <v>3189</v>
      </c>
      <c r="P30" s="3228" t="s">
        <v>3190</v>
      </c>
      <c r="Q30" s="3228" t="s">
        <v>3191</v>
      </c>
      <c r="R30" s="3233" t="s">
        <v>3508</v>
      </c>
    </row>
    <row r="31" spans="1:18">
      <c r="A31" s="3228" t="s">
        <v>3192</v>
      </c>
      <c r="B31" s="3228" t="s">
        <v>3193</v>
      </c>
      <c r="C31" s="3228" t="s">
        <v>3003</v>
      </c>
      <c r="D31" s="3228">
        <v>27892</v>
      </c>
      <c r="E31" s="3228">
        <v>66940.800000000003</v>
      </c>
      <c r="F31" s="3228" t="s">
        <v>3194</v>
      </c>
      <c r="G31" s="3228" t="s">
        <v>3195</v>
      </c>
      <c r="H31" s="3228" t="s">
        <v>3196</v>
      </c>
      <c r="I31" s="3228">
        <v>0</v>
      </c>
      <c r="J31" s="3228" t="s">
        <v>3197</v>
      </c>
      <c r="K31" s="3228" t="s">
        <v>3197</v>
      </c>
      <c r="L31" s="3228">
        <v>1504</v>
      </c>
      <c r="M31" s="3228">
        <v>1504</v>
      </c>
      <c r="N31" s="3228">
        <v>224.68</v>
      </c>
      <c r="O31" s="3228">
        <v>0</v>
      </c>
      <c r="P31" s="3228" t="s">
        <v>3198</v>
      </c>
      <c r="Q31" s="3228" t="s">
        <v>3199</v>
      </c>
      <c r="R31">
        <f>ROUND(M31/D31*10000,0)</f>
        <v>539</v>
      </c>
    </row>
    <row r="32" spans="1:18">
      <c r="A32" s="3228" t="s">
        <v>3200</v>
      </c>
      <c r="B32" s="3228" t="s">
        <v>3193</v>
      </c>
      <c r="C32" s="3228" t="s">
        <v>3003</v>
      </c>
      <c r="D32" s="3228">
        <v>16591</v>
      </c>
      <c r="E32" s="3228">
        <v>39818.400000000001</v>
      </c>
      <c r="F32" s="3228" t="s">
        <v>3194</v>
      </c>
      <c r="G32" s="3228" t="s">
        <v>3195</v>
      </c>
      <c r="H32" s="3228" t="s">
        <v>3196</v>
      </c>
      <c r="I32" s="3228">
        <v>0</v>
      </c>
      <c r="J32" s="3228" t="s">
        <v>3197</v>
      </c>
      <c r="K32" s="3228" t="s">
        <v>3197</v>
      </c>
      <c r="L32" s="3228">
        <v>895</v>
      </c>
      <c r="M32" s="3228">
        <v>895</v>
      </c>
      <c r="N32" s="3228">
        <v>224.77</v>
      </c>
      <c r="O32" s="3228">
        <v>0</v>
      </c>
      <c r="P32" s="3228" t="s">
        <v>3198</v>
      </c>
      <c r="Q32" s="3228" t="s">
        <v>3199</v>
      </c>
      <c r="R32">
        <f t="shared" ref="R32:R95" si="0">ROUND(M32/D32*10000,0)</f>
        <v>539</v>
      </c>
    </row>
    <row r="33" spans="1:18">
      <c r="A33" s="3228" t="s">
        <v>3201</v>
      </c>
      <c r="B33" s="3228" t="s">
        <v>3193</v>
      </c>
      <c r="C33" s="3228" t="s">
        <v>3003</v>
      </c>
      <c r="D33" s="3228">
        <v>41723</v>
      </c>
      <c r="E33" s="3228">
        <v>125169</v>
      </c>
      <c r="F33" s="3228" t="s">
        <v>3202</v>
      </c>
      <c r="G33" s="3228" t="s">
        <v>3195</v>
      </c>
      <c r="H33" s="3228" t="s">
        <v>3196</v>
      </c>
      <c r="I33" s="3228">
        <v>0</v>
      </c>
      <c r="J33" s="3228" t="s">
        <v>3197</v>
      </c>
      <c r="K33" s="3228" t="s">
        <v>3197</v>
      </c>
      <c r="L33" s="3228">
        <v>3205</v>
      </c>
      <c r="M33" s="3228">
        <v>3205</v>
      </c>
      <c r="N33" s="3228">
        <v>256.05</v>
      </c>
      <c r="O33" s="3228">
        <v>0</v>
      </c>
      <c r="P33" s="3228" t="s">
        <v>3203</v>
      </c>
      <c r="Q33" s="3228" t="s">
        <v>3199</v>
      </c>
      <c r="R33">
        <f t="shared" si="0"/>
        <v>768</v>
      </c>
    </row>
    <row r="34" spans="1:18">
      <c r="A34" s="3228" t="s">
        <v>3204</v>
      </c>
      <c r="B34" s="3228" t="s">
        <v>3193</v>
      </c>
      <c r="C34" s="3228" t="s">
        <v>3003</v>
      </c>
      <c r="D34" s="3228">
        <v>10003</v>
      </c>
      <c r="E34" s="3228">
        <v>28008.400000000001</v>
      </c>
      <c r="F34" s="3228" t="s">
        <v>3205</v>
      </c>
      <c r="G34" s="3228" t="s">
        <v>3195</v>
      </c>
      <c r="H34" s="3228" t="s">
        <v>3196</v>
      </c>
      <c r="I34" s="3228">
        <v>0</v>
      </c>
      <c r="J34" s="3228" t="s">
        <v>3197</v>
      </c>
      <c r="K34" s="3228" t="s">
        <v>3197</v>
      </c>
      <c r="L34" s="3228">
        <v>949</v>
      </c>
      <c r="M34" s="3228">
        <v>949</v>
      </c>
      <c r="N34" s="3228">
        <v>338.83</v>
      </c>
      <c r="O34" s="3228">
        <v>0</v>
      </c>
      <c r="P34" s="3228" t="s">
        <v>3206</v>
      </c>
      <c r="Q34" s="3228" t="s">
        <v>3207</v>
      </c>
      <c r="R34">
        <f t="shared" si="0"/>
        <v>949</v>
      </c>
    </row>
    <row r="35" spans="1:18">
      <c r="A35" s="3228" t="s">
        <v>3208</v>
      </c>
      <c r="B35" s="3228" t="s">
        <v>3193</v>
      </c>
      <c r="C35" s="3228" t="s">
        <v>3003</v>
      </c>
      <c r="D35" s="3228">
        <v>117973</v>
      </c>
      <c r="E35" s="3228">
        <v>330324.40000000002</v>
      </c>
      <c r="F35" s="3228" t="s">
        <v>3209</v>
      </c>
      <c r="G35" s="3228" t="s">
        <v>3195</v>
      </c>
      <c r="H35" s="3228" t="s">
        <v>3210</v>
      </c>
      <c r="I35" s="3228">
        <v>0</v>
      </c>
      <c r="J35" s="3228" t="s">
        <v>3197</v>
      </c>
      <c r="K35" s="3228" t="s">
        <v>3197</v>
      </c>
      <c r="L35" s="3228">
        <v>9049</v>
      </c>
      <c r="M35" s="3228">
        <v>9049</v>
      </c>
      <c r="N35" s="3228">
        <v>273.94</v>
      </c>
      <c r="O35" s="3228">
        <v>0</v>
      </c>
      <c r="P35" s="3228" t="s">
        <v>3211</v>
      </c>
      <c r="Q35" s="3228" t="s">
        <v>3199</v>
      </c>
      <c r="R35">
        <f t="shared" si="0"/>
        <v>767</v>
      </c>
    </row>
    <row r="36" spans="1:18">
      <c r="A36" s="3228" t="s">
        <v>3212</v>
      </c>
      <c r="B36" s="3228" t="s">
        <v>3193</v>
      </c>
      <c r="C36" s="3228" t="s">
        <v>3003</v>
      </c>
      <c r="D36" s="3228">
        <v>66705</v>
      </c>
      <c r="E36" s="3228">
        <v>186774</v>
      </c>
      <c r="F36" s="3228" t="s">
        <v>3213</v>
      </c>
      <c r="G36" s="3228" t="s">
        <v>3195</v>
      </c>
      <c r="H36" s="3228" t="s">
        <v>3196</v>
      </c>
      <c r="I36" s="3228">
        <v>0</v>
      </c>
      <c r="J36" s="3228" t="s">
        <v>3214</v>
      </c>
      <c r="K36" s="3228" t="s">
        <v>3214</v>
      </c>
      <c r="L36" s="3228">
        <v>3536</v>
      </c>
      <c r="M36" s="3228">
        <v>3536</v>
      </c>
      <c r="N36" s="3228">
        <v>189.32</v>
      </c>
      <c r="O36" s="3228">
        <v>0</v>
      </c>
      <c r="P36" s="3228" t="s">
        <v>3215</v>
      </c>
      <c r="Q36" s="3228" t="s">
        <v>3199</v>
      </c>
      <c r="R36">
        <f t="shared" si="0"/>
        <v>530</v>
      </c>
    </row>
    <row r="37" spans="1:18">
      <c r="A37" s="3228" t="s">
        <v>3216</v>
      </c>
      <c r="B37" s="3228" t="s">
        <v>3193</v>
      </c>
      <c r="C37" s="3228" t="s">
        <v>3003</v>
      </c>
      <c r="D37" s="3228">
        <v>67984</v>
      </c>
      <c r="E37" s="3228">
        <v>163161.60000000001</v>
      </c>
      <c r="F37" s="3228" t="s">
        <v>3217</v>
      </c>
      <c r="G37" s="3228" t="s">
        <v>3195</v>
      </c>
      <c r="H37" s="3228" t="s">
        <v>3196</v>
      </c>
      <c r="I37" s="3228">
        <v>0</v>
      </c>
      <c r="J37" s="3228" t="s">
        <v>3218</v>
      </c>
      <c r="K37" s="3228" t="s">
        <v>3218</v>
      </c>
      <c r="L37" s="3228">
        <v>9165</v>
      </c>
      <c r="M37" s="3228">
        <v>9165</v>
      </c>
      <c r="N37" s="3228">
        <v>561.71</v>
      </c>
      <c r="O37" s="3228">
        <v>0</v>
      </c>
      <c r="P37" s="3228" t="s">
        <v>3219</v>
      </c>
      <c r="Q37" s="3228" t="s">
        <v>3207</v>
      </c>
      <c r="R37">
        <f t="shared" si="0"/>
        <v>1348</v>
      </c>
    </row>
    <row r="38" spans="1:18">
      <c r="A38" s="3228" t="s">
        <v>3220</v>
      </c>
      <c r="B38" s="3228" t="s">
        <v>3193</v>
      </c>
      <c r="C38" s="3228" t="s">
        <v>3003</v>
      </c>
      <c r="D38" s="3228">
        <v>26656</v>
      </c>
      <c r="E38" s="3228">
        <v>93296</v>
      </c>
      <c r="F38" s="3228" t="s">
        <v>3221</v>
      </c>
      <c r="G38" s="3228" t="s">
        <v>3195</v>
      </c>
      <c r="H38" s="3228" t="s">
        <v>3196</v>
      </c>
      <c r="I38" s="3228">
        <v>0</v>
      </c>
      <c r="J38" s="3228" t="s">
        <v>3218</v>
      </c>
      <c r="K38" s="3228" t="s">
        <v>3218</v>
      </c>
      <c r="L38" s="3228">
        <v>3578</v>
      </c>
      <c r="M38" s="3228">
        <v>3578</v>
      </c>
      <c r="N38" s="3228">
        <v>383.51</v>
      </c>
      <c r="O38" s="3228">
        <v>0</v>
      </c>
      <c r="P38" s="3228" t="s">
        <v>3222</v>
      </c>
      <c r="Q38" s="3228" t="s">
        <v>3199</v>
      </c>
      <c r="R38">
        <f t="shared" si="0"/>
        <v>1342</v>
      </c>
    </row>
    <row r="39" spans="1:18">
      <c r="A39" s="3228" t="s">
        <v>3223</v>
      </c>
      <c r="B39" s="3228" t="s">
        <v>3193</v>
      </c>
      <c r="C39" s="3228" t="s">
        <v>3003</v>
      </c>
      <c r="D39" s="3228">
        <v>66742</v>
      </c>
      <c r="E39" s="3228">
        <v>160180.79999999999</v>
      </c>
      <c r="F39" s="3228" t="s">
        <v>3194</v>
      </c>
      <c r="G39" s="3228" t="s">
        <v>3195</v>
      </c>
      <c r="H39" s="3228" t="s">
        <v>3196</v>
      </c>
      <c r="I39" s="3228">
        <v>0</v>
      </c>
      <c r="J39" s="3228" t="s">
        <v>3218</v>
      </c>
      <c r="K39" s="3228" t="s">
        <v>3218</v>
      </c>
      <c r="L39" s="3228">
        <v>5040</v>
      </c>
      <c r="M39" s="3228">
        <v>5040</v>
      </c>
      <c r="N39" s="3228">
        <v>314.64</v>
      </c>
      <c r="O39" s="3228">
        <v>0</v>
      </c>
      <c r="P39" s="3228" t="s">
        <v>3224</v>
      </c>
      <c r="Q39" s="3228" t="s">
        <v>3199</v>
      </c>
      <c r="R39">
        <f t="shared" si="0"/>
        <v>755</v>
      </c>
    </row>
    <row r="40" spans="1:18">
      <c r="A40" s="3228" t="s">
        <v>3225</v>
      </c>
      <c r="B40" s="3228" t="s">
        <v>3193</v>
      </c>
      <c r="C40" s="3228" t="s">
        <v>3003</v>
      </c>
      <c r="D40" s="3228">
        <v>180564</v>
      </c>
      <c r="E40" s="3228">
        <v>505579.2</v>
      </c>
      <c r="F40" s="3228" t="s">
        <v>3209</v>
      </c>
      <c r="G40" s="3228" t="s">
        <v>3195</v>
      </c>
      <c r="H40" s="3228" t="s">
        <v>3196</v>
      </c>
      <c r="I40" s="3228">
        <v>0</v>
      </c>
      <c r="J40" s="3228" t="s">
        <v>3226</v>
      </c>
      <c r="K40" s="3228" t="s">
        <v>3226</v>
      </c>
      <c r="L40" s="3228">
        <v>13723</v>
      </c>
      <c r="M40" s="3228">
        <v>13723</v>
      </c>
      <c r="N40" s="3228">
        <v>271.43</v>
      </c>
      <c r="O40" s="3228">
        <v>0</v>
      </c>
      <c r="P40" s="3228" t="s">
        <v>3227</v>
      </c>
      <c r="Q40" s="3228" t="s">
        <v>3199</v>
      </c>
      <c r="R40">
        <f t="shared" si="0"/>
        <v>760</v>
      </c>
    </row>
    <row r="41" spans="1:18">
      <c r="A41" s="3228" t="s">
        <v>3228</v>
      </c>
      <c r="B41" s="3228" t="s">
        <v>3193</v>
      </c>
      <c r="C41" s="3228" t="s">
        <v>3003</v>
      </c>
      <c r="D41" s="3228">
        <v>47068</v>
      </c>
      <c r="E41" s="3228">
        <v>141204</v>
      </c>
      <c r="F41" s="3228" t="s">
        <v>3202</v>
      </c>
      <c r="G41" s="3228" t="s">
        <v>3195</v>
      </c>
      <c r="H41" s="3228" t="s">
        <v>3196</v>
      </c>
      <c r="I41" s="3228">
        <v>0</v>
      </c>
      <c r="J41" s="3228" t="s">
        <v>3229</v>
      </c>
      <c r="K41" s="3228" t="s">
        <v>3229</v>
      </c>
      <c r="L41" s="3228">
        <v>2481</v>
      </c>
      <c r="M41" s="3228">
        <v>2481</v>
      </c>
      <c r="N41" s="3228">
        <v>175.7</v>
      </c>
      <c r="O41" s="3228">
        <v>0</v>
      </c>
      <c r="P41" s="3228" t="s">
        <v>3230</v>
      </c>
      <c r="Q41" s="3228" t="s">
        <v>3199</v>
      </c>
      <c r="R41">
        <f t="shared" si="0"/>
        <v>527</v>
      </c>
    </row>
    <row r="42" spans="1:18">
      <c r="A42" s="3228" t="s">
        <v>3231</v>
      </c>
      <c r="B42" s="3228" t="s">
        <v>3193</v>
      </c>
      <c r="C42" s="3228" t="s">
        <v>3003</v>
      </c>
      <c r="D42" s="3228">
        <v>8007</v>
      </c>
      <c r="E42" s="3228">
        <v>24021</v>
      </c>
      <c r="F42" s="3228" t="s">
        <v>3232</v>
      </c>
      <c r="G42" s="3228" t="s">
        <v>3195</v>
      </c>
      <c r="H42" s="3228" t="s">
        <v>3196</v>
      </c>
      <c r="I42" s="3228">
        <v>0</v>
      </c>
      <c r="J42" s="3228" t="s">
        <v>3233</v>
      </c>
      <c r="K42" s="3228" t="s">
        <v>3233</v>
      </c>
      <c r="L42" s="3228">
        <v>1079</v>
      </c>
      <c r="M42" s="3228">
        <v>1080</v>
      </c>
      <c r="N42" s="3228">
        <v>449.61</v>
      </c>
      <c r="O42" s="3228">
        <v>0.09</v>
      </c>
      <c r="P42" s="3228" t="s">
        <v>3234</v>
      </c>
      <c r="Q42" s="3228" t="s">
        <v>3199</v>
      </c>
      <c r="R42">
        <f t="shared" si="0"/>
        <v>1349</v>
      </c>
    </row>
    <row r="43" spans="1:18">
      <c r="A43" s="3228" t="s">
        <v>3235</v>
      </c>
      <c r="B43" s="3228" t="s">
        <v>3193</v>
      </c>
      <c r="C43" s="3228" t="s">
        <v>3003</v>
      </c>
      <c r="D43" s="3228">
        <v>66667</v>
      </c>
      <c r="E43" s="3228">
        <v>200001</v>
      </c>
      <c r="F43" s="3228" t="s">
        <v>3236</v>
      </c>
      <c r="G43" s="3228" t="s">
        <v>3195</v>
      </c>
      <c r="H43" s="3228" t="s">
        <v>3210</v>
      </c>
      <c r="I43" s="3228">
        <v>0</v>
      </c>
      <c r="J43" s="3228" t="s">
        <v>3233</v>
      </c>
      <c r="K43" s="3228" t="s">
        <v>3233</v>
      </c>
      <c r="L43" s="3228">
        <v>5067</v>
      </c>
      <c r="M43" s="3228">
        <v>5067</v>
      </c>
      <c r="N43" s="3228">
        <v>253.35</v>
      </c>
      <c r="O43" s="3228">
        <v>0</v>
      </c>
      <c r="P43" s="3228" t="s">
        <v>3237</v>
      </c>
      <c r="Q43" s="3228" t="s">
        <v>3199</v>
      </c>
      <c r="R43">
        <f t="shared" si="0"/>
        <v>760</v>
      </c>
    </row>
    <row r="44" spans="1:18">
      <c r="A44" s="3228" t="s">
        <v>3238</v>
      </c>
      <c r="B44" s="3228" t="s">
        <v>3193</v>
      </c>
      <c r="C44" s="3228" t="s">
        <v>3003</v>
      </c>
      <c r="D44" s="3228">
        <v>20098</v>
      </c>
      <c r="E44" s="3228">
        <v>56274.400000000001</v>
      </c>
      <c r="F44" s="3228" t="s">
        <v>3239</v>
      </c>
      <c r="G44" s="3228" t="s">
        <v>3195</v>
      </c>
      <c r="H44" s="3228" t="s">
        <v>3196</v>
      </c>
      <c r="I44" s="3228">
        <v>0</v>
      </c>
      <c r="J44" s="3228" t="s">
        <v>3240</v>
      </c>
      <c r="K44" s="3228" t="s">
        <v>3240</v>
      </c>
      <c r="L44" s="3228">
        <v>1526</v>
      </c>
      <c r="M44" s="3228">
        <v>1526</v>
      </c>
      <c r="N44" s="3228">
        <v>271.17</v>
      </c>
      <c r="O44" s="3228">
        <v>0</v>
      </c>
      <c r="P44" s="3228" t="s">
        <v>3241</v>
      </c>
      <c r="Q44" s="3228" t="s">
        <v>3199</v>
      </c>
      <c r="R44">
        <f t="shared" si="0"/>
        <v>759</v>
      </c>
    </row>
    <row r="45" spans="1:18">
      <c r="A45" s="3228" t="s">
        <v>3242</v>
      </c>
      <c r="B45" s="3228" t="s">
        <v>3193</v>
      </c>
      <c r="C45" s="3228" t="s">
        <v>3003</v>
      </c>
      <c r="D45" s="3228">
        <v>336044</v>
      </c>
      <c r="E45" s="3228">
        <v>806505.6</v>
      </c>
      <c r="F45" s="3228" t="s">
        <v>3194</v>
      </c>
      <c r="G45" s="3228" t="s">
        <v>3195</v>
      </c>
      <c r="H45" s="3228" t="s">
        <v>3196</v>
      </c>
      <c r="I45" s="3228">
        <v>0</v>
      </c>
      <c r="J45" s="3228" t="s">
        <v>3240</v>
      </c>
      <c r="K45" s="3228" t="s">
        <v>3240</v>
      </c>
      <c r="L45" s="3228">
        <v>25305</v>
      </c>
      <c r="M45" s="3228">
        <v>25305</v>
      </c>
      <c r="N45" s="3228">
        <v>313.76</v>
      </c>
      <c r="O45" s="3228">
        <v>0</v>
      </c>
      <c r="P45" s="3228" t="s">
        <v>3243</v>
      </c>
      <c r="Q45" s="3228" t="s">
        <v>3199</v>
      </c>
      <c r="R45">
        <f t="shared" si="0"/>
        <v>753</v>
      </c>
    </row>
    <row r="46" spans="1:18">
      <c r="A46" s="3228" t="s">
        <v>3244</v>
      </c>
      <c r="B46" s="3228" t="s">
        <v>3193</v>
      </c>
      <c r="C46" s="3228" t="s">
        <v>3003</v>
      </c>
      <c r="D46" s="3228">
        <v>9131</v>
      </c>
      <c r="E46" s="3228">
        <v>25566.799999999999</v>
      </c>
      <c r="F46" s="3228" t="s">
        <v>3205</v>
      </c>
      <c r="G46" s="3228" t="s">
        <v>3195</v>
      </c>
      <c r="H46" s="3228" t="s">
        <v>3210</v>
      </c>
      <c r="I46" s="3228">
        <v>0</v>
      </c>
      <c r="J46" s="3228" t="s">
        <v>3240</v>
      </c>
      <c r="K46" s="3228" t="s">
        <v>3240</v>
      </c>
      <c r="L46" s="3228">
        <v>1232</v>
      </c>
      <c r="M46" s="3228">
        <v>1232</v>
      </c>
      <c r="N46" s="3228">
        <v>481.87</v>
      </c>
      <c r="O46" s="3228">
        <v>0</v>
      </c>
      <c r="P46" s="3228" t="s">
        <v>3245</v>
      </c>
      <c r="Q46" s="3228" t="s">
        <v>3199</v>
      </c>
      <c r="R46">
        <f t="shared" si="0"/>
        <v>1349</v>
      </c>
    </row>
    <row r="47" spans="1:18">
      <c r="A47" s="3228" t="s">
        <v>3246</v>
      </c>
      <c r="B47" s="3228" t="s">
        <v>3193</v>
      </c>
      <c r="C47" s="3228" t="s">
        <v>3003</v>
      </c>
      <c r="D47" s="3228">
        <v>16648</v>
      </c>
      <c r="E47" s="3228">
        <v>49944</v>
      </c>
      <c r="F47" s="3228" t="s">
        <v>3202</v>
      </c>
      <c r="G47" s="3228" t="s">
        <v>3195</v>
      </c>
      <c r="H47" s="3228" t="s">
        <v>3196</v>
      </c>
      <c r="I47" s="3228">
        <v>0</v>
      </c>
      <c r="J47" s="3228" t="s">
        <v>3240</v>
      </c>
      <c r="K47" s="3228" t="s">
        <v>3240</v>
      </c>
      <c r="L47" s="3228">
        <v>883</v>
      </c>
      <c r="M47" s="3228">
        <v>883</v>
      </c>
      <c r="N47" s="3228">
        <v>176.8</v>
      </c>
      <c r="O47" s="3228">
        <v>0</v>
      </c>
      <c r="P47" s="3228" t="s">
        <v>3247</v>
      </c>
      <c r="Q47" s="3228" t="s">
        <v>3199</v>
      </c>
      <c r="R47">
        <f t="shared" si="0"/>
        <v>530</v>
      </c>
    </row>
    <row r="48" spans="1:18">
      <c r="A48" s="3228" t="s">
        <v>3248</v>
      </c>
      <c r="B48" s="3228" t="s">
        <v>3193</v>
      </c>
      <c r="C48" s="3228" t="s">
        <v>3003</v>
      </c>
      <c r="D48" s="3228">
        <v>26681</v>
      </c>
      <c r="E48" s="3228">
        <v>80043</v>
      </c>
      <c r="F48" s="3228" t="s">
        <v>3249</v>
      </c>
      <c r="G48" s="3228" t="s">
        <v>3195</v>
      </c>
      <c r="H48" s="3228" t="s">
        <v>3196</v>
      </c>
      <c r="I48" s="3228">
        <v>0</v>
      </c>
      <c r="J48" s="3228" t="s">
        <v>3240</v>
      </c>
      <c r="K48" s="3228" t="s">
        <v>3240</v>
      </c>
      <c r="L48" s="3228">
        <v>2034</v>
      </c>
      <c r="M48" s="3228">
        <v>2034</v>
      </c>
      <c r="N48" s="3228">
        <v>254.11</v>
      </c>
      <c r="O48" s="3228">
        <v>0</v>
      </c>
      <c r="P48" s="3228" t="s">
        <v>3250</v>
      </c>
      <c r="Q48" s="3228" t="s">
        <v>3199</v>
      </c>
      <c r="R48">
        <f t="shared" si="0"/>
        <v>762</v>
      </c>
    </row>
    <row r="49" spans="1:18">
      <c r="A49" s="3228" t="s">
        <v>3251</v>
      </c>
      <c r="B49" s="3228" t="s">
        <v>3193</v>
      </c>
      <c r="C49" s="3228" t="s">
        <v>3003</v>
      </c>
      <c r="D49" s="3228">
        <v>16687</v>
      </c>
      <c r="E49" s="3228">
        <v>50061</v>
      </c>
      <c r="F49" s="3228" t="s">
        <v>3202</v>
      </c>
      <c r="G49" s="3228" t="s">
        <v>3195</v>
      </c>
      <c r="H49" s="3228" t="s">
        <v>3196</v>
      </c>
      <c r="I49" s="3228">
        <v>0</v>
      </c>
      <c r="J49" s="3228" t="s">
        <v>3240</v>
      </c>
      <c r="K49" s="3228" t="s">
        <v>3240</v>
      </c>
      <c r="L49" s="3228">
        <v>885</v>
      </c>
      <c r="M49" s="3228">
        <v>885</v>
      </c>
      <c r="N49" s="3228">
        <v>176.78</v>
      </c>
      <c r="O49" s="3228">
        <v>0</v>
      </c>
      <c r="P49" s="3228" t="s">
        <v>3252</v>
      </c>
      <c r="Q49" s="3228" t="s">
        <v>3199</v>
      </c>
      <c r="R49">
        <f t="shared" si="0"/>
        <v>530</v>
      </c>
    </row>
    <row r="50" spans="1:18">
      <c r="A50" s="3228" t="s">
        <v>3253</v>
      </c>
      <c r="B50" s="3228" t="s">
        <v>3193</v>
      </c>
      <c r="C50" s="3228" t="s">
        <v>3003</v>
      </c>
      <c r="D50" s="3228">
        <v>122654</v>
      </c>
      <c r="E50" s="3228">
        <v>367962</v>
      </c>
      <c r="F50" s="3228" t="s">
        <v>3202</v>
      </c>
      <c r="G50" s="3228" t="s">
        <v>3195</v>
      </c>
      <c r="H50" s="3228" t="s">
        <v>3210</v>
      </c>
      <c r="I50" s="3228">
        <v>0</v>
      </c>
      <c r="J50" s="3228" t="s">
        <v>3254</v>
      </c>
      <c r="K50" s="3228" t="s">
        <v>3254</v>
      </c>
      <c r="L50" s="3228">
        <v>44280</v>
      </c>
      <c r="M50" s="3228">
        <v>44280</v>
      </c>
      <c r="N50" s="3228">
        <v>1203.3900000000001</v>
      </c>
      <c r="O50" s="3228">
        <v>0</v>
      </c>
      <c r="P50" s="3228" t="s">
        <v>3255</v>
      </c>
      <c r="Q50" s="3228" t="s">
        <v>3199</v>
      </c>
      <c r="R50">
        <f t="shared" si="0"/>
        <v>3610</v>
      </c>
    </row>
    <row r="51" spans="1:18">
      <c r="A51" s="3228" t="s">
        <v>3256</v>
      </c>
      <c r="B51" s="3228" t="s">
        <v>3193</v>
      </c>
      <c r="C51" s="3228" t="s">
        <v>3003</v>
      </c>
      <c r="D51" s="3228">
        <v>57992</v>
      </c>
      <c r="E51" s="3228">
        <v>231968</v>
      </c>
      <c r="F51" s="3228" t="s">
        <v>3257</v>
      </c>
      <c r="G51" s="3228" t="s">
        <v>3195</v>
      </c>
      <c r="H51" s="3228" t="s">
        <v>3258</v>
      </c>
      <c r="I51" s="3228">
        <v>0</v>
      </c>
      <c r="J51" s="3228" t="s">
        <v>3259</v>
      </c>
      <c r="K51" s="3228" t="s">
        <v>3259</v>
      </c>
      <c r="L51" s="3228">
        <v>4448</v>
      </c>
      <c r="M51" s="3228">
        <v>4448</v>
      </c>
      <c r="N51" s="3228">
        <v>191.75</v>
      </c>
      <c r="O51" s="3228">
        <v>0</v>
      </c>
      <c r="P51" s="3228" t="s">
        <v>3260</v>
      </c>
      <c r="Q51" s="3228" t="s">
        <v>3199</v>
      </c>
      <c r="R51">
        <f t="shared" si="0"/>
        <v>767</v>
      </c>
    </row>
    <row r="52" spans="1:18">
      <c r="A52" s="3228" t="s">
        <v>3261</v>
      </c>
      <c r="B52" s="3228" t="s">
        <v>3193</v>
      </c>
      <c r="C52" s="3228" t="s">
        <v>3003</v>
      </c>
      <c r="D52" s="3228">
        <v>61303</v>
      </c>
      <c r="E52" s="3228">
        <v>147127.20000000001</v>
      </c>
      <c r="F52" s="3228" t="s">
        <v>3194</v>
      </c>
      <c r="G52" s="3228" t="s">
        <v>3195</v>
      </c>
      <c r="H52" s="3228" t="s">
        <v>3258</v>
      </c>
      <c r="I52" s="3228">
        <v>0</v>
      </c>
      <c r="J52" s="3228" t="s">
        <v>3259</v>
      </c>
      <c r="K52" s="3228" t="s">
        <v>3259</v>
      </c>
      <c r="L52" s="3228">
        <v>4666</v>
      </c>
      <c r="M52" s="3228">
        <v>4667</v>
      </c>
      <c r="N52" s="3228">
        <v>317.20999999999998</v>
      </c>
      <c r="O52" s="3228">
        <v>0.02</v>
      </c>
      <c r="P52" s="3228" t="s">
        <v>3262</v>
      </c>
      <c r="Q52" s="3228" t="s">
        <v>3199</v>
      </c>
      <c r="R52">
        <f t="shared" si="0"/>
        <v>761</v>
      </c>
    </row>
    <row r="53" spans="1:18">
      <c r="A53" s="3228" t="s">
        <v>3263</v>
      </c>
      <c r="B53" s="3228" t="s">
        <v>3193</v>
      </c>
      <c r="C53" s="3228" t="s">
        <v>3003</v>
      </c>
      <c r="D53" s="3228">
        <v>100123</v>
      </c>
      <c r="E53" s="3228">
        <v>300369</v>
      </c>
      <c r="F53" s="3228" t="s">
        <v>3264</v>
      </c>
      <c r="G53" s="3228" t="s">
        <v>3195</v>
      </c>
      <c r="H53" s="3228" t="s">
        <v>3265</v>
      </c>
      <c r="I53" s="3228">
        <v>0</v>
      </c>
      <c r="J53" s="3228" t="s">
        <v>3266</v>
      </c>
      <c r="K53" s="3228" t="s">
        <v>3266</v>
      </c>
      <c r="L53" s="3228">
        <v>7620</v>
      </c>
      <c r="M53" s="3228">
        <v>7620</v>
      </c>
      <c r="N53" s="3228">
        <v>253.69</v>
      </c>
      <c r="O53" s="3228">
        <v>0</v>
      </c>
      <c r="P53" s="3228" t="s">
        <v>3267</v>
      </c>
      <c r="Q53" s="3228" t="s">
        <v>3268</v>
      </c>
      <c r="R53">
        <f t="shared" si="0"/>
        <v>761</v>
      </c>
    </row>
    <row r="54" spans="1:18">
      <c r="A54" s="3228" t="s">
        <v>3269</v>
      </c>
      <c r="B54" s="3228" t="s">
        <v>3193</v>
      </c>
      <c r="C54" s="3228" t="s">
        <v>3003</v>
      </c>
      <c r="D54" s="3228">
        <v>22276</v>
      </c>
      <c r="E54" s="3228">
        <v>89104</v>
      </c>
      <c r="F54" s="3228" t="s">
        <v>3270</v>
      </c>
      <c r="G54" s="3228" t="s">
        <v>3195</v>
      </c>
      <c r="H54" s="3228" t="s">
        <v>3258</v>
      </c>
      <c r="I54" s="3228">
        <v>0</v>
      </c>
      <c r="J54" s="3228" t="s">
        <v>3271</v>
      </c>
      <c r="K54" s="3228" t="s">
        <v>3271</v>
      </c>
      <c r="L54" s="3228">
        <v>1199</v>
      </c>
      <c r="M54" s="3228">
        <v>1199</v>
      </c>
      <c r="N54" s="3228">
        <v>134.56</v>
      </c>
      <c r="O54" s="3228">
        <v>0</v>
      </c>
      <c r="P54" s="3228" t="s">
        <v>3272</v>
      </c>
      <c r="Q54" s="3228" t="s">
        <v>3199</v>
      </c>
      <c r="R54">
        <f t="shared" si="0"/>
        <v>538</v>
      </c>
    </row>
    <row r="55" spans="1:18">
      <c r="A55" s="3228" t="s">
        <v>3273</v>
      </c>
      <c r="B55" s="3228" t="s">
        <v>3193</v>
      </c>
      <c r="C55" s="3228" t="s">
        <v>3003</v>
      </c>
      <c r="D55" s="3228">
        <v>45616</v>
      </c>
      <c r="E55" s="3228">
        <v>100355.2</v>
      </c>
      <c r="F55" s="3228" t="s">
        <v>3274</v>
      </c>
      <c r="G55" s="3228" t="s">
        <v>3195</v>
      </c>
      <c r="H55" s="3228" t="s">
        <v>3258</v>
      </c>
      <c r="I55" s="3228">
        <v>0</v>
      </c>
      <c r="J55" s="3228" t="s">
        <v>3271</v>
      </c>
      <c r="K55" s="3228" t="s">
        <v>3271</v>
      </c>
      <c r="L55" s="3228">
        <v>4311</v>
      </c>
      <c r="M55" s="3228">
        <v>4311</v>
      </c>
      <c r="N55" s="3228">
        <v>429.57</v>
      </c>
      <c r="O55" s="3228">
        <v>0</v>
      </c>
      <c r="P55" s="3228" t="s">
        <v>3275</v>
      </c>
      <c r="Q55" s="3228" t="s">
        <v>3199</v>
      </c>
      <c r="R55">
        <f t="shared" si="0"/>
        <v>945</v>
      </c>
    </row>
    <row r="56" spans="1:18">
      <c r="A56" s="3228" t="s">
        <v>3276</v>
      </c>
      <c r="B56" s="3228" t="s">
        <v>3193</v>
      </c>
      <c r="C56" s="3228" t="s">
        <v>3003</v>
      </c>
      <c r="D56" s="3228">
        <v>32001</v>
      </c>
      <c r="E56" s="3228">
        <v>128004</v>
      </c>
      <c r="F56" s="3228" t="s">
        <v>3270</v>
      </c>
      <c r="G56" s="3228" t="s">
        <v>3195</v>
      </c>
      <c r="H56" s="3228" t="s">
        <v>3258</v>
      </c>
      <c r="I56" s="3228">
        <v>0</v>
      </c>
      <c r="J56" s="3228" t="s">
        <v>3271</v>
      </c>
      <c r="K56" s="3228" t="s">
        <v>3271</v>
      </c>
      <c r="L56" s="3228">
        <v>1703</v>
      </c>
      <c r="M56" s="3228">
        <v>1703</v>
      </c>
      <c r="N56" s="3228">
        <v>133.04</v>
      </c>
      <c r="O56" s="3228">
        <v>0</v>
      </c>
      <c r="P56" s="3228" t="s">
        <v>3277</v>
      </c>
      <c r="Q56" s="3228" t="s">
        <v>3199</v>
      </c>
      <c r="R56">
        <f t="shared" si="0"/>
        <v>532</v>
      </c>
    </row>
    <row r="57" spans="1:18">
      <c r="A57" s="3228" t="s">
        <v>3278</v>
      </c>
      <c r="B57" s="3228" t="s">
        <v>3193</v>
      </c>
      <c r="C57" s="3228" t="s">
        <v>3003</v>
      </c>
      <c r="D57" s="3228">
        <v>33333</v>
      </c>
      <c r="E57" s="3228">
        <v>99999</v>
      </c>
      <c r="F57" s="3228" t="s">
        <v>3232</v>
      </c>
      <c r="G57" s="3228" t="s">
        <v>3195</v>
      </c>
      <c r="H57" s="3228" t="s">
        <v>3258</v>
      </c>
      <c r="I57" s="3228">
        <v>0</v>
      </c>
      <c r="J57" s="3228" t="s">
        <v>3279</v>
      </c>
      <c r="K57" s="3228" t="s">
        <v>3279</v>
      </c>
      <c r="L57" s="3228">
        <v>4480</v>
      </c>
      <c r="M57" s="3228">
        <v>4480</v>
      </c>
      <c r="N57" s="3228">
        <v>448</v>
      </c>
      <c r="O57" s="3228">
        <v>0</v>
      </c>
      <c r="P57" s="3228" t="s">
        <v>3280</v>
      </c>
      <c r="Q57" s="3228" t="s">
        <v>3199</v>
      </c>
      <c r="R57">
        <f t="shared" si="0"/>
        <v>1344</v>
      </c>
    </row>
    <row r="58" spans="1:18">
      <c r="A58" s="3228" t="s">
        <v>3281</v>
      </c>
      <c r="B58" s="3228" t="s">
        <v>3193</v>
      </c>
      <c r="C58" s="3228" t="s">
        <v>3003</v>
      </c>
      <c r="D58" s="3228">
        <v>105177</v>
      </c>
      <c r="E58" s="3228">
        <v>294495.59999999998</v>
      </c>
      <c r="F58" s="3228" t="s">
        <v>3239</v>
      </c>
      <c r="G58" s="3228" t="s">
        <v>3195</v>
      </c>
      <c r="H58" s="3228" t="s">
        <v>3258</v>
      </c>
      <c r="I58" s="3228">
        <v>0</v>
      </c>
      <c r="J58" s="3228" t="s">
        <v>3282</v>
      </c>
      <c r="K58" s="3228" t="s">
        <v>3282</v>
      </c>
      <c r="L58" s="3228">
        <v>7994</v>
      </c>
      <c r="M58" s="3228">
        <v>7994</v>
      </c>
      <c r="N58" s="3228">
        <v>271.45</v>
      </c>
      <c r="O58" s="3228">
        <v>0</v>
      </c>
      <c r="P58" s="3228" t="s">
        <v>3227</v>
      </c>
      <c r="Q58" s="3228" t="s">
        <v>3199</v>
      </c>
      <c r="R58">
        <f t="shared" si="0"/>
        <v>760</v>
      </c>
    </row>
    <row r="59" spans="1:18">
      <c r="A59" s="3228" t="s">
        <v>3283</v>
      </c>
      <c r="B59" s="3228" t="s">
        <v>3193</v>
      </c>
      <c r="C59" s="3228" t="s">
        <v>3003</v>
      </c>
      <c r="D59" s="3228">
        <v>16672</v>
      </c>
      <c r="E59" s="3228">
        <v>50016</v>
      </c>
      <c r="F59" s="3228" t="s">
        <v>3232</v>
      </c>
      <c r="G59" s="3228" t="s">
        <v>3195</v>
      </c>
      <c r="H59" s="3228" t="s">
        <v>3258</v>
      </c>
      <c r="I59" s="3228">
        <v>0</v>
      </c>
      <c r="J59" s="3228" t="s">
        <v>3282</v>
      </c>
      <c r="K59" s="3228" t="s">
        <v>3282</v>
      </c>
      <c r="L59" s="3228">
        <v>2246</v>
      </c>
      <c r="M59" s="3228">
        <v>2246</v>
      </c>
      <c r="N59" s="3228">
        <v>449.06</v>
      </c>
      <c r="O59" s="3228">
        <v>0</v>
      </c>
      <c r="P59" s="3228" t="s">
        <v>3284</v>
      </c>
      <c r="Q59" s="3228" t="s">
        <v>3199</v>
      </c>
      <c r="R59">
        <f t="shared" si="0"/>
        <v>1347</v>
      </c>
    </row>
    <row r="60" spans="1:18">
      <c r="A60" s="3228" t="s">
        <v>3285</v>
      </c>
      <c r="B60" s="3228" t="s">
        <v>3193</v>
      </c>
      <c r="C60" s="3228" t="s">
        <v>3003</v>
      </c>
      <c r="D60" s="3228">
        <v>13338</v>
      </c>
      <c r="E60" s="3228">
        <v>40014</v>
      </c>
      <c r="F60" s="3228" t="s">
        <v>3232</v>
      </c>
      <c r="G60" s="3228" t="s">
        <v>3195</v>
      </c>
      <c r="H60" s="3228" t="s">
        <v>3258</v>
      </c>
      <c r="I60" s="3228">
        <v>0</v>
      </c>
      <c r="J60" s="3228" t="s">
        <v>3282</v>
      </c>
      <c r="K60" s="3228" t="s">
        <v>3282</v>
      </c>
      <c r="L60" s="3228">
        <v>1797</v>
      </c>
      <c r="M60" s="3228">
        <v>1797</v>
      </c>
      <c r="N60" s="3228">
        <v>449.09</v>
      </c>
      <c r="O60" s="3228">
        <v>0</v>
      </c>
      <c r="P60" s="3228" t="s">
        <v>3286</v>
      </c>
      <c r="Q60" s="3228" t="s">
        <v>3199</v>
      </c>
      <c r="R60">
        <f t="shared" si="0"/>
        <v>1347</v>
      </c>
    </row>
    <row r="61" spans="1:18">
      <c r="A61" s="3228" t="s">
        <v>3287</v>
      </c>
      <c r="B61" s="3228" t="s">
        <v>3193</v>
      </c>
      <c r="C61" s="3228" t="s">
        <v>3003</v>
      </c>
      <c r="D61" s="3228">
        <v>64396</v>
      </c>
      <c r="E61" s="3228">
        <v>180308.8</v>
      </c>
      <c r="F61" s="3228" t="s">
        <v>3213</v>
      </c>
      <c r="G61" s="3228" t="s">
        <v>3195</v>
      </c>
      <c r="H61" s="3228" t="s">
        <v>3258</v>
      </c>
      <c r="I61" s="3228">
        <v>0</v>
      </c>
      <c r="J61" s="3228" t="s">
        <v>3282</v>
      </c>
      <c r="K61" s="3228" t="s">
        <v>3282</v>
      </c>
      <c r="L61" s="3228">
        <v>12594</v>
      </c>
      <c r="M61" s="3228">
        <v>12594</v>
      </c>
      <c r="N61" s="3228">
        <v>698.47</v>
      </c>
      <c r="O61" s="3228">
        <v>0</v>
      </c>
      <c r="P61" s="3228" t="s">
        <v>3288</v>
      </c>
      <c r="Q61" s="3228" t="s">
        <v>3199</v>
      </c>
      <c r="R61">
        <f t="shared" si="0"/>
        <v>1956</v>
      </c>
    </row>
    <row r="62" spans="1:18">
      <c r="A62" s="3228" t="s">
        <v>3289</v>
      </c>
      <c r="B62" s="3228" t="s">
        <v>3193</v>
      </c>
      <c r="C62" s="3228" t="s">
        <v>3003</v>
      </c>
      <c r="D62" s="3228">
        <v>28974</v>
      </c>
      <c r="E62" s="3228">
        <v>115896</v>
      </c>
      <c r="F62" s="3228" t="s">
        <v>3290</v>
      </c>
      <c r="G62" s="3228" t="s">
        <v>3195</v>
      </c>
      <c r="H62" s="3228" t="s">
        <v>3258</v>
      </c>
      <c r="I62" s="3228">
        <v>0</v>
      </c>
      <c r="J62" s="3228" t="s">
        <v>3282</v>
      </c>
      <c r="K62" s="3228" t="s">
        <v>3282</v>
      </c>
      <c r="L62" s="3228">
        <v>1556</v>
      </c>
      <c r="M62" s="3228">
        <v>1556</v>
      </c>
      <c r="N62" s="3228">
        <v>134.26</v>
      </c>
      <c r="O62" s="3228">
        <v>0</v>
      </c>
      <c r="P62" s="3228" t="s">
        <v>3291</v>
      </c>
      <c r="Q62" s="3228" t="s">
        <v>3199</v>
      </c>
      <c r="R62">
        <f t="shared" si="0"/>
        <v>537</v>
      </c>
    </row>
    <row r="63" spans="1:18">
      <c r="A63" s="3228" t="s">
        <v>3292</v>
      </c>
      <c r="B63" s="3228" t="s">
        <v>3193</v>
      </c>
      <c r="C63" s="3228" t="s">
        <v>3003</v>
      </c>
      <c r="D63" s="3228">
        <v>38153</v>
      </c>
      <c r="E63" s="3228">
        <v>91567.2</v>
      </c>
      <c r="F63" s="3228" t="s">
        <v>3194</v>
      </c>
      <c r="G63" s="3228" t="s">
        <v>3195</v>
      </c>
      <c r="H63" s="3228" t="s">
        <v>3258</v>
      </c>
      <c r="I63" s="3228">
        <v>0</v>
      </c>
      <c r="J63" s="3228" t="s">
        <v>3293</v>
      </c>
      <c r="K63" s="3228" t="s">
        <v>3293</v>
      </c>
      <c r="L63" s="3228">
        <v>2870</v>
      </c>
      <c r="M63" s="3228">
        <v>2870</v>
      </c>
      <c r="N63" s="3228">
        <v>313.43</v>
      </c>
      <c r="O63" s="3228">
        <v>0</v>
      </c>
      <c r="P63" s="3228" t="s">
        <v>3294</v>
      </c>
      <c r="Q63" s="3228" t="s">
        <v>3199</v>
      </c>
      <c r="R63">
        <f t="shared" si="0"/>
        <v>752</v>
      </c>
    </row>
    <row r="64" spans="1:18">
      <c r="A64" s="3228" t="s">
        <v>3295</v>
      </c>
      <c r="B64" s="3228" t="s">
        <v>3193</v>
      </c>
      <c r="C64" s="3228" t="s">
        <v>3003</v>
      </c>
      <c r="D64" s="3228">
        <v>142618</v>
      </c>
      <c r="E64" s="3228">
        <v>399330.4</v>
      </c>
      <c r="F64" s="3228" t="s">
        <v>3213</v>
      </c>
      <c r="G64" s="3228" t="s">
        <v>3195</v>
      </c>
      <c r="H64" s="3228" t="s">
        <v>3258</v>
      </c>
      <c r="I64" s="3228">
        <v>0</v>
      </c>
      <c r="J64" s="3228" t="s">
        <v>3293</v>
      </c>
      <c r="K64" s="3228" t="s">
        <v>3293</v>
      </c>
      <c r="L64" s="3228">
        <v>7574</v>
      </c>
      <c r="M64" s="3228">
        <v>7574</v>
      </c>
      <c r="N64" s="3228">
        <v>189.67</v>
      </c>
      <c r="O64" s="3228">
        <v>0</v>
      </c>
      <c r="P64" s="3228" t="s">
        <v>3296</v>
      </c>
      <c r="Q64" s="3228" t="s">
        <v>3199</v>
      </c>
      <c r="R64">
        <f t="shared" si="0"/>
        <v>531</v>
      </c>
    </row>
    <row r="65" spans="1:18">
      <c r="A65" s="3228" t="s">
        <v>3297</v>
      </c>
      <c r="B65" s="3228" t="s">
        <v>3193</v>
      </c>
      <c r="C65" s="3228" t="s">
        <v>3003</v>
      </c>
      <c r="D65" s="3228">
        <v>20020</v>
      </c>
      <c r="E65" s="3228">
        <v>44044</v>
      </c>
      <c r="F65" s="3228" t="s">
        <v>3274</v>
      </c>
      <c r="G65" s="3228" t="s">
        <v>3195</v>
      </c>
      <c r="H65" s="3228" t="s">
        <v>3258</v>
      </c>
      <c r="I65" s="3228">
        <v>0</v>
      </c>
      <c r="J65" s="3228" t="s">
        <v>3298</v>
      </c>
      <c r="K65" s="3228" t="s">
        <v>3298</v>
      </c>
      <c r="L65" s="3228">
        <v>1892</v>
      </c>
      <c r="M65" s="3228">
        <v>1892</v>
      </c>
      <c r="N65" s="3228">
        <v>429.57</v>
      </c>
      <c r="O65" s="3228">
        <v>0</v>
      </c>
      <c r="P65" s="3228" t="s">
        <v>3299</v>
      </c>
      <c r="Q65" s="3228" t="s">
        <v>3199</v>
      </c>
      <c r="R65">
        <f t="shared" si="0"/>
        <v>945</v>
      </c>
    </row>
    <row r="66" spans="1:18">
      <c r="A66" s="3228" t="s">
        <v>3300</v>
      </c>
      <c r="B66" s="3228" t="s">
        <v>3193</v>
      </c>
      <c r="C66" s="3228" t="s">
        <v>3003</v>
      </c>
      <c r="D66" s="3228">
        <v>26685</v>
      </c>
      <c r="E66" s="3228">
        <v>58707</v>
      </c>
      <c r="F66" s="3228" t="s">
        <v>3274</v>
      </c>
      <c r="G66" s="3228" t="s">
        <v>3195</v>
      </c>
      <c r="H66" s="3228" t="s">
        <v>3258</v>
      </c>
      <c r="I66" s="3228">
        <v>0</v>
      </c>
      <c r="J66" s="3228" t="s">
        <v>3298</v>
      </c>
      <c r="K66" s="3228" t="s">
        <v>3298</v>
      </c>
      <c r="L66" s="3228">
        <v>2522</v>
      </c>
      <c r="M66" s="3228">
        <v>2522</v>
      </c>
      <c r="N66" s="3228">
        <v>429.59</v>
      </c>
      <c r="O66" s="3228">
        <v>0</v>
      </c>
      <c r="P66" s="3228" t="s">
        <v>3301</v>
      </c>
      <c r="Q66" s="3228" t="s">
        <v>3199</v>
      </c>
      <c r="R66">
        <f t="shared" si="0"/>
        <v>945</v>
      </c>
    </row>
    <row r="67" spans="1:18">
      <c r="A67" s="3228" t="s">
        <v>3302</v>
      </c>
      <c r="B67" s="3228" t="s">
        <v>3193</v>
      </c>
      <c r="C67" s="3228" t="s">
        <v>3003</v>
      </c>
      <c r="D67" s="3228">
        <v>122979</v>
      </c>
      <c r="E67" s="3228">
        <v>295149.59999999998</v>
      </c>
      <c r="F67" s="3228" t="s">
        <v>3194</v>
      </c>
      <c r="G67" s="3228" t="s">
        <v>3195</v>
      </c>
      <c r="H67" s="3228" t="s">
        <v>3258</v>
      </c>
      <c r="I67" s="3228">
        <v>0</v>
      </c>
      <c r="J67" s="3228" t="s">
        <v>3298</v>
      </c>
      <c r="K67" s="3228" t="s">
        <v>3298</v>
      </c>
      <c r="L67" s="3228">
        <v>9249</v>
      </c>
      <c r="M67" s="3228">
        <v>9249</v>
      </c>
      <c r="N67" s="3228">
        <v>313.37</v>
      </c>
      <c r="O67" s="3228">
        <v>0</v>
      </c>
      <c r="P67" s="3228" t="s">
        <v>3303</v>
      </c>
      <c r="Q67" s="3228" t="s">
        <v>3268</v>
      </c>
      <c r="R67">
        <f t="shared" si="0"/>
        <v>752</v>
      </c>
    </row>
    <row r="68" spans="1:18">
      <c r="A68" s="3228" t="s">
        <v>3304</v>
      </c>
      <c r="B68" s="3228" t="s">
        <v>3193</v>
      </c>
      <c r="C68" s="3228" t="s">
        <v>3003</v>
      </c>
      <c r="D68" s="3228">
        <v>20098</v>
      </c>
      <c r="E68" s="3228">
        <v>48235.199999999997</v>
      </c>
      <c r="F68" s="3228" t="s">
        <v>3194</v>
      </c>
      <c r="G68" s="3228" t="s">
        <v>3195</v>
      </c>
      <c r="H68" s="3228" t="s">
        <v>3258</v>
      </c>
      <c r="I68" s="3228">
        <v>0</v>
      </c>
      <c r="J68" s="3228" t="s">
        <v>3298</v>
      </c>
      <c r="K68" s="3228" t="s">
        <v>3298</v>
      </c>
      <c r="L68" s="3228">
        <v>1068</v>
      </c>
      <c r="M68" s="3228">
        <v>1068</v>
      </c>
      <c r="N68" s="3228">
        <v>221.42</v>
      </c>
      <c r="O68" s="3228">
        <v>0</v>
      </c>
      <c r="P68" s="3228" t="s">
        <v>3305</v>
      </c>
      <c r="Q68" s="3228" t="s">
        <v>3199</v>
      </c>
      <c r="R68">
        <f t="shared" si="0"/>
        <v>531</v>
      </c>
    </row>
    <row r="69" spans="1:18">
      <c r="A69" s="3228" t="s">
        <v>3306</v>
      </c>
      <c r="B69" s="3228" t="s">
        <v>3193</v>
      </c>
      <c r="C69" s="3228" t="s">
        <v>3003</v>
      </c>
      <c r="D69" s="3228">
        <v>43171</v>
      </c>
      <c r="E69" s="3228">
        <v>129513</v>
      </c>
      <c r="F69" s="3228" t="s">
        <v>3232</v>
      </c>
      <c r="G69" s="3228" t="s">
        <v>3195</v>
      </c>
      <c r="H69" s="3228" t="s">
        <v>3258</v>
      </c>
      <c r="I69" s="3228">
        <v>0</v>
      </c>
      <c r="J69" s="3228" t="s">
        <v>3307</v>
      </c>
      <c r="K69" s="3228" t="s">
        <v>3307</v>
      </c>
      <c r="L69" s="3228">
        <v>2306</v>
      </c>
      <c r="M69" s="3228">
        <v>2306</v>
      </c>
      <c r="N69" s="3228">
        <v>178.05</v>
      </c>
      <c r="O69" s="3228">
        <v>0</v>
      </c>
      <c r="P69" s="3228" t="s">
        <v>3308</v>
      </c>
      <c r="Q69" s="3228" t="s">
        <v>3199</v>
      </c>
      <c r="R69">
        <f t="shared" si="0"/>
        <v>534</v>
      </c>
    </row>
    <row r="70" spans="1:18">
      <c r="A70" s="3228" t="s">
        <v>3309</v>
      </c>
      <c r="B70" s="3228" t="s">
        <v>3193</v>
      </c>
      <c r="C70" s="3228" t="s">
        <v>3003</v>
      </c>
      <c r="D70" s="3228">
        <v>46268</v>
      </c>
      <c r="E70" s="3228">
        <v>101789.6</v>
      </c>
      <c r="F70" s="3228" t="s">
        <v>3274</v>
      </c>
      <c r="G70" s="3228" t="s">
        <v>3195</v>
      </c>
      <c r="H70" s="3228" t="s">
        <v>3258</v>
      </c>
      <c r="I70" s="3228">
        <v>0</v>
      </c>
      <c r="J70" s="3228" t="s">
        <v>3310</v>
      </c>
      <c r="K70" s="3228" t="s">
        <v>3310</v>
      </c>
      <c r="L70" s="3228">
        <v>4373</v>
      </c>
      <c r="M70" s="3228">
        <v>4373</v>
      </c>
      <c r="N70" s="3228">
        <v>429.61</v>
      </c>
      <c r="O70" s="3228">
        <v>0</v>
      </c>
      <c r="P70" s="3228" t="s">
        <v>3311</v>
      </c>
      <c r="Q70" s="3228" t="s">
        <v>3199</v>
      </c>
      <c r="R70">
        <f t="shared" si="0"/>
        <v>945</v>
      </c>
    </row>
    <row r="71" spans="1:18">
      <c r="A71" s="3228" t="s">
        <v>3312</v>
      </c>
      <c r="B71" s="3228" t="s">
        <v>3193</v>
      </c>
      <c r="C71" s="3228" t="s">
        <v>3003</v>
      </c>
      <c r="D71" s="3228">
        <v>25710</v>
      </c>
      <c r="E71" s="3228">
        <v>77130</v>
      </c>
      <c r="F71" s="3228" t="s">
        <v>3232</v>
      </c>
      <c r="G71" s="3228" t="s">
        <v>3195</v>
      </c>
      <c r="H71" s="3228" t="s">
        <v>3258</v>
      </c>
      <c r="I71" s="3228">
        <v>0</v>
      </c>
      <c r="J71" s="3228" t="s">
        <v>3310</v>
      </c>
      <c r="K71" s="3228" t="s">
        <v>3310</v>
      </c>
      <c r="L71" s="3228">
        <v>2430</v>
      </c>
      <c r="M71" s="3228">
        <v>2430</v>
      </c>
      <c r="N71" s="3228">
        <v>315.05</v>
      </c>
      <c r="O71" s="3228">
        <v>0</v>
      </c>
      <c r="P71" s="3228" t="s">
        <v>3313</v>
      </c>
      <c r="Q71" s="3228" t="s">
        <v>3199</v>
      </c>
      <c r="R71">
        <f t="shared" si="0"/>
        <v>945</v>
      </c>
    </row>
    <row r="72" spans="1:18">
      <c r="A72" s="3228" t="s">
        <v>3314</v>
      </c>
      <c r="B72" s="3228" t="s">
        <v>3193</v>
      </c>
      <c r="C72" s="3228" t="s">
        <v>3003</v>
      </c>
      <c r="D72" s="3228">
        <v>400000</v>
      </c>
      <c r="E72" s="3228">
        <v>1120000</v>
      </c>
      <c r="F72" s="3228" t="s">
        <v>3213</v>
      </c>
      <c r="G72" s="3228" t="s">
        <v>3195</v>
      </c>
      <c r="H72" s="3228" t="s">
        <v>3258</v>
      </c>
      <c r="I72" s="3228">
        <v>0</v>
      </c>
      <c r="J72" s="3228" t="s">
        <v>3310</v>
      </c>
      <c r="K72" s="3228" t="s">
        <v>3310</v>
      </c>
      <c r="L72" s="3228">
        <v>21280</v>
      </c>
      <c r="M72" s="3228">
        <v>21280</v>
      </c>
      <c r="N72" s="3228">
        <v>190</v>
      </c>
      <c r="O72" s="3228">
        <v>0</v>
      </c>
      <c r="P72" s="3228" t="s">
        <v>3315</v>
      </c>
      <c r="Q72" s="3228" t="s">
        <v>3199</v>
      </c>
      <c r="R72">
        <f t="shared" si="0"/>
        <v>532</v>
      </c>
    </row>
    <row r="73" spans="1:18">
      <c r="A73" s="3228" t="s">
        <v>3316</v>
      </c>
      <c r="B73" s="3228" t="s">
        <v>3193</v>
      </c>
      <c r="C73" s="3228" t="s">
        <v>3003</v>
      </c>
      <c r="D73" s="3228">
        <v>24958</v>
      </c>
      <c r="E73" s="3228">
        <v>54907.6</v>
      </c>
      <c r="F73" s="3228" t="s">
        <v>3274</v>
      </c>
      <c r="G73" s="3228" t="s">
        <v>3195</v>
      </c>
      <c r="H73" s="3228" t="s">
        <v>3258</v>
      </c>
      <c r="I73" s="3228">
        <v>0</v>
      </c>
      <c r="J73" s="3228" t="s">
        <v>3317</v>
      </c>
      <c r="K73" s="3228" t="s">
        <v>3317</v>
      </c>
      <c r="L73" s="3228">
        <v>2359</v>
      </c>
      <c r="M73" s="3228">
        <v>2360</v>
      </c>
      <c r="N73" s="3228">
        <v>429.81</v>
      </c>
      <c r="O73" s="3228">
        <v>0.04</v>
      </c>
      <c r="P73" s="3228" t="s">
        <v>3318</v>
      </c>
      <c r="Q73" s="3228" t="s">
        <v>3199</v>
      </c>
      <c r="R73">
        <f t="shared" si="0"/>
        <v>946</v>
      </c>
    </row>
    <row r="74" spans="1:18">
      <c r="A74" s="3228" t="s">
        <v>3319</v>
      </c>
      <c r="B74" s="3228" t="s">
        <v>3193</v>
      </c>
      <c r="C74" s="3228" t="s">
        <v>3003</v>
      </c>
      <c r="D74" s="3228">
        <v>26668</v>
      </c>
      <c r="E74" s="3228">
        <v>64003.199999999997</v>
      </c>
      <c r="F74" s="3228" t="s">
        <v>3194</v>
      </c>
      <c r="G74" s="3228" t="s">
        <v>3195</v>
      </c>
      <c r="H74" s="3228" t="s">
        <v>3258</v>
      </c>
      <c r="I74" s="3228">
        <v>0</v>
      </c>
      <c r="J74" s="3228" t="s">
        <v>3317</v>
      </c>
      <c r="K74" s="3228" t="s">
        <v>3317</v>
      </c>
      <c r="L74" s="3228">
        <v>2019</v>
      </c>
      <c r="M74" s="3228">
        <v>2019</v>
      </c>
      <c r="N74" s="3228">
        <v>315.45</v>
      </c>
      <c r="O74" s="3228">
        <v>0</v>
      </c>
      <c r="P74" s="3228" t="s">
        <v>3320</v>
      </c>
      <c r="Q74" s="3228" t="s">
        <v>3199</v>
      </c>
      <c r="R74">
        <f t="shared" si="0"/>
        <v>757</v>
      </c>
    </row>
    <row r="75" spans="1:18">
      <c r="A75" s="3228" t="s">
        <v>3321</v>
      </c>
      <c r="B75" s="3228" t="s">
        <v>3193</v>
      </c>
      <c r="C75" s="3228" t="s">
        <v>3003</v>
      </c>
      <c r="D75" s="3228">
        <v>57957</v>
      </c>
      <c r="E75" s="3228">
        <v>139096.79999999999</v>
      </c>
      <c r="F75" s="3228" t="s">
        <v>3194</v>
      </c>
      <c r="G75" s="3228" t="s">
        <v>3195</v>
      </c>
      <c r="H75" s="3228" t="s">
        <v>3258</v>
      </c>
      <c r="I75" s="3228">
        <v>0</v>
      </c>
      <c r="J75" s="3228" t="s">
        <v>3317</v>
      </c>
      <c r="K75" s="3228" t="s">
        <v>3317</v>
      </c>
      <c r="L75" s="3228">
        <v>4347</v>
      </c>
      <c r="M75" s="3228">
        <v>4347</v>
      </c>
      <c r="N75" s="3228">
        <v>312.52</v>
      </c>
      <c r="O75" s="3228">
        <v>0</v>
      </c>
      <c r="P75" s="3228" t="s">
        <v>3322</v>
      </c>
      <c r="Q75" s="3228" t="s">
        <v>3199</v>
      </c>
      <c r="R75">
        <f t="shared" si="0"/>
        <v>750</v>
      </c>
    </row>
    <row r="76" spans="1:18">
      <c r="A76" s="3228" t="s">
        <v>3323</v>
      </c>
      <c r="B76" s="3228" t="s">
        <v>3193</v>
      </c>
      <c r="C76" s="3228" t="s">
        <v>3003</v>
      </c>
      <c r="D76" s="3228">
        <v>13333</v>
      </c>
      <c r="E76" s="3228">
        <v>31999.200000000001</v>
      </c>
      <c r="F76" s="3228" t="s">
        <v>3194</v>
      </c>
      <c r="G76" s="3228" t="s">
        <v>3195</v>
      </c>
      <c r="H76" s="3228" t="s">
        <v>3258</v>
      </c>
      <c r="I76" s="3228">
        <v>0</v>
      </c>
      <c r="J76" s="3228" t="s">
        <v>3324</v>
      </c>
      <c r="K76" s="3228" t="s">
        <v>3324</v>
      </c>
      <c r="L76" s="3228">
        <v>704</v>
      </c>
      <c r="M76" s="3228">
        <v>704</v>
      </c>
      <c r="N76" s="3228">
        <v>220.01</v>
      </c>
      <c r="O76" s="3228">
        <v>0</v>
      </c>
      <c r="P76" s="3228" t="s">
        <v>3325</v>
      </c>
      <c r="Q76" s="3228" t="s">
        <v>3199</v>
      </c>
      <c r="R76">
        <f t="shared" si="0"/>
        <v>528</v>
      </c>
    </row>
    <row r="77" spans="1:18">
      <c r="A77" s="3228" t="s">
        <v>3326</v>
      </c>
      <c r="B77" s="3228" t="s">
        <v>3193</v>
      </c>
      <c r="C77" s="3228" t="s">
        <v>3003</v>
      </c>
      <c r="D77" s="3228">
        <v>40000</v>
      </c>
      <c r="E77" s="3228">
        <v>88000</v>
      </c>
      <c r="F77" s="3228" t="s">
        <v>3274</v>
      </c>
      <c r="G77" s="3228" t="s">
        <v>3195</v>
      </c>
      <c r="H77" s="3228" t="s">
        <v>3258</v>
      </c>
      <c r="I77" s="3228">
        <v>0</v>
      </c>
      <c r="J77" s="3228" t="s">
        <v>3324</v>
      </c>
      <c r="K77" s="3228" t="s">
        <v>3324</v>
      </c>
      <c r="L77" s="3228">
        <v>3780</v>
      </c>
      <c r="M77" s="3228">
        <v>3810</v>
      </c>
      <c r="N77" s="3228">
        <v>432.95</v>
      </c>
      <c r="O77" s="3228">
        <v>0.79</v>
      </c>
      <c r="P77" s="3228" t="s">
        <v>3327</v>
      </c>
      <c r="Q77" s="3228" t="s">
        <v>3199</v>
      </c>
      <c r="R77">
        <f t="shared" si="0"/>
        <v>953</v>
      </c>
    </row>
    <row r="78" spans="1:18">
      <c r="A78" s="3228" t="s">
        <v>3328</v>
      </c>
      <c r="B78" s="3228" t="s">
        <v>3193</v>
      </c>
      <c r="C78" s="3228" t="s">
        <v>3003</v>
      </c>
      <c r="D78" s="3228">
        <v>18669</v>
      </c>
      <c r="E78" s="3228">
        <v>44805.599999999999</v>
      </c>
      <c r="F78" s="3228" t="s">
        <v>3194</v>
      </c>
      <c r="G78" s="3228" t="s">
        <v>3195</v>
      </c>
      <c r="H78" s="3228" t="s">
        <v>3258</v>
      </c>
      <c r="I78" s="3228">
        <v>0</v>
      </c>
      <c r="J78" s="3228" t="s">
        <v>3324</v>
      </c>
      <c r="K78" s="3228" t="s">
        <v>3324</v>
      </c>
      <c r="L78" s="3228">
        <v>1419</v>
      </c>
      <c r="M78" s="3228">
        <v>1419</v>
      </c>
      <c r="N78" s="3228">
        <v>316.7</v>
      </c>
      <c r="O78" s="3228">
        <v>0</v>
      </c>
      <c r="P78" s="3228" t="s">
        <v>3329</v>
      </c>
      <c r="Q78" s="3228" t="s">
        <v>3199</v>
      </c>
      <c r="R78">
        <f t="shared" si="0"/>
        <v>760</v>
      </c>
    </row>
    <row r="79" spans="1:18" s="3237" customFormat="1">
      <c r="A79" s="3236" t="s">
        <v>3330</v>
      </c>
      <c r="B79" s="3236" t="s">
        <v>3193</v>
      </c>
      <c r="C79" s="3236" t="s">
        <v>3003</v>
      </c>
      <c r="D79" s="3236">
        <v>16667</v>
      </c>
      <c r="E79" s="3236">
        <v>40000.800000000003</v>
      </c>
      <c r="F79" s="3236" t="s">
        <v>3194</v>
      </c>
      <c r="G79" s="3236" t="s">
        <v>3195</v>
      </c>
      <c r="H79" s="3236" t="s">
        <v>3258</v>
      </c>
      <c r="I79" s="3236">
        <v>0</v>
      </c>
      <c r="J79" s="3236" t="s">
        <v>3324</v>
      </c>
      <c r="K79" s="3236" t="s">
        <v>3324</v>
      </c>
      <c r="L79" s="3236">
        <v>1254</v>
      </c>
      <c r="M79" s="3236">
        <v>1254</v>
      </c>
      <c r="N79" s="3236">
        <v>313.49</v>
      </c>
      <c r="O79" s="3236">
        <v>0</v>
      </c>
      <c r="P79" s="3236" t="s">
        <v>3331</v>
      </c>
      <c r="Q79" s="3236" t="s">
        <v>3332</v>
      </c>
      <c r="R79" s="3237">
        <f t="shared" si="0"/>
        <v>752</v>
      </c>
    </row>
    <row r="80" spans="1:18" s="3235" customFormat="1">
      <c r="A80" s="3234" t="s">
        <v>3562</v>
      </c>
      <c r="B80" s="3234" t="s">
        <v>3193</v>
      </c>
      <c r="C80" s="3234" t="s">
        <v>3003</v>
      </c>
      <c r="D80" s="3234">
        <v>16673</v>
      </c>
      <c r="E80" s="3234">
        <v>36680.6</v>
      </c>
      <c r="F80" s="3234" t="s">
        <v>3274</v>
      </c>
      <c r="G80" s="3234" t="s">
        <v>3195</v>
      </c>
      <c r="H80" s="3234" t="s">
        <v>3258</v>
      </c>
      <c r="I80" s="3234">
        <v>0</v>
      </c>
      <c r="J80" s="3234" t="s">
        <v>3333</v>
      </c>
      <c r="K80" s="3234" t="s">
        <v>3333</v>
      </c>
      <c r="L80" s="3234">
        <v>1576</v>
      </c>
      <c r="M80" s="3234">
        <v>1577</v>
      </c>
      <c r="N80" s="3234">
        <v>429.93</v>
      </c>
      <c r="O80" s="3234">
        <v>0.06</v>
      </c>
      <c r="P80" s="3234" t="s">
        <v>3334</v>
      </c>
      <c r="Q80" s="3234" t="s">
        <v>3207</v>
      </c>
      <c r="R80" s="3235">
        <f t="shared" si="0"/>
        <v>946</v>
      </c>
    </row>
    <row r="81" spans="1:18">
      <c r="A81" s="3230" t="s">
        <v>3335</v>
      </c>
      <c r="B81" s="3230" t="s">
        <v>3193</v>
      </c>
      <c r="C81" s="3230" t="s">
        <v>3003</v>
      </c>
      <c r="D81" s="3230">
        <v>13337</v>
      </c>
      <c r="E81" s="3230">
        <v>37343.599999999999</v>
      </c>
      <c r="F81" s="3230" t="s">
        <v>3213</v>
      </c>
      <c r="G81" s="3230" t="s">
        <v>3195</v>
      </c>
      <c r="H81" s="3230" t="s">
        <v>3258</v>
      </c>
      <c r="I81" s="3230">
        <v>0</v>
      </c>
      <c r="J81" s="3230" t="s">
        <v>3333</v>
      </c>
      <c r="K81" s="3230" t="s">
        <v>3333</v>
      </c>
      <c r="L81" s="3230">
        <v>1261</v>
      </c>
      <c r="M81" s="3230">
        <v>1261</v>
      </c>
      <c r="N81" s="3230">
        <v>337.67</v>
      </c>
      <c r="O81" s="3230">
        <v>0</v>
      </c>
      <c r="P81" s="3230" t="s">
        <v>3336</v>
      </c>
      <c r="Q81" s="3230" t="s">
        <v>3199</v>
      </c>
      <c r="R81">
        <f t="shared" si="0"/>
        <v>945</v>
      </c>
    </row>
    <row r="82" spans="1:18" s="3237" customFormat="1">
      <c r="A82" s="3236" t="s">
        <v>3337</v>
      </c>
      <c r="B82" s="3236" t="s">
        <v>3193</v>
      </c>
      <c r="C82" s="3236" t="s">
        <v>3003</v>
      </c>
      <c r="D82" s="3236">
        <v>9639</v>
      </c>
      <c r="E82" s="3236">
        <v>38556</v>
      </c>
      <c r="F82" s="3236" t="s">
        <v>3290</v>
      </c>
      <c r="G82" s="3236" t="s">
        <v>3195</v>
      </c>
      <c r="H82" s="3236" t="s">
        <v>3258</v>
      </c>
      <c r="I82" s="3236">
        <v>0</v>
      </c>
      <c r="J82" s="3236" t="s">
        <v>3333</v>
      </c>
      <c r="K82" s="3236" t="s">
        <v>3333</v>
      </c>
      <c r="L82" s="3236">
        <v>1298</v>
      </c>
      <c r="M82" s="3236">
        <v>1298</v>
      </c>
      <c r="N82" s="3236">
        <v>336.65</v>
      </c>
      <c r="O82" s="3236">
        <v>0</v>
      </c>
      <c r="P82" s="3236" t="s">
        <v>3338</v>
      </c>
      <c r="Q82" s="3236" t="s">
        <v>3199</v>
      </c>
      <c r="R82" s="3237">
        <f t="shared" si="0"/>
        <v>1347</v>
      </c>
    </row>
    <row r="83" spans="1:18" s="3235" customFormat="1">
      <c r="A83" s="3234" t="s">
        <v>3558</v>
      </c>
      <c r="B83" s="3234" t="s">
        <v>3193</v>
      </c>
      <c r="C83" s="3234" t="s">
        <v>3003</v>
      </c>
      <c r="D83" s="3234">
        <v>10013</v>
      </c>
      <c r="E83" s="3234">
        <v>22028.6</v>
      </c>
      <c r="F83" s="3234" t="s">
        <v>3274</v>
      </c>
      <c r="G83" s="3234" t="s">
        <v>3195</v>
      </c>
      <c r="H83" s="3234" t="s">
        <v>3258</v>
      </c>
      <c r="I83" s="3234">
        <v>0</v>
      </c>
      <c r="J83" s="3234" t="s">
        <v>3333</v>
      </c>
      <c r="K83" s="3234" t="s">
        <v>3333</v>
      </c>
      <c r="L83" s="3234">
        <v>947</v>
      </c>
      <c r="M83" s="3234">
        <v>947</v>
      </c>
      <c r="N83" s="3234">
        <v>429.9</v>
      </c>
      <c r="O83" s="3234">
        <v>0</v>
      </c>
      <c r="P83" s="3234" t="s">
        <v>3339</v>
      </c>
      <c r="Q83" s="3234" t="s">
        <v>3207</v>
      </c>
      <c r="R83" s="3235">
        <f t="shared" si="0"/>
        <v>946</v>
      </c>
    </row>
    <row r="84" spans="1:18" s="3232" customFormat="1">
      <c r="A84" s="3229" t="s">
        <v>3340</v>
      </c>
      <c r="B84" s="3229" t="s">
        <v>3193</v>
      </c>
      <c r="C84" s="3229" t="s">
        <v>3003</v>
      </c>
      <c r="D84" s="3229">
        <v>9621</v>
      </c>
      <c r="E84" s="3229">
        <v>38484</v>
      </c>
      <c r="F84" s="3229" t="s">
        <v>3290</v>
      </c>
      <c r="G84" s="3229" t="s">
        <v>3195</v>
      </c>
      <c r="H84" s="3229" t="s">
        <v>3258</v>
      </c>
      <c r="I84" s="3229">
        <v>0</v>
      </c>
      <c r="J84" s="3229" t="s">
        <v>3333</v>
      </c>
      <c r="K84" s="3229" t="s">
        <v>3333</v>
      </c>
      <c r="L84" s="3229">
        <v>1294</v>
      </c>
      <c r="M84" s="3229">
        <v>1294</v>
      </c>
      <c r="N84" s="3229">
        <v>336.24</v>
      </c>
      <c r="O84" s="3229">
        <v>0</v>
      </c>
      <c r="P84" s="3229" t="s">
        <v>3341</v>
      </c>
      <c r="Q84" s="3229" t="s">
        <v>3207</v>
      </c>
      <c r="R84" s="3232">
        <f t="shared" si="0"/>
        <v>1345</v>
      </c>
    </row>
    <row r="85" spans="1:18" s="3235" customFormat="1">
      <c r="A85" s="3234" t="s">
        <v>3559</v>
      </c>
      <c r="B85" s="3234" t="s">
        <v>3193</v>
      </c>
      <c r="C85" s="3234" t="s">
        <v>3003</v>
      </c>
      <c r="D85" s="3234">
        <v>20050</v>
      </c>
      <c r="E85" s="3234">
        <v>40100</v>
      </c>
      <c r="F85" s="3234" t="s">
        <v>3342</v>
      </c>
      <c r="G85" s="3234" t="s">
        <v>3195</v>
      </c>
      <c r="H85" s="3234" t="s">
        <v>3258</v>
      </c>
      <c r="I85" s="3234">
        <v>0</v>
      </c>
      <c r="J85" s="3234" t="s">
        <v>3343</v>
      </c>
      <c r="K85" s="3234" t="s">
        <v>3343</v>
      </c>
      <c r="L85" s="3234">
        <v>1895</v>
      </c>
      <c r="M85" s="3234">
        <v>1895</v>
      </c>
      <c r="N85" s="3234">
        <v>472.57</v>
      </c>
      <c r="O85" s="3234">
        <v>0</v>
      </c>
      <c r="P85" s="3234" t="s">
        <v>3344</v>
      </c>
      <c r="Q85" s="3234" t="s">
        <v>3207</v>
      </c>
      <c r="R85" s="3235">
        <f t="shared" si="0"/>
        <v>945</v>
      </c>
    </row>
    <row r="86" spans="1:18" s="3232" customFormat="1">
      <c r="A86" s="3229" t="s">
        <v>3345</v>
      </c>
      <c r="B86" s="3229" t="s">
        <v>3193</v>
      </c>
      <c r="C86" s="3229" t="s">
        <v>3003</v>
      </c>
      <c r="D86" s="3229">
        <v>10016</v>
      </c>
      <c r="E86" s="3229">
        <v>40064</v>
      </c>
      <c r="F86" s="3229" t="s">
        <v>3290</v>
      </c>
      <c r="G86" s="3229" t="s">
        <v>3195</v>
      </c>
      <c r="H86" s="3229" t="s">
        <v>3258</v>
      </c>
      <c r="I86" s="3229">
        <v>0</v>
      </c>
      <c r="J86" s="3229" t="s">
        <v>3346</v>
      </c>
      <c r="K86" s="3229" t="s">
        <v>3346</v>
      </c>
      <c r="L86" s="3229">
        <v>1347</v>
      </c>
      <c r="M86" s="3229">
        <v>1347</v>
      </c>
      <c r="N86" s="3229">
        <v>336.21</v>
      </c>
      <c r="O86" s="3229">
        <v>0</v>
      </c>
      <c r="P86" s="3229" t="s">
        <v>3347</v>
      </c>
      <c r="Q86" s="3229" t="s">
        <v>3207</v>
      </c>
      <c r="R86" s="3232">
        <f t="shared" si="0"/>
        <v>1345</v>
      </c>
    </row>
    <row r="87" spans="1:18">
      <c r="A87" s="3230" t="s">
        <v>3348</v>
      </c>
      <c r="B87" s="3230" t="s">
        <v>3193</v>
      </c>
      <c r="C87" s="3230" t="s">
        <v>3003</v>
      </c>
      <c r="D87" s="3230">
        <v>10116</v>
      </c>
      <c r="E87" s="3230">
        <v>40464</v>
      </c>
      <c r="F87" s="3230" t="s">
        <v>3290</v>
      </c>
      <c r="G87" s="3230" t="s">
        <v>3195</v>
      </c>
      <c r="H87" s="3230" t="s">
        <v>3258</v>
      </c>
      <c r="I87" s="3230">
        <v>0</v>
      </c>
      <c r="J87" s="3230" t="s">
        <v>3346</v>
      </c>
      <c r="K87" s="3230" t="s">
        <v>3346</v>
      </c>
      <c r="L87" s="3230">
        <v>1360</v>
      </c>
      <c r="M87" s="3230">
        <v>1360</v>
      </c>
      <c r="N87" s="3230">
        <v>336.1</v>
      </c>
      <c r="O87" s="3230">
        <v>0</v>
      </c>
      <c r="P87" s="3230" t="s">
        <v>3349</v>
      </c>
      <c r="Q87" s="3230" t="s">
        <v>3207</v>
      </c>
      <c r="R87">
        <f t="shared" si="0"/>
        <v>1344</v>
      </c>
    </row>
    <row r="88" spans="1:18">
      <c r="A88" s="3230" t="s">
        <v>3350</v>
      </c>
      <c r="B88" s="3230" t="s">
        <v>3193</v>
      </c>
      <c r="C88" s="3230" t="s">
        <v>3003</v>
      </c>
      <c r="D88" s="3230">
        <v>26703</v>
      </c>
      <c r="E88" s="3230">
        <v>58746.6</v>
      </c>
      <c r="F88" s="3230" t="s">
        <v>3351</v>
      </c>
      <c r="G88" s="3230" t="s">
        <v>3195</v>
      </c>
      <c r="H88" s="3230" t="s">
        <v>3003</v>
      </c>
      <c r="I88" s="3230">
        <v>0</v>
      </c>
      <c r="J88" s="3230" t="s">
        <v>3352</v>
      </c>
      <c r="K88" s="3230" t="s">
        <v>3352</v>
      </c>
      <c r="L88" s="3230">
        <v>2524</v>
      </c>
      <c r="M88" s="3230">
        <v>2524</v>
      </c>
      <c r="N88" s="3230">
        <v>429.64</v>
      </c>
      <c r="O88" s="3230">
        <v>0</v>
      </c>
      <c r="P88" s="3230" t="s">
        <v>3353</v>
      </c>
      <c r="Q88" s="3230" t="s">
        <v>3354</v>
      </c>
      <c r="R88">
        <f t="shared" si="0"/>
        <v>945</v>
      </c>
    </row>
    <row r="89" spans="1:18">
      <c r="A89" s="3230" t="s">
        <v>3355</v>
      </c>
      <c r="B89" s="3230" t="s">
        <v>3193</v>
      </c>
      <c r="C89" s="3230" t="s">
        <v>3003</v>
      </c>
      <c r="D89" s="3230">
        <v>10016</v>
      </c>
      <c r="E89" s="3230">
        <v>40064</v>
      </c>
      <c r="F89" s="3230" t="s">
        <v>3356</v>
      </c>
      <c r="G89" s="3230" t="s">
        <v>3195</v>
      </c>
      <c r="H89" s="3230" t="s">
        <v>3003</v>
      </c>
      <c r="I89" s="3230">
        <v>0</v>
      </c>
      <c r="J89" s="3230" t="s">
        <v>3352</v>
      </c>
      <c r="K89" s="3230" t="s">
        <v>3352</v>
      </c>
      <c r="L89" s="3230">
        <v>1347</v>
      </c>
      <c r="M89" s="3230">
        <v>1353</v>
      </c>
      <c r="N89" s="3230">
        <v>337.71</v>
      </c>
      <c r="O89" s="3230">
        <v>0.45</v>
      </c>
      <c r="P89" s="3230" t="s">
        <v>3357</v>
      </c>
      <c r="Q89" s="3230" t="s">
        <v>3354</v>
      </c>
      <c r="R89">
        <f t="shared" si="0"/>
        <v>1351</v>
      </c>
    </row>
    <row r="90" spans="1:18">
      <c r="A90" s="3230" t="s">
        <v>3358</v>
      </c>
      <c r="B90" s="3230" t="s">
        <v>3193</v>
      </c>
      <c r="C90" s="3230" t="s">
        <v>3003</v>
      </c>
      <c r="D90" s="3230">
        <v>9352</v>
      </c>
      <c r="E90" s="3230">
        <v>20574.400000000001</v>
      </c>
      <c r="F90" s="3230" t="s">
        <v>3359</v>
      </c>
      <c r="G90" s="3230" t="s">
        <v>3195</v>
      </c>
      <c r="H90" s="3230" t="s">
        <v>3003</v>
      </c>
      <c r="I90" s="3230">
        <v>0</v>
      </c>
      <c r="J90" s="3230" t="s">
        <v>3352</v>
      </c>
      <c r="K90" s="3230" t="s">
        <v>3352</v>
      </c>
      <c r="L90" s="3230">
        <v>1254</v>
      </c>
      <c r="M90" s="3230">
        <v>1254</v>
      </c>
      <c r="N90" s="3230">
        <v>609.5</v>
      </c>
      <c r="O90" s="3230">
        <v>0</v>
      </c>
      <c r="P90" s="3230" t="s">
        <v>3360</v>
      </c>
      <c r="Q90" s="3230" t="s">
        <v>3354</v>
      </c>
      <c r="R90">
        <f t="shared" si="0"/>
        <v>1341</v>
      </c>
    </row>
    <row r="91" spans="1:18">
      <c r="A91" s="3230" t="s">
        <v>3361</v>
      </c>
      <c r="B91" s="3230" t="s">
        <v>3193</v>
      </c>
      <c r="C91" s="3230" t="s">
        <v>3003</v>
      </c>
      <c r="D91" s="3230">
        <v>13326</v>
      </c>
      <c r="E91" s="3230">
        <v>31982.400000000001</v>
      </c>
      <c r="F91" s="3230" t="s">
        <v>3362</v>
      </c>
      <c r="G91" s="3230" t="s">
        <v>3195</v>
      </c>
      <c r="H91" s="3230" t="s">
        <v>3363</v>
      </c>
      <c r="I91" s="3230">
        <v>0</v>
      </c>
      <c r="J91" s="3230" t="s">
        <v>3364</v>
      </c>
      <c r="K91" s="3230" t="s">
        <v>3364</v>
      </c>
      <c r="L91" s="3230">
        <v>707</v>
      </c>
      <c r="M91" s="3230">
        <v>707</v>
      </c>
      <c r="N91" s="3230">
        <v>221.06</v>
      </c>
      <c r="O91" s="3230">
        <v>0</v>
      </c>
      <c r="P91" s="3230" t="s">
        <v>3365</v>
      </c>
      <c r="Q91" s="3230" t="s">
        <v>3354</v>
      </c>
      <c r="R91">
        <f t="shared" si="0"/>
        <v>531</v>
      </c>
    </row>
    <row r="92" spans="1:18">
      <c r="A92" s="3230" t="s">
        <v>3366</v>
      </c>
      <c r="B92" s="3230" t="s">
        <v>3193</v>
      </c>
      <c r="C92" s="3230" t="s">
        <v>3003</v>
      </c>
      <c r="D92" s="3230">
        <v>16759</v>
      </c>
      <c r="E92" s="3230">
        <v>50277</v>
      </c>
      <c r="F92" s="3230" t="s">
        <v>3367</v>
      </c>
      <c r="G92" s="3230" t="s">
        <v>3368</v>
      </c>
      <c r="H92" s="3230" t="s">
        <v>3369</v>
      </c>
      <c r="I92" s="3230">
        <v>0</v>
      </c>
      <c r="J92" s="3230" t="s">
        <v>3370</v>
      </c>
      <c r="K92" s="3230" t="s">
        <v>3370</v>
      </c>
      <c r="L92" s="3230">
        <v>887</v>
      </c>
      <c r="M92" s="3230">
        <v>887</v>
      </c>
      <c r="N92" s="3230">
        <v>176.42</v>
      </c>
      <c r="O92" s="3230">
        <v>0</v>
      </c>
      <c r="P92" s="3230" t="s">
        <v>3371</v>
      </c>
      <c r="Q92" s="3230" t="s">
        <v>3354</v>
      </c>
      <c r="R92">
        <f t="shared" si="0"/>
        <v>529</v>
      </c>
    </row>
    <row r="93" spans="1:18">
      <c r="A93" s="3230" t="s">
        <v>3372</v>
      </c>
      <c r="B93" s="3230" t="s">
        <v>3193</v>
      </c>
      <c r="C93" s="3230" t="s">
        <v>3003</v>
      </c>
      <c r="D93" s="3230">
        <v>46365</v>
      </c>
      <c r="E93" s="3230">
        <v>102003</v>
      </c>
      <c r="F93" s="3230" t="s">
        <v>3373</v>
      </c>
      <c r="G93" s="3230" t="s">
        <v>3195</v>
      </c>
      <c r="H93" s="3230" t="s">
        <v>3374</v>
      </c>
      <c r="I93" s="3230">
        <v>0</v>
      </c>
      <c r="J93" s="3230" t="s">
        <v>3370</v>
      </c>
      <c r="K93" s="3230" t="s">
        <v>3370</v>
      </c>
      <c r="L93" s="3230">
        <v>4382</v>
      </c>
      <c r="M93" s="3230">
        <v>4382</v>
      </c>
      <c r="N93" s="3230">
        <v>429.6</v>
      </c>
      <c r="O93" s="3230">
        <v>0</v>
      </c>
      <c r="P93" s="3230" t="s">
        <v>3375</v>
      </c>
      <c r="Q93" s="3230" t="s">
        <v>3354</v>
      </c>
      <c r="R93">
        <f t="shared" si="0"/>
        <v>945</v>
      </c>
    </row>
    <row r="94" spans="1:18">
      <c r="A94" s="3230" t="s">
        <v>3376</v>
      </c>
      <c r="B94" s="3230" t="s">
        <v>3193</v>
      </c>
      <c r="C94" s="3230" t="s">
        <v>3003</v>
      </c>
      <c r="D94" s="3230">
        <v>294186</v>
      </c>
      <c r="E94" s="3230">
        <v>706046.4</v>
      </c>
      <c r="F94" s="3230" t="s">
        <v>3362</v>
      </c>
      <c r="G94" s="3230" t="s">
        <v>3195</v>
      </c>
      <c r="H94" s="3230" t="s">
        <v>3377</v>
      </c>
      <c r="I94" s="3230">
        <v>0</v>
      </c>
      <c r="J94" s="3230" t="s">
        <v>3370</v>
      </c>
      <c r="K94" s="3230" t="s">
        <v>3370</v>
      </c>
      <c r="L94" s="3230">
        <v>15651</v>
      </c>
      <c r="M94" s="3230">
        <v>15651</v>
      </c>
      <c r="N94" s="3230">
        <v>221.67</v>
      </c>
      <c r="O94" s="3230">
        <v>0</v>
      </c>
      <c r="P94" s="3230" t="s">
        <v>3378</v>
      </c>
      <c r="Q94" s="3230" t="s">
        <v>3354</v>
      </c>
      <c r="R94">
        <f t="shared" si="0"/>
        <v>532</v>
      </c>
    </row>
    <row r="95" spans="1:18">
      <c r="A95" s="3230" t="s">
        <v>3379</v>
      </c>
      <c r="B95" s="3230" t="s">
        <v>3193</v>
      </c>
      <c r="C95" s="3230" t="s">
        <v>3003</v>
      </c>
      <c r="D95" s="3230">
        <v>41378</v>
      </c>
      <c r="E95" s="3230">
        <v>99307.199999999997</v>
      </c>
      <c r="F95" s="3230" t="s">
        <v>3362</v>
      </c>
      <c r="G95" s="3230" t="s">
        <v>3195</v>
      </c>
      <c r="H95" s="3230" t="s">
        <v>3380</v>
      </c>
      <c r="I95" s="3230">
        <v>0</v>
      </c>
      <c r="J95" s="3230" t="s">
        <v>3381</v>
      </c>
      <c r="K95" s="3230" t="s">
        <v>3381</v>
      </c>
      <c r="L95" s="3230">
        <v>3129</v>
      </c>
      <c r="M95" s="3230">
        <v>3129</v>
      </c>
      <c r="N95" s="3230">
        <v>315.08</v>
      </c>
      <c r="O95" s="3230">
        <v>0</v>
      </c>
      <c r="P95" s="3230" t="s">
        <v>3382</v>
      </c>
      <c r="Q95" s="3230" t="s">
        <v>3354</v>
      </c>
      <c r="R95">
        <f t="shared" si="0"/>
        <v>756</v>
      </c>
    </row>
    <row r="96" spans="1:18">
      <c r="A96" s="3230" t="s">
        <v>3383</v>
      </c>
      <c r="B96" s="3230" t="s">
        <v>3193</v>
      </c>
      <c r="C96" s="3230" t="s">
        <v>3003</v>
      </c>
      <c r="D96" s="3230">
        <v>19931</v>
      </c>
      <c r="E96" s="3230">
        <v>51820.6</v>
      </c>
      <c r="F96" s="3230" t="s">
        <v>3384</v>
      </c>
      <c r="G96" s="3230" t="s">
        <v>3195</v>
      </c>
      <c r="H96" s="3230" t="s">
        <v>3385</v>
      </c>
      <c r="I96" s="3230">
        <v>0</v>
      </c>
      <c r="J96" s="3230" t="s">
        <v>3381</v>
      </c>
      <c r="K96" s="3230" t="s">
        <v>3381</v>
      </c>
      <c r="L96" s="3230">
        <v>1519</v>
      </c>
      <c r="M96" s="3230">
        <v>1519</v>
      </c>
      <c r="N96" s="3230">
        <v>293.13</v>
      </c>
      <c r="O96" s="3230">
        <v>0</v>
      </c>
      <c r="P96" s="3230" t="s">
        <v>3386</v>
      </c>
      <c r="Q96" s="3230" t="s">
        <v>3354</v>
      </c>
      <c r="R96">
        <f t="shared" ref="R96:R131" si="1">ROUND(M96/D96*10000,0)</f>
        <v>762</v>
      </c>
    </row>
    <row r="97" spans="1:18">
      <c r="A97" s="3230" t="s">
        <v>3387</v>
      </c>
      <c r="B97" s="3230" t="s">
        <v>3193</v>
      </c>
      <c r="C97" s="3230" t="s">
        <v>3003</v>
      </c>
      <c r="D97" s="3230">
        <v>29451</v>
      </c>
      <c r="E97" s="3230">
        <v>88353</v>
      </c>
      <c r="F97" s="3230" t="s">
        <v>3367</v>
      </c>
      <c r="G97" s="3230" t="s">
        <v>3195</v>
      </c>
      <c r="H97" s="3230" t="s">
        <v>3388</v>
      </c>
      <c r="I97" s="3230">
        <v>0</v>
      </c>
      <c r="J97" s="3230" t="s">
        <v>3381</v>
      </c>
      <c r="K97" s="3230" t="s">
        <v>3381</v>
      </c>
      <c r="L97" s="3230">
        <v>1561</v>
      </c>
      <c r="M97" s="3230">
        <v>1561</v>
      </c>
      <c r="N97" s="3230">
        <v>176.68</v>
      </c>
      <c r="O97" s="3230">
        <v>0</v>
      </c>
      <c r="P97" s="3230" t="s">
        <v>3389</v>
      </c>
      <c r="Q97" s="3230" t="s">
        <v>3354</v>
      </c>
      <c r="R97">
        <f t="shared" si="1"/>
        <v>530</v>
      </c>
    </row>
    <row r="98" spans="1:18">
      <c r="A98" s="3230" t="s">
        <v>3390</v>
      </c>
      <c r="B98" s="3230" t="s">
        <v>3193</v>
      </c>
      <c r="C98" s="3230" t="s">
        <v>3003</v>
      </c>
      <c r="D98" s="3230">
        <v>11525</v>
      </c>
      <c r="E98" s="3230">
        <v>27660</v>
      </c>
      <c r="F98" s="3230" t="s">
        <v>3362</v>
      </c>
      <c r="G98" s="3230" t="s">
        <v>3195</v>
      </c>
      <c r="H98" s="3230" t="s">
        <v>3391</v>
      </c>
      <c r="I98" s="3230">
        <v>0</v>
      </c>
      <c r="J98" s="3230" t="s">
        <v>3381</v>
      </c>
      <c r="K98" s="3230" t="s">
        <v>3381</v>
      </c>
      <c r="L98" s="3230">
        <v>872</v>
      </c>
      <c r="M98" s="3230">
        <v>872</v>
      </c>
      <c r="N98" s="3230">
        <v>315.26</v>
      </c>
      <c r="O98" s="3230">
        <v>0</v>
      </c>
      <c r="P98" s="3230" t="s">
        <v>3392</v>
      </c>
      <c r="Q98" s="3230" t="s">
        <v>3354</v>
      </c>
      <c r="R98">
        <f t="shared" si="1"/>
        <v>757</v>
      </c>
    </row>
    <row r="99" spans="1:18">
      <c r="A99" s="3230" t="s">
        <v>3393</v>
      </c>
      <c r="B99" s="3230" t="s">
        <v>3193</v>
      </c>
      <c r="C99" s="3230" t="s">
        <v>3003</v>
      </c>
      <c r="D99" s="3230">
        <v>53335</v>
      </c>
      <c r="E99" s="3230">
        <v>128004</v>
      </c>
      <c r="F99" s="3230" t="s">
        <v>3362</v>
      </c>
      <c r="G99" s="3230" t="s">
        <v>3195</v>
      </c>
      <c r="H99" s="3230" t="s">
        <v>3394</v>
      </c>
      <c r="I99" s="3230">
        <v>0</v>
      </c>
      <c r="J99" s="3230" t="s">
        <v>3381</v>
      </c>
      <c r="K99" s="3230" t="s">
        <v>3381</v>
      </c>
      <c r="L99" s="3230">
        <v>2822</v>
      </c>
      <c r="M99" s="3230">
        <v>2822</v>
      </c>
      <c r="N99" s="3230">
        <v>220.46</v>
      </c>
      <c r="O99" s="3230">
        <v>0</v>
      </c>
      <c r="P99" s="3230" t="s">
        <v>3395</v>
      </c>
      <c r="Q99" s="3230" t="s">
        <v>3354</v>
      </c>
      <c r="R99">
        <f t="shared" si="1"/>
        <v>529</v>
      </c>
    </row>
    <row r="100" spans="1:18">
      <c r="A100" s="3230" t="s">
        <v>3396</v>
      </c>
      <c r="B100" s="3230" t="s">
        <v>3193</v>
      </c>
      <c r="C100" s="3230" t="s">
        <v>3003</v>
      </c>
      <c r="D100" s="3230">
        <v>135772</v>
      </c>
      <c r="E100" s="3230">
        <v>325852.79999999999</v>
      </c>
      <c r="F100" s="3230" t="s">
        <v>3362</v>
      </c>
      <c r="G100" s="3230" t="s">
        <v>3195</v>
      </c>
      <c r="H100" s="3230" t="s">
        <v>3397</v>
      </c>
      <c r="I100" s="3230">
        <v>0</v>
      </c>
      <c r="J100" s="3230" t="s">
        <v>3381</v>
      </c>
      <c r="K100" s="3230" t="s">
        <v>3381</v>
      </c>
      <c r="L100" s="3230">
        <v>4318</v>
      </c>
      <c r="M100" s="3230">
        <v>4318</v>
      </c>
      <c r="N100" s="3230">
        <v>132.51</v>
      </c>
      <c r="O100" s="3230">
        <v>0</v>
      </c>
      <c r="P100" s="3230" t="s">
        <v>3398</v>
      </c>
      <c r="Q100" s="3230" t="s">
        <v>3354</v>
      </c>
      <c r="R100">
        <f t="shared" si="1"/>
        <v>318</v>
      </c>
    </row>
    <row r="101" spans="1:18">
      <c r="A101" s="3230" t="s">
        <v>3399</v>
      </c>
      <c r="B101" s="3230" t="s">
        <v>3193</v>
      </c>
      <c r="C101" s="3230" t="s">
        <v>3003</v>
      </c>
      <c r="D101" s="3230">
        <v>12083</v>
      </c>
      <c r="E101" s="3230">
        <v>48332</v>
      </c>
      <c r="F101" s="3230" t="s">
        <v>3400</v>
      </c>
      <c r="G101" s="3230" t="s">
        <v>3195</v>
      </c>
      <c r="H101" s="3230" t="s">
        <v>3401</v>
      </c>
      <c r="I101" s="3230">
        <v>0</v>
      </c>
      <c r="J101" s="3230" t="s">
        <v>3402</v>
      </c>
      <c r="K101" s="3230" t="s">
        <v>3402</v>
      </c>
      <c r="L101" s="3230">
        <v>2468</v>
      </c>
      <c r="M101" s="3230">
        <v>2468</v>
      </c>
      <c r="N101" s="3230">
        <v>510.63</v>
      </c>
      <c r="O101" s="3230">
        <v>0</v>
      </c>
      <c r="P101" s="3230" t="s">
        <v>3403</v>
      </c>
      <c r="Q101" s="3230" t="s">
        <v>3354</v>
      </c>
      <c r="R101">
        <f t="shared" si="1"/>
        <v>2043</v>
      </c>
    </row>
    <row r="102" spans="1:18">
      <c r="A102" s="3230" t="s">
        <v>3404</v>
      </c>
      <c r="B102" s="3230" t="s">
        <v>3193</v>
      </c>
      <c r="C102" s="3230" t="s">
        <v>3003</v>
      </c>
      <c r="D102" s="3230">
        <v>60248</v>
      </c>
      <c r="E102" s="3230">
        <v>132545.60000000001</v>
      </c>
      <c r="F102" s="3230" t="s">
        <v>3405</v>
      </c>
      <c r="G102" s="3230" t="s">
        <v>3195</v>
      </c>
      <c r="H102" s="3230" t="s">
        <v>3210</v>
      </c>
      <c r="I102" s="3230">
        <v>0</v>
      </c>
      <c r="J102" s="3230" t="s">
        <v>3402</v>
      </c>
      <c r="K102" s="3230" t="s">
        <v>3402</v>
      </c>
      <c r="L102" s="3230">
        <v>7610</v>
      </c>
      <c r="M102" s="3230">
        <v>7610</v>
      </c>
      <c r="N102" s="3230">
        <v>574.14</v>
      </c>
      <c r="O102" s="3230">
        <v>0</v>
      </c>
      <c r="P102" s="3230" t="s">
        <v>3406</v>
      </c>
      <c r="Q102" s="3230" t="s">
        <v>3354</v>
      </c>
      <c r="R102">
        <f t="shared" si="1"/>
        <v>1263</v>
      </c>
    </row>
    <row r="103" spans="1:18">
      <c r="A103" s="3230" t="s">
        <v>3407</v>
      </c>
      <c r="B103" s="3230" t="s">
        <v>3193</v>
      </c>
      <c r="C103" s="3230" t="s">
        <v>3003</v>
      </c>
      <c r="D103" s="3230">
        <v>9937</v>
      </c>
      <c r="E103" s="3230">
        <v>21861.4</v>
      </c>
      <c r="F103" s="3230" t="s">
        <v>3373</v>
      </c>
      <c r="G103" s="3230" t="s">
        <v>3195</v>
      </c>
      <c r="H103" s="3230" t="s">
        <v>3408</v>
      </c>
      <c r="I103" s="3230">
        <v>0</v>
      </c>
      <c r="J103" s="3230" t="s">
        <v>3409</v>
      </c>
      <c r="K103" s="3230" t="s">
        <v>3409</v>
      </c>
      <c r="L103" s="3230">
        <v>940</v>
      </c>
      <c r="M103" s="3230">
        <v>940</v>
      </c>
      <c r="N103" s="3230">
        <v>429.98</v>
      </c>
      <c r="O103" s="3230">
        <v>0</v>
      </c>
      <c r="P103" s="3230" t="s">
        <v>3410</v>
      </c>
      <c r="Q103" s="3230" t="s">
        <v>3354</v>
      </c>
      <c r="R103">
        <f t="shared" si="1"/>
        <v>946</v>
      </c>
    </row>
    <row r="104" spans="1:18">
      <c r="A104" s="3230" t="s">
        <v>3411</v>
      </c>
      <c r="B104" s="3230" t="s">
        <v>3193</v>
      </c>
      <c r="C104" s="3230" t="s">
        <v>3003</v>
      </c>
      <c r="D104" s="3230">
        <v>33334</v>
      </c>
      <c r="E104" s="3230">
        <v>73334.8</v>
      </c>
      <c r="F104" s="3230" t="s">
        <v>3373</v>
      </c>
      <c r="G104" s="3230" t="s">
        <v>3195</v>
      </c>
      <c r="H104" s="3230" t="s">
        <v>3412</v>
      </c>
      <c r="I104" s="3230">
        <v>0</v>
      </c>
      <c r="J104" s="3230" t="s">
        <v>3409</v>
      </c>
      <c r="K104" s="3230" t="s">
        <v>3409</v>
      </c>
      <c r="L104" s="3230">
        <v>3151</v>
      </c>
      <c r="M104" s="3230">
        <v>3151</v>
      </c>
      <c r="N104" s="3230">
        <v>429.67</v>
      </c>
      <c r="O104" s="3230">
        <v>0</v>
      </c>
      <c r="P104" s="3230" t="s">
        <v>3413</v>
      </c>
      <c r="Q104" s="3230" t="s">
        <v>3354</v>
      </c>
      <c r="R104">
        <f t="shared" si="1"/>
        <v>945</v>
      </c>
    </row>
    <row r="105" spans="1:18">
      <c r="A105" s="3230" t="s">
        <v>3414</v>
      </c>
      <c r="B105" s="3230" t="s">
        <v>3193</v>
      </c>
      <c r="C105" s="3230" t="s">
        <v>3003</v>
      </c>
      <c r="D105" s="3230">
        <v>12060</v>
      </c>
      <c r="E105" s="3230">
        <v>48240</v>
      </c>
      <c r="F105" s="3230" t="s">
        <v>3415</v>
      </c>
      <c r="G105" s="3230" t="s">
        <v>3195</v>
      </c>
      <c r="H105" s="3230" t="s">
        <v>3416</v>
      </c>
      <c r="I105" s="3230">
        <v>0</v>
      </c>
      <c r="J105" s="3230" t="s">
        <v>3409</v>
      </c>
      <c r="K105" s="3230" t="s">
        <v>3409</v>
      </c>
      <c r="L105" s="3230">
        <v>1570</v>
      </c>
      <c r="M105" s="3230">
        <v>1570</v>
      </c>
      <c r="N105" s="3230">
        <v>325.45999999999998</v>
      </c>
      <c r="O105" s="3230">
        <v>0</v>
      </c>
      <c r="P105" s="3230" t="s">
        <v>3417</v>
      </c>
      <c r="Q105" s="3230" t="s">
        <v>3354</v>
      </c>
      <c r="R105">
        <f t="shared" si="1"/>
        <v>1302</v>
      </c>
    </row>
    <row r="106" spans="1:18">
      <c r="A106" s="3230" t="s">
        <v>3418</v>
      </c>
      <c r="B106" s="3230" t="s">
        <v>3193</v>
      </c>
      <c r="C106" s="3230" t="s">
        <v>3003</v>
      </c>
      <c r="D106" s="3230">
        <v>16845</v>
      </c>
      <c r="E106" s="3230">
        <v>40428</v>
      </c>
      <c r="F106" s="3230" t="s">
        <v>3362</v>
      </c>
      <c r="G106" s="3230" t="s">
        <v>3368</v>
      </c>
      <c r="H106" s="3230" t="s">
        <v>3419</v>
      </c>
      <c r="I106" s="3230">
        <v>0</v>
      </c>
      <c r="J106" s="3230" t="s">
        <v>3409</v>
      </c>
      <c r="K106" s="3230" t="s">
        <v>3409</v>
      </c>
      <c r="L106" s="3230">
        <v>895</v>
      </c>
      <c r="M106" s="3230">
        <v>895</v>
      </c>
      <c r="N106" s="3230">
        <v>221.38</v>
      </c>
      <c r="O106" s="3230">
        <v>0</v>
      </c>
      <c r="P106" s="3230" t="s">
        <v>3420</v>
      </c>
      <c r="Q106" s="3230" t="s">
        <v>3354</v>
      </c>
      <c r="R106">
        <f t="shared" si="1"/>
        <v>531</v>
      </c>
    </row>
    <row r="107" spans="1:18">
      <c r="A107" s="3230" t="s">
        <v>3421</v>
      </c>
      <c r="B107" s="3230" t="s">
        <v>3193</v>
      </c>
      <c r="C107" s="3230" t="s">
        <v>3003</v>
      </c>
      <c r="D107" s="3230">
        <v>246525</v>
      </c>
      <c r="E107" s="3230">
        <v>591660</v>
      </c>
      <c r="F107" s="3230">
        <v>2.4</v>
      </c>
      <c r="G107" s="3230" t="s">
        <v>3195</v>
      </c>
      <c r="H107" s="3230" t="s">
        <v>3388</v>
      </c>
      <c r="I107" s="3230">
        <v>0</v>
      </c>
      <c r="J107" s="3230" t="s">
        <v>3409</v>
      </c>
      <c r="K107" s="3230" t="s">
        <v>3409</v>
      </c>
      <c r="L107" s="3230">
        <v>13140</v>
      </c>
      <c r="M107" s="3230">
        <v>13140</v>
      </c>
      <c r="N107" s="3230">
        <v>222.09</v>
      </c>
      <c r="O107" s="3230">
        <v>0</v>
      </c>
      <c r="P107" s="3230" t="s">
        <v>3198</v>
      </c>
      <c r="Q107" s="3230" t="s">
        <v>3354</v>
      </c>
      <c r="R107">
        <f t="shared" si="1"/>
        <v>533</v>
      </c>
    </row>
    <row r="108" spans="1:18">
      <c r="A108" s="3230" t="s">
        <v>3422</v>
      </c>
      <c r="B108" s="3230" t="s">
        <v>3193</v>
      </c>
      <c r="C108" s="3230" t="s">
        <v>3003</v>
      </c>
      <c r="D108" s="3230">
        <v>3850</v>
      </c>
      <c r="E108" s="3230">
        <v>9240</v>
      </c>
      <c r="F108" s="3230" t="s">
        <v>3362</v>
      </c>
      <c r="G108" s="3230" t="s">
        <v>3195</v>
      </c>
      <c r="H108" s="3230" t="s">
        <v>3416</v>
      </c>
      <c r="I108" s="3230">
        <v>0</v>
      </c>
      <c r="J108" s="3230" t="s">
        <v>3409</v>
      </c>
      <c r="K108" s="3230" t="s">
        <v>3409</v>
      </c>
      <c r="L108" s="3230">
        <v>204</v>
      </c>
      <c r="M108" s="3230">
        <v>204</v>
      </c>
      <c r="N108" s="3230">
        <v>220.78</v>
      </c>
      <c r="O108" s="3230">
        <v>0</v>
      </c>
      <c r="P108" s="3230" t="s">
        <v>3423</v>
      </c>
      <c r="Q108" s="3230" t="s">
        <v>3354</v>
      </c>
      <c r="R108">
        <f t="shared" si="1"/>
        <v>530</v>
      </c>
    </row>
    <row r="109" spans="1:18">
      <c r="A109" s="3230" t="s">
        <v>3424</v>
      </c>
      <c r="B109" s="3230" t="s">
        <v>3193</v>
      </c>
      <c r="C109" s="3230" t="s">
        <v>3003</v>
      </c>
      <c r="D109" s="3230">
        <v>8617</v>
      </c>
      <c r="E109" s="3230">
        <v>34468</v>
      </c>
      <c r="F109" s="3230" t="s">
        <v>3415</v>
      </c>
      <c r="G109" s="3230" t="s">
        <v>3195</v>
      </c>
      <c r="H109" s="3230" t="s">
        <v>3425</v>
      </c>
      <c r="I109" s="3230">
        <v>0</v>
      </c>
      <c r="J109" s="3230" t="s">
        <v>3409</v>
      </c>
      <c r="K109" s="3230" t="s">
        <v>3409</v>
      </c>
      <c r="L109" s="3230">
        <v>1122</v>
      </c>
      <c r="M109" s="3230">
        <v>1122</v>
      </c>
      <c r="N109" s="3230">
        <v>325.52</v>
      </c>
      <c r="O109" s="3230">
        <v>0</v>
      </c>
      <c r="P109" s="3230" t="s">
        <v>3426</v>
      </c>
      <c r="Q109" s="3230" t="s">
        <v>3354</v>
      </c>
      <c r="R109">
        <f t="shared" si="1"/>
        <v>1302</v>
      </c>
    </row>
    <row r="110" spans="1:18">
      <c r="A110" s="3230" t="s">
        <v>3427</v>
      </c>
      <c r="B110" s="3230" t="s">
        <v>3193</v>
      </c>
      <c r="C110" s="3230" t="s">
        <v>3003</v>
      </c>
      <c r="D110" s="3230">
        <v>13333</v>
      </c>
      <c r="E110" s="3230">
        <v>32000</v>
      </c>
      <c r="F110" s="3230">
        <v>2.4</v>
      </c>
      <c r="G110" s="3230" t="s">
        <v>3195</v>
      </c>
      <c r="H110" s="3230" t="s">
        <v>3388</v>
      </c>
      <c r="I110" s="3230">
        <v>0</v>
      </c>
      <c r="J110" s="3230" t="s">
        <v>3409</v>
      </c>
      <c r="K110" s="3230" t="s">
        <v>3409</v>
      </c>
      <c r="L110" s="3230">
        <v>1260</v>
      </c>
      <c r="M110" s="3230">
        <v>1260</v>
      </c>
      <c r="N110" s="3230">
        <v>393.75</v>
      </c>
      <c r="O110" s="3230">
        <v>0</v>
      </c>
      <c r="P110" s="3230" t="s">
        <v>3428</v>
      </c>
      <c r="Q110" s="3230" t="s">
        <v>3354</v>
      </c>
      <c r="R110">
        <f t="shared" si="1"/>
        <v>945</v>
      </c>
    </row>
    <row r="111" spans="1:18">
      <c r="A111" s="3230" t="s">
        <v>3429</v>
      </c>
      <c r="B111" s="3230" t="s">
        <v>3193</v>
      </c>
      <c r="C111" s="3230" t="s">
        <v>3003</v>
      </c>
      <c r="D111" s="3230">
        <v>59284</v>
      </c>
      <c r="E111" s="3230">
        <v>130424.8</v>
      </c>
      <c r="F111" s="3230" t="s">
        <v>3430</v>
      </c>
      <c r="G111" s="3230" t="s">
        <v>3195</v>
      </c>
      <c r="H111" s="3230" t="s">
        <v>3431</v>
      </c>
      <c r="I111" s="3230">
        <v>0</v>
      </c>
      <c r="J111" s="3230" t="s">
        <v>3432</v>
      </c>
      <c r="K111" s="3230" t="s">
        <v>3432</v>
      </c>
      <c r="L111" s="3230">
        <v>8140</v>
      </c>
      <c r="M111" s="3230">
        <v>8140</v>
      </c>
      <c r="N111" s="3230">
        <v>624.11</v>
      </c>
      <c r="O111" s="3230">
        <v>0</v>
      </c>
      <c r="P111" s="3230" t="s">
        <v>3433</v>
      </c>
      <c r="Q111" s="3230" t="s">
        <v>3354</v>
      </c>
      <c r="R111">
        <f t="shared" si="1"/>
        <v>1373</v>
      </c>
    </row>
    <row r="112" spans="1:18">
      <c r="A112" s="3230" t="s">
        <v>3434</v>
      </c>
      <c r="B112" s="3230" t="s">
        <v>3193</v>
      </c>
      <c r="C112" s="3230" t="s">
        <v>3003</v>
      </c>
      <c r="D112" s="3230">
        <v>31903</v>
      </c>
      <c r="E112" s="3230">
        <v>76567.199999999997</v>
      </c>
      <c r="F112" s="3230" t="s">
        <v>3435</v>
      </c>
      <c r="G112" s="3230" t="s">
        <v>3195</v>
      </c>
      <c r="H112" s="3230" t="s">
        <v>3436</v>
      </c>
      <c r="I112" s="3230">
        <v>0</v>
      </c>
      <c r="J112" s="3230" t="s">
        <v>3432</v>
      </c>
      <c r="K112" s="3230" t="s">
        <v>3432</v>
      </c>
      <c r="L112" s="3230">
        <v>1685</v>
      </c>
      <c r="M112" s="3230">
        <v>1685</v>
      </c>
      <c r="N112" s="3230">
        <v>220.07</v>
      </c>
      <c r="O112" s="3230">
        <v>0</v>
      </c>
      <c r="P112" s="3230" t="s">
        <v>3437</v>
      </c>
      <c r="Q112" s="3230" t="s">
        <v>3354</v>
      </c>
      <c r="R112">
        <f t="shared" si="1"/>
        <v>528</v>
      </c>
    </row>
    <row r="113" spans="1:18">
      <c r="A113" s="3230" t="s">
        <v>3438</v>
      </c>
      <c r="B113" s="3230" t="s">
        <v>3193</v>
      </c>
      <c r="C113" s="3230" t="s">
        <v>3003</v>
      </c>
      <c r="D113" s="3230">
        <v>25824</v>
      </c>
      <c r="E113" s="3230">
        <v>103296</v>
      </c>
      <c r="F113" s="3230" t="s">
        <v>3439</v>
      </c>
      <c r="G113" s="3230" t="s">
        <v>3195</v>
      </c>
      <c r="H113" s="3230" t="s">
        <v>3003</v>
      </c>
      <c r="I113" s="3230">
        <v>0</v>
      </c>
      <c r="J113" s="3230" t="s">
        <v>3440</v>
      </c>
      <c r="K113" s="3230" t="s">
        <v>3440</v>
      </c>
      <c r="L113" s="3230">
        <v>2477</v>
      </c>
      <c r="M113" s="3230">
        <v>2477</v>
      </c>
      <c r="N113" s="3230">
        <v>239.8</v>
      </c>
      <c r="O113" s="3230">
        <v>0</v>
      </c>
      <c r="P113" s="3230" t="s">
        <v>3441</v>
      </c>
      <c r="Q113" s="3230" t="s">
        <v>3354</v>
      </c>
      <c r="R113">
        <f t="shared" si="1"/>
        <v>959</v>
      </c>
    </row>
    <row r="114" spans="1:18">
      <c r="A114" s="3230" t="s">
        <v>3442</v>
      </c>
      <c r="B114" s="3230" t="s">
        <v>3193</v>
      </c>
      <c r="C114" s="3230" t="s">
        <v>3003</v>
      </c>
      <c r="D114" s="3230">
        <v>7730</v>
      </c>
      <c r="E114" s="3230">
        <v>18552</v>
      </c>
      <c r="F114" s="3230" t="s">
        <v>3362</v>
      </c>
      <c r="G114" s="3230" t="s">
        <v>3368</v>
      </c>
      <c r="H114" s="3230" t="s">
        <v>3443</v>
      </c>
      <c r="I114" s="3230">
        <v>0</v>
      </c>
      <c r="J114" s="3230" t="s">
        <v>3444</v>
      </c>
      <c r="K114" s="3230" t="s">
        <v>3444</v>
      </c>
      <c r="L114" s="3230">
        <v>582</v>
      </c>
      <c r="M114" s="3230">
        <v>582</v>
      </c>
      <c r="N114" s="3230">
        <v>313.70999999999998</v>
      </c>
      <c r="O114" s="3230">
        <v>0</v>
      </c>
      <c r="P114" s="3230" t="s">
        <v>3445</v>
      </c>
      <c r="Q114" s="3230" t="s">
        <v>3268</v>
      </c>
      <c r="R114">
        <f t="shared" si="1"/>
        <v>753</v>
      </c>
    </row>
    <row r="115" spans="1:18">
      <c r="A115" s="3230" t="s">
        <v>3446</v>
      </c>
      <c r="B115" s="3230" t="s">
        <v>3193</v>
      </c>
      <c r="C115" s="3230" t="s">
        <v>3003</v>
      </c>
      <c r="D115" s="3230">
        <v>20097</v>
      </c>
      <c r="E115" s="3230">
        <v>44213.4</v>
      </c>
      <c r="F115" s="3230" t="s">
        <v>3447</v>
      </c>
      <c r="G115" s="3230" t="s">
        <v>3195</v>
      </c>
      <c r="H115" s="3230" t="s">
        <v>3003</v>
      </c>
      <c r="I115" s="3230">
        <v>0</v>
      </c>
      <c r="J115" s="3230" t="s">
        <v>3448</v>
      </c>
      <c r="K115" s="3230" t="s">
        <v>3449</v>
      </c>
      <c r="L115" s="3230">
        <v>1934</v>
      </c>
      <c r="M115" s="3230">
        <v>1934</v>
      </c>
      <c r="N115" s="3230">
        <v>437.42</v>
      </c>
      <c r="O115" s="3230">
        <v>0</v>
      </c>
      <c r="P115" s="3230" t="s">
        <v>3450</v>
      </c>
      <c r="Q115" s="3230" t="s">
        <v>3354</v>
      </c>
      <c r="R115">
        <f t="shared" si="1"/>
        <v>962</v>
      </c>
    </row>
    <row r="116" spans="1:18">
      <c r="A116" s="3230" t="s">
        <v>3451</v>
      </c>
      <c r="B116" s="3230" t="s">
        <v>3193</v>
      </c>
      <c r="C116" s="3230" t="s">
        <v>3003</v>
      </c>
      <c r="D116" s="3230">
        <v>113735</v>
      </c>
      <c r="E116" s="3230">
        <v>272964</v>
      </c>
      <c r="F116" s="3230" t="s">
        <v>3452</v>
      </c>
      <c r="G116" s="3230" t="s">
        <v>3195</v>
      </c>
      <c r="H116" s="3230" t="s">
        <v>3453</v>
      </c>
      <c r="I116" s="3230">
        <v>0</v>
      </c>
      <c r="J116" s="3230" t="s">
        <v>3454</v>
      </c>
      <c r="K116" s="3230" t="s">
        <v>3454</v>
      </c>
      <c r="L116" s="3230">
        <v>6017</v>
      </c>
      <c r="M116" s="3230">
        <v>6017</v>
      </c>
      <c r="N116" s="3230">
        <v>220.43</v>
      </c>
      <c r="O116" s="3230">
        <v>0</v>
      </c>
      <c r="P116" s="3230" t="s">
        <v>3423</v>
      </c>
      <c r="Q116" s="3230" t="s">
        <v>3354</v>
      </c>
      <c r="R116">
        <f t="shared" si="1"/>
        <v>529</v>
      </c>
    </row>
    <row r="117" spans="1:18">
      <c r="A117" s="3230" t="s">
        <v>3455</v>
      </c>
      <c r="B117" s="3230" t="s">
        <v>3193</v>
      </c>
      <c r="C117" s="3230" t="s">
        <v>3003</v>
      </c>
      <c r="D117" s="3230">
        <v>11377</v>
      </c>
      <c r="E117" s="3230">
        <v>22754</v>
      </c>
      <c r="F117" s="3230" t="s">
        <v>3456</v>
      </c>
      <c r="G117" s="3230" t="s">
        <v>3195</v>
      </c>
      <c r="H117" s="3230" t="s">
        <v>3003</v>
      </c>
      <c r="I117" s="3230">
        <v>0</v>
      </c>
      <c r="J117" s="3230" t="s">
        <v>3457</v>
      </c>
      <c r="K117" s="3230" t="s">
        <v>3458</v>
      </c>
      <c r="L117" s="3230">
        <v>1098</v>
      </c>
      <c r="M117" s="3230">
        <v>1098</v>
      </c>
      <c r="N117" s="3230">
        <v>482.55</v>
      </c>
      <c r="O117" s="3230">
        <v>0</v>
      </c>
      <c r="P117" s="3230" t="s">
        <v>3459</v>
      </c>
      <c r="Q117" s="3230" t="s">
        <v>3354</v>
      </c>
      <c r="R117">
        <f t="shared" si="1"/>
        <v>965</v>
      </c>
    </row>
    <row r="118" spans="1:18">
      <c r="A118" s="3230" t="s">
        <v>3460</v>
      </c>
      <c r="B118" s="3230" t="s">
        <v>3193</v>
      </c>
      <c r="C118" s="3230" t="s">
        <v>3003</v>
      </c>
      <c r="D118" s="3230">
        <v>79800</v>
      </c>
      <c r="E118" s="3230">
        <v>1596000</v>
      </c>
      <c r="F118" s="3230" t="s">
        <v>3461</v>
      </c>
      <c r="G118" s="3230" t="s">
        <v>3195</v>
      </c>
      <c r="H118" s="3230" t="s">
        <v>3003</v>
      </c>
      <c r="I118" s="3230">
        <v>0</v>
      </c>
      <c r="J118" s="3230" t="s">
        <v>3457</v>
      </c>
      <c r="K118" s="3230" t="s">
        <v>3458</v>
      </c>
      <c r="L118" s="3230">
        <v>6608</v>
      </c>
      <c r="M118" s="3230">
        <v>6608</v>
      </c>
      <c r="N118" s="3230">
        <v>41.4</v>
      </c>
      <c r="O118" s="3230">
        <v>0</v>
      </c>
      <c r="P118" s="3230" t="s">
        <v>3462</v>
      </c>
      <c r="Q118" s="3230" t="s">
        <v>3354</v>
      </c>
      <c r="R118">
        <f t="shared" si="1"/>
        <v>828</v>
      </c>
    </row>
    <row r="119" spans="1:18">
      <c r="A119" s="3230" t="s">
        <v>3463</v>
      </c>
      <c r="B119" s="3230" t="s">
        <v>3193</v>
      </c>
      <c r="C119" s="3230" t="s">
        <v>3003</v>
      </c>
      <c r="D119" s="3230">
        <v>26656</v>
      </c>
      <c r="E119" s="3230">
        <v>93296</v>
      </c>
      <c r="F119" s="3230" t="s">
        <v>3464</v>
      </c>
      <c r="G119" s="3230" t="s">
        <v>3195</v>
      </c>
      <c r="H119" s="3230" t="s">
        <v>3465</v>
      </c>
      <c r="I119" s="3230">
        <v>0</v>
      </c>
      <c r="J119" s="3230" t="s">
        <v>3466</v>
      </c>
      <c r="K119" s="3230" t="s">
        <v>3466</v>
      </c>
      <c r="L119" s="3230">
        <v>5460</v>
      </c>
      <c r="M119" s="3230">
        <v>5460</v>
      </c>
      <c r="N119" s="3230">
        <v>585.23</v>
      </c>
      <c r="O119" s="3230">
        <v>0</v>
      </c>
      <c r="P119" s="3230" t="s">
        <v>3467</v>
      </c>
      <c r="Q119" s="3230" t="s">
        <v>3354</v>
      </c>
      <c r="R119">
        <f t="shared" si="1"/>
        <v>2048</v>
      </c>
    </row>
    <row r="120" spans="1:18">
      <c r="A120" s="3230" t="s">
        <v>3468</v>
      </c>
      <c r="B120" s="3230" t="s">
        <v>3193</v>
      </c>
      <c r="C120" s="3230" t="s">
        <v>3003</v>
      </c>
      <c r="D120" s="3230">
        <v>9890</v>
      </c>
      <c r="E120" s="3230">
        <v>23736</v>
      </c>
      <c r="F120" s="3230" t="s">
        <v>3469</v>
      </c>
      <c r="G120" s="3230" t="s">
        <v>3195</v>
      </c>
      <c r="H120" s="3230" t="s">
        <v>3003</v>
      </c>
      <c r="I120" s="3230">
        <v>0</v>
      </c>
      <c r="J120" s="3230" t="s">
        <v>3466</v>
      </c>
      <c r="K120" s="3230" t="s">
        <v>3466</v>
      </c>
      <c r="L120" s="3230">
        <v>949</v>
      </c>
      <c r="M120" s="3230">
        <v>949</v>
      </c>
      <c r="N120" s="3230">
        <v>399.81</v>
      </c>
      <c r="O120" s="3230">
        <v>0</v>
      </c>
      <c r="P120" s="3230" t="s">
        <v>3470</v>
      </c>
      <c r="Q120" s="3230" t="s">
        <v>3354</v>
      </c>
      <c r="R120">
        <f t="shared" si="1"/>
        <v>960</v>
      </c>
    </row>
    <row r="121" spans="1:18">
      <c r="A121" s="3230" t="s">
        <v>3471</v>
      </c>
      <c r="B121" s="3230" t="s">
        <v>3193</v>
      </c>
      <c r="C121" s="3230" t="s">
        <v>3003</v>
      </c>
      <c r="D121" s="3230">
        <v>9892</v>
      </c>
      <c r="E121" s="3230">
        <v>23740.799999999999</v>
      </c>
      <c r="F121" s="3230" t="s">
        <v>3469</v>
      </c>
      <c r="G121" s="3230" t="s">
        <v>3195</v>
      </c>
      <c r="H121" s="3230" t="s">
        <v>3003</v>
      </c>
      <c r="I121" s="3230">
        <v>0</v>
      </c>
      <c r="J121" s="3230" t="s">
        <v>3466</v>
      </c>
      <c r="K121" s="3230" t="s">
        <v>3466</v>
      </c>
      <c r="L121" s="3230">
        <v>949</v>
      </c>
      <c r="M121" s="3230">
        <v>950</v>
      </c>
      <c r="N121" s="3230">
        <v>400.16</v>
      </c>
      <c r="O121" s="3230">
        <v>0.11</v>
      </c>
      <c r="P121" s="3230" t="s">
        <v>3472</v>
      </c>
      <c r="Q121" s="3230" t="s">
        <v>3354</v>
      </c>
      <c r="R121">
        <f t="shared" si="1"/>
        <v>960</v>
      </c>
    </row>
    <row r="122" spans="1:18">
      <c r="A122" s="3230" t="s">
        <v>3473</v>
      </c>
      <c r="B122" s="3230" t="s">
        <v>3193</v>
      </c>
      <c r="C122" s="3230" t="s">
        <v>3003</v>
      </c>
      <c r="D122" s="3230">
        <v>9898</v>
      </c>
      <c r="E122" s="3230">
        <v>23755.200000000001</v>
      </c>
      <c r="F122" s="3230" t="s">
        <v>3469</v>
      </c>
      <c r="G122" s="3230" t="s">
        <v>3195</v>
      </c>
      <c r="H122" s="3230" t="s">
        <v>3003</v>
      </c>
      <c r="I122" s="3230">
        <v>0</v>
      </c>
      <c r="J122" s="3230" t="s">
        <v>3466</v>
      </c>
      <c r="K122" s="3230" t="s">
        <v>3466</v>
      </c>
      <c r="L122" s="3230">
        <v>950</v>
      </c>
      <c r="M122" s="3230">
        <v>950</v>
      </c>
      <c r="N122" s="3230">
        <v>399.91</v>
      </c>
      <c r="O122" s="3230">
        <v>0</v>
      </c>
      <c r="P122" s="3230" t="s">
        <v>3474</v>
      </c>
      <c r="Q122" s="3230" t="s">
        <v>3354</v>
      </c>
      <c r="R122">
        <f t="shared" si="1"/>
        <v>960</v>
      </c>
    </row>
    <row r="123" spans="1:18">
      <c r="A123" s="3230" t="s">
        <v>3475</v>
      </c>
      <c r="B123" s="3230" t="s">
        <v>3193</v>
      </c>
      <c r="C123" s="3230" t="s">
        <v>3003</v>
      </c>
      <c r="D123" s="3230">
        <v>176343</v>
      </c>
      <c r="E123" s="3230">
        <v>423223.2</v>
      </c>
      <c r="F123" s="3230" t="s">
        <v>3435</v>
      </c>
      <c r="G123" s="3230" t="s">
        <v>3195</v>
      </c>
      <c r="H123" s="3230" t="s">
        <v>3476</v>
      </c>
      <c r="I123" s="3230">
        <v>0</v>
      </c>
      <c r="J123" s="3230" t="s">
        <v>3477</v>
      </c>
      <c r="K123" s="3230" t="s">
        <v>3478</v>
      </c>
      <c r="L123" s="3230">
        <v>5079</v>
      </c>
      <c r="M123" s="3230">
        <v>5079</v>
      </c>
      <c r="N123" s="3230">
        <v>120.01</v>
      </c>
      <c r="O123" s="3230">
        <v>0</v>
      </c>
      <c r="P123" s="3230" t="s">
        <v>3479</v>
      </c>
      <c r="Q123" s="3230" t="s">
        <v>3354</v>
      </c>
      <c r="R123">
        <f t="shared" si="1"/>
        <v>288</v>
      </c>
    </row>
    <row r="124" spans="1:18">
      <c r="A124" s="3230" t="s">
        <v>3480</v>
      </c>
      <c r="B124" s="3230" t="s">
        <v>3193</v>
      </c>
      <c r="C124" s="3230" t="s">
        <v>3003</v>
      </c>
      <c r="D124" s="3230">
        <v>68702</v>
      </c>
      <c r="E124" s="3230">
        <v>164884.79999999999</v>
      </c>
      <c r="F124" s="3230" t="s">
        <v>3435</v>
      </c>
      <c r="G124" s="3230" t="s">
        <v>3195</v>
      </c>
      <c r="H124" s="3230" t="s">
        <v>3003</v>
      </c>
      <c r="I124" s="3230">
        <v>0</v>
      </c>
      <c r="J124" s="3230" t="s">
        <v>3481</v>
      </c>
      <c r="K124" s="3230" t="s">
        <v>3481</v>
      </c>
      <c r="L124" s="3230">
        <v>3642</v>
      </c>
      <c r="M124" s="3230">
        <v>3642</v>
      </c>
      <c r="N124" s="3230">
        <v>220.88</v>
      </c>
      <c r="O124" s="3230">
        <v>0</v>
      </c>
      <c r="P124" s="3230" t="s">
        <v>3482</v>
      </c>
      <c r="Q124" s="3230" t="s">
        <v>3354</v>
      </c>
      <c r="R124">
        <f t="shared" si="1"/>
        <v>530</v>
      </c>
    </row>
    <row r="125" spans="1:18">
      <c r="A125" s="3230" t="s">
        <v>3483</v>
      </c>
      <c r="B125" s="3230" t="s">
        <v>3193</v>
      </c>
      <c r="C125" s="3230" t="s">
        <v>3003</v>
      </c>
      <c r="D125" s="3230">
        <v>16815</v>
      </c>
      <c r="E125" s="3230">
        <v>40356</v>
      </c>
      <c r="F125" s="3230" t="s">
        <v>3435</v>
      </c>
      <c r="G125" s="3230" t="s">
        <v>3195</v>
      </c>
      <c r="H125" s="3230" t="s">
        <v>3003</v>
      </c>
      <c r="I125" s="3230">
        <v>0</v>
      </c>
      <c r="J125" s="3230" t="s">
        <v>3481</v>
      </c>
      <c r="K125" s="3230" t="s">
        <v>3481</v>
      </c>
      <c r="L125" s="3230">
        <v>1618</v>
      </c>
      <c r="M125" s="3230">
        <v>1618</v>
      </c>
      <c r="N125" s="3230">
        <v>400.93</v>
      </c>
      <c r="O125" s="3230">
        <v>0</v>
      </c>
      <c r="P125" s="3230" t="s">
        <v>3484</v>
      </c>
      <c r="Q125" s="3230" t="s">
        <v>3354</v>
      </c>
      <c r="R125">
        <f t="shared" si="1"/>
        <v>962</v>
      </c>
    </row>
    <row r="126" spans="1:18">
      <c r="A126" s="3230" t="s">
        <v>3485</v>
      </c>
      <c r="B126" s="3230" t="s">
        <v>3193</v>
      </c>
      <c r="C126" s="3230" t="s">
        <v>3003</v>
      </c>
      <c r="D126" s="3230">
        <v>6700</v>
      </c>
      <c r="E126" s="3230">
        <v>14740</v>
      </c>
      <c r="F126" s="3230" t="s">
        <v>3447</v>
      </c>
      <c r="G126" s="3230" t="s">
        <v>3195</v>
      </c>
      <c r="H126" s="3230" t="s">
        <v>3476</v>
      </c>
      <c r="I126" s="3230">
        <v>0</v>
      </c>
      <c r="J126" s="3230" t="s">
        <v>3486</v>
      </c>
      <c r="K126" s="3230" t="s">
        <v>3487</v>
      </c>
      <c r="L126" s="3230">
        <v>645</v>
      </c>
      <c r="M126" s="3230">
        <v>645</v>
      </c>
      <c r="N126" s="3230">
        <v>437.58</v>
      </c>
      <c r="O126" s="3230">
        <v>0</v>
      </c>
      <c r="P126" s="3230" t="s">
        <v>3488</v>
      </c>
      <c r="Q126" s="3230" t="s">
        <v>3354</v>
      </c>
      <c r="R126">
        <f t="shared" si="1"/>
        <v>963</v>
      </c>
    </row>
    <row r="127" spans="1:18">
      <c r="A127" s="3230" t="s">
        <v>3489</v>
      </c>
      <c r="B127" s="3230" t="s">
        <v>3193</v>
      </c>
      <c r="C127" s="3230" t="s">
        <v>3003</v>
      </c>
      <c r="D127" s="3230">
        <v>100123</v>
      </c>
      <c r="E127" s="3230">
        <v>250307.5</v>
      </c>
      <c r="F127" s="3230" t="s">
        <v>3490</v>
      </c>
      <c r="G127" s="3230" t="s">
        <v>3195</v>
      </c>
      <c r="H127" s="3230" t="s">
        <v>3003</v>
      </c>
      <c r="I127" s="3230">
        <v>0</v>
      </c>
      <c r="J127" s="3230" t="s">
        <v>3491</v>
      </c>
      <c r="K127" s="3230" t="s">
        <v>3491</v>
      </c>
      <c r="L127" s="3230">
        <v>5317</v>
      </c>
      <c r="M127" s="3230">
        <v>5317</v>
      </c>
      <c r="N127" s="3230">
        <v>212.42</v>
      </c>
      <c r="O127" s="3230">
        <v>0</v>
      </c>
      <c r="P127" s="3230" t="s">
        <v>3492</v>
      </c>
      <c r="Q127" s="3230" t="s">
        <v>3354</v>
      </c>
      <c r="R127">
        <f t="shared" si="1"/>
        <v>531</v>
      </c>
    </row>
    <row r="128" spans="1:18">
      <c r="A128" s="3230" t="s">
        <v>3493</v>
      </c>
      <c r="B128" s="3230" t="s">
        <v>3193</v>
      </c>
      <c r="C128" s="3230" t="s">
        <v>3003</v>
      </c>
      <c r="D128" s="3230">
        <v>104499</v>
      </c>
      <c r="E128" s="3230">
        <v>250797.6</v>
      </c>
      <c r="F128" s="3230" t="s">
        <v>3494</v>
      </c>
      <c r="G128" s="3230" t="s">
        <v>3195</v>
      </c>
      <c r="H128" s="3230" t="s">
        <v>3495</v>
      </c>
      <c r="I128" s="3230">
        <v>0</v>
      </c>
      <c r="J128" s="3230" t="s">
        <v>3496</v>
      </c>
      <c r="K128" s="3230" t="s">
        <v>3496</v>
      </c>
      <c r="L128" s="3230">
        <v>7922</v>
      </c>
      <c r="M128" s="3230">
        <v>7922</v>
      </c>
      <c r="N128" s="3230">
        <v>315.87</v>
      </c>
      <c r="O128" s="3230">
        <v>0</v>
      </c>
      <c r="P128" s="3230" t="s">
        <v>3497</v>
      </c>
      <c r="Q128" s="3230" t="s">
        <v>3354</v>
      </c>
      <c r="R128">
        <f t="shared" si="1"/>
        <v>758</v>
      </c>
    </row>
    <row r="129" spans="1:18">
      <c r="A129" s="3230" t="s">
        <v>3498</v>
      </c>
      <c r="B129" s="3230" t="s">
        <v>3193</v>
      </c>
      <c r="C129" s="3230" t="s">
        <v>3003</v>
      </c>
      <c r="D129" s="3230">
        <v>39044</v>
      </c>
      <c r="E129" s="3230">
        <v>93705.600000000006</v>
      </c>
      <c r="F129" s="3230" t="s">
        <v>3494</v>
      </c>
      <c r="G129" s="3230" t="s">
        <v>3195</v>
      </c>
      <c r="H129" s="3230" t="s">
        <v>3003</v>
      </c>
      <c r="I129" s="3230">
        <v>0</v>
      </c>
      <c r="J129" s="3230" t="s">
        <v>3499</v>
      </c>
      <c r="K129" s="3230" t="s">
        <v>3499</v>
      </c>
      <c r="L129" s="3230">
        <v>2929</v>
      </c>
      <c r="M129" s="3230">
        <v>2929</v>
      </c>
      <c r="N129" s="3230">
        <v>312.57</v>
      </c>
      <c r="O129" s="3230">
        <v>0</v>
      </c>
      <c r="P129" s="3230" t="s">
        <v>3500</v>
      </c>
      <c r="Q129" s="3230" t="s">
        <v>3354</v>
      </c>
      <c r="R129">
        <f t="shared" si="1"/>
        <v>750</v>
      </c>
    </row>
    <row r="130" spans="1:18">
      <c r="A130" s="3230" t="s">
        <v>3501</v>
      </c>
      <c r="B130" s="3230" t="s">
        <v>3193</v>
      </c>
      <c r="C130" s="3230" t="s">
        <v>3003</v>
      </c>
      <c r="D130" s="3230">
        <v>15071</v>
      </c>
      <c r="E130" s="3230">
        <v>58776.9</v>
      </c>
      <c r="F130" s="3230" t="s">
        <v>3502</v>
      </c>
      <c r="G130" s="3230" t="s">
        <v>3195</v>
      </c>
      <c r="H130" s="3230" t="s">
        <v>3003</v>
      </c>
      <c r="I130" s="3230">
        <v>0</v>
      </c>
      <c r="J130" s="3230" t="s">
        <v>3499</v>
      </c>
      <c r="K130" s="3230" t="s">
        <v>3503</v>
      </c>
      <c r="L130" s="3230">
        <v>2080</v>
      </c>
      <c r="M130" s="3230">
        <v>2080</v>
      </c>
      <c r="N130" s="3230">
        <v>353.88</v>
      </c>
      <c r="O130" s="3230">
        <v>0</v>
      </c>
      <c r="P130" s="3230" t="s">
        <v>3504</v>
      </c>
      <c r="Q130" s="3230" t="s">
        <v>3354</v>
      </c>
      <c r="R130">
        <f t="shared" si="1"/>
        <v>1380</v>
      </c>
    </row>
    <row r="131" spans="1:18">
      <c r="A131" s="3231" t="s">
        <v>3505</v>
      </c>
      <c r="B131" s="3231" t="s">
        <v>3193</v>
      </c>
      <c r="C131" s="3231" t="s">
        <v>3003</v>
      </c>
      <c r="D131" s="3231">
        <v>32751</v>
      </c>
      <c r="E131" s="3231">
        <v>72052.2</v>
      </c>
      <c r="F131" s="3231" t="s">
        <v>3506</v>
      </c>
      <c r="G131" s="3231" t="s">
        <v>3195</v>
      </c>
      <c r="H131" s="3231" t="s">
        <v>3003</v>
      </c>
      <c r="I131" s="3231">
        <v>0</v>
      </c>
      <c r="J131" s="3231" t="s">
        <v>3499</v>
      </c>
      <c r="K131" s="3231" t="s">
        <v>3499</v>
      </c>
      <c r="L131" s="3231">
        <v>3151</v>
      </c>
      <c r="M131" s="3231">
        <v>3151</v>
      </c>
      <c r="N131" s="3231">
        <v>437.32</v>
      </c>
      <c r="O131" s="3231">
        <v>0</v>
      </c>
      <c r="P131" s="3231" t="s">
        <v>3507</v>
      </c>
      <c r="Q131" s="3231" t="s">
        <v>3354</v>
      </c>
      <c r="R131">
        <f t="shared" si="1"/>
        <v>962</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
  <sheetViews>
    <sheetView workbookViewId="0">
      <selection activeCell="M21" sqref="M21"/>
    </sheetView>
  </sheetViews>
  <sheetFormatPr defaultRowHeight="13.5"/>
  <sheetData>
    <row r="3" spans="11:11">
      <c r="K3" s="3250" t="s">
        <v>3555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6"/>
      <c r="B3" s="3266"/>
      <c r="C3" s="3266"/>
      <c r="D3" s="943" t="s">
        <v>1362</v>
      </c>
      <c r="E3" s="943" t="s">
        <v>1368</v>
      </c>
      <c r="F3" s="943" t="s">
        <v>1362</v>
      </c>
      <c r="G3" s="943" t="s">
        <v>1363</v>
      </c>
      <c r="H3" s="943" t="s">
        <v>1362</v>
      </c>
      <c r="I3" s="943" t="s">
        <v>1363</v>
      </c>
    </row>
    <row r="4" spans="1:9" ht="15">
      <c r="A4" s="1639" t="str">
        <f>项目基本情况!S2</f>
        <v>房地产</v>
      </c>
      <c r="B4" s="943">
        <f>项目基本情况!C17</f>
        <v>13867.57</v>
      </c>
      <c r="C4" s="943">
        <f>项目基本情况!C18</f>
        <v>17188</v>
      </c>
      <c r="D4" s="943">
        <f ca="1">结果表!D118</f>
        <v>2896</v>
      </c>
      <c r="E4" s="943">
        <f ca="1">结果表!E118</f>
        <v>2088</v>
      </c>
      <c r="F4" s="943">
        <f ca="1">结果表!F118</f>
        <v>4586</v>
      </c>
      <c r="G4" s="943">
        <f ca="1">结果表!G118</f>
        <v>3307</v>
      </c>
      <c r="H4" s="943">
        <f ca="1">结果表!H118</f>
        <v>7482</v>
      </c>
      <c r="I4" s="943">
        <f ca="1">结果表!I118</f>
        <v>5395</v>
      </c>
    </row>
    <row r="5" spans="1:9" ht="30" customHeight="1">
      <c r="A5" s="3266" t="s">
        <v>1364</v>
      </c>
      <c r="B5" s="3266"/>
      <c r="C5" s="3266"/>
      <c r="D5" s="3267" t="str">
        <f ca="1">结果表!D119</f>
        <v>贰仟捌佰玖拾陆万元整</v>
      </c>
      <c r="E5" s="3267"/>
      <c r="F5" s="3267" t="str">
        <f ca="1">结果表!F119</f>
        <v>肆仟伍佰捌拾陆万元整</v>
      </c>
      <c r="G5" s="3267"/>
      <c r="H5" s="3267" t="str">
        <f ca="1">结果表!H119</f>
        <v>柒仟肆佰捌拾贰万元整</v>
      </c>
      <c r="I5" s="3267"/>
    </row>
    <row r="6" spans="1:9" ht="15.75">
      <c r="A6" s="3265" t="str">
        <f>结果表!A120</f>
        <v>估价师知悉的法定优先受偿款</v>
      </c>
      <c r="B6" s="3265"/>
      <c r="C6" s="3265"/>
      <c r="D6" s="3265">
        <f>结果表!D120</f>
        <v>0</v>
      </c>
      <c r="E6" s="3265"/>
      <c r="F6" s="3265"/>
      <c r="G6" s="3265"/>
      <c r="H6" s="3265"/>
      <c r="I6" s="3265"/>
    </row>
    <row r="7" spans="1:9" ht="15">
      <c r="A7" s="3266" t="s">
        <v>1364</v>
      </c>
      <c r="B7" s="3266"/>
      <c r="C7" s="3266"/>
      <c r="D7" s="3268" t="str">
        <f>结果表!D121</f>
        <v>零元整</v>
      </c>
      <c r="E7" s="3269"/>
      <c r="F7" s="3269"/>
      <c r="G7" s="3269"/>
      <c r="H7" s="3269"/>
      <c r="I7" s="3270"/>
    </row>
    <row r="8" spans="1:9" ht="15.75">
      <c r="A8" s="3265" t="str">
        <f>结果表!A122</f>
        <v>房地产抵押价值</v>
      </c>
      <c r="B8" s="3265"/>
      <c r="C8" s="3265"/>
      <c r="D8" s="3265">
        <f ca="1">结果表!D122</f>
        <v>7482</v>
      </c>
      <c r="E8" s="3265"/>
      <c r="F8" s="3265"/>
      <c r="G8" s="3265"/>
      <c r="H8" s="3265"/>
      <c r="I8" s="3265"/>
    </row>
    <row r="9" spans="1:9" ht="15">
      <c r="A9" s="3266" t="s">
        <v>1364</v>
      </c>
      <c r="B9" s="3266"/>
      <c r="C9" s="3266"/>
      <c r="D9" s="3267" t="str">
        <f ca="1">结果表!D123</f>
        <v>柒仟肆佰捌拾贰万元整</v>
      </c>
      <c r="E9" s="3267"/>
      <c r="F9" s="3267"/>
      <c r="G9" s="3267"/>
      <c r="H9" s="3267"/>
      <c r="I9" s="3267"/>
    </row>
    <row r="10" spans="1:9" ht="15.75">
      <c r="A10" s="3265" t="str">
        <f>结果表!A124</f>
        <v/>
      </c>
      <c r="B10" s="3265"/>
      <c r="C10" s="3265"/>
      <c r="D10" s="3265" t="str">
        <f>结果表!D124</f>
        <v>——</v>
      </c>
      <c r="E10" s="3265"/>
      <c r="F10" s="3265"/>
      <c r="G10" s="3265"/>
      <c r="H10" s="3265"/>
      <c r="I10" s="3265"/>
    </row>
    <row r="11" spans="1:9" ht="15">
      <c r="A11" s="3266" t="s">
        <v>1364</v>
      </c>
      <c r="B11" s="3266"/>
      <c r="C11" s="3266"/>
      <c r="D11" s="3267" t="e">
        <f>结果表!D125</f>
        <v>#VALUE!</v>
      </c>
      <c r="E11" s="3267"/>
      <c r="F11" s="3267"/>
      <c r="G11" s="3267"/>
      <c r="H11" s="3267"/>
      <c r="I11" s="3267"/>
    </row>
    <row r="12" spans="1:9" ht="15.75">
      <c r="A12" s="3265" t="str">
        <f>结果表!A126</f>
        <v/>
      </c>
      <c r="B12" s="3265"/>
      <c r="C12" s="3265"/>
      <c r="D12" s="3265" t="str">
        <f>结果表!D126</f>
        <v>——</v>
      </c>
      <c r="E12" s="3265"/>
      <c r="F12" s="3265"/>
      <c r="G12" s="3265"/>
      <c r="H12" s="3265"/>
      <c r="I12" s="3265"/>
    </row>
    <row r="13" spans="1:9" ht="15.75" thickBot="1">
      <c r="A13" s="3262" t="s">
        <v>1364</v>
      </c>
      <c r="B13" s="3262"/>
      <c r="C13" s="3262"/>
      <c r="D13" s="3263" t="e">
        <f>结果表!D127</f>
        <v>#VALUE!</v>
      </c>
      <c r="E13" s="3263"/>
      <c r="F13" s="3263"/>
      <c r="G13" s="3263"/>
      <c r="H13" s="3263"/>
      <c r="I13" s="3263"/>
    </row>
    <row r="14" spans="1:9" ht="15" thickTop="1">
      <c r="A14" s="3264" t="s">
        <v>1369</v>
      </c>
      <c r="B14" s="3264"/>
      <c r="C14" s="3264"/>
      <c r="D14" s="3264"/>
      <c r="E14" s="3264"/>
      <c r="F14" s="3264"/>
      <c r="G14" s="3264"/>
      <c r="H14" s="3264"/>
      <c r="I14" s="3264"/>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79" t="s">
        <v>1386</v>
      </c>
      <c r="B1" s="3279"/>
      <c r="C1" s="3279"/>
      <c r="D1" s="3279"/>
    </row>
    <row r="2" spans="1:4" ht="18">
      <c r="A2" s="3280" t="s">
        <v>1370</v>
      </c>
      <c r="B2" s="3280"/>
      <c r="C2" s="3280"/>
      <c r="D2" s="3280"/>
    </row>
    <row r="3" spans="1:4" ht="18.75">
      <c r="A3" s="1643" t="s">
        <v>1371</v>
      </c>
      <c r="B3" s="1643" t="s">
        <v>1372</v>
      </c>
      <c r="C3" s="1643" t="s">
        <v>1373</v>
      </c>
      <c r="D3" s="1643" t="s">
        <v>1374</v>
      </c>
    </row>
    <row r="4" spans="1:4" ht="56.25" customHeight="1">
      <c r="A4" s="1644" t="str">
        <f>项目基本情况!B4</f>
        <v>崔锴</v>
      </c>
      <c r="B4" s="1645">
        <f ca="1">项目基本情况!C4</f>
        <v>0</v>
      </c>
      <c r="C4" s="1646"/>
      <c r="D4" s="1647" t="s">
        <v>1375</v>
      </c>
    </row>
    <row r="5" spans="1:4" ht="56.25" customHeight="1">
      <c r="A5" s="1644" t="str">
        <f>项目基本情况!D4</f>
        <v>郑燚</v>
      </c>
      <c r="B5" s="1645">
        <f ca="1">项目基本情况!E4</f>
        <v>1120070131</v>
      </c>
      <c r="C5" s="1648"/>
      <c r="D5" s="1647" t="s">
        <v>1375</v>
      </c>
    </row>
    <row r="6" spans="1:4" ht="18">
      <c r="A6" s="3280" t="s">
        <v>1376</v>
      </c>
      <c r="B6" s="3280"/>
      <c r="C6" s="3280"/>
      <c r="D6" s="3280"/>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81" t="s">
        <v>1379</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1380</v>
      </c>
      <c r="B16" s="3275"/>
      <c r="C16" s="3275"/>
      <c r="D16" s="3275"/>
    </row>
    <row r="17" spans="1:4" ht="144" customHeight="1">
      <c r="A17" s="3275" t="s">
        <v>1381</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1382</v>
      </c>
      <c r="B22" s="3277"/>
      <c r="C22" s="3277"/>
      <c r="D22" s="3277"/>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87" t="s">
        <v>1393</v>
      </c>
      <c r="B15" s="3282" t="s">
        <v>136</v>
      </c>
      <c r="C15" s="3283"/>
    </row>
    <row r="16" spans="1:7" ht="13.5">
      <c r="A16" s="3288"/>
      <c r="B16" s="3282" t="s">
        <v>69</v>
      </c>
      <c r="C16" s="3283"/>
    </row>
    <row r="17" spans="1:3" ht="13.5">
      <c r="A17" s="3288"/>
      <c r="B17" s="3285" t="s">
        <v>1394</v>
      </c>
      <c r="C17" s="1666" t="s">
        <v>1393</v>
      </c>
    </row>
    <row r="18" spans="1:3" ht="13.5">
      <c r="A18" s="3288"/>
      <c r="B18" s="3285"/>
      <c r="C18" s="1666" t="s">
        <v>1395</v>
      </c>
    </row>
    <row r="19" spans="1:3" ht="13.5">
      <c r="A19" s="3288"/>
      <c r="B19" s="3285"/>
      <c r="C19" s="1666" t="s">
        <v>1396</v>
      </c>
    </row>
    <row r="20" spans="1:3" ht="13.5">
      <c r="A20" s="3289"/>
      <c r="B20" s="3284" t="s">
        <v>1397</v>
      </c>
      <c r="C20" s="3283"/>
    </row>
    <row r="21" spans="1:3" ht="13.5">
      <c r="A21" s="1667" t="s">
        <v>1398</v>
      </c>
      <c r="B21" s="1668"/>
      <c r="C21" s="1669"/>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6" t="s">
        <v>1404</v>
      </c>
    </row>
    <row r="26" spans="1:3" ht="13.5">
      <c r="A26" s="3286"/>
      <c r="B26" s="3285"/>
      <c r="C26" s="1666" t="s">
        <v>1405</v>
      </c>
    </row>
    <row r="27" spans="1:3" ht="13.5">
      <c r="A27" s="3286"/>
      <c r="B27" s="3285"/>
      <c r="C27" s="1666" t="s">
        <v>1406</v>
      </c>
    </row>
    <row r="28" spans="1:3" ht="13.5">
      <c r="A28" s="3286"/>
      <c r="B28" s="3285"/>
      <c r="C28" s="1666" t="s">
        <v>1407</v>
      </c>
    </row>
    <row r="29" spans="1:3" ht="13.5">
      <c r="A29" s="3286"/>
      <c r="B29" s="3285"/>
      <c r="C29" s="1666" t="s">
        <v>1408</v>
      </c>
    </row>
    <row r="30" spans="1:3" ht="13.5">
      <c r="A30" s="3286"/>
      <c r="B30" s="3285"/>
      <c r="C30" s="1666" t="s">
        <v>1409</v>
      </c>
    </row>
    <row r="31" spans="1:3" ht="13.5">
      <c r="A31" s="3286"/>
      <c r="B31" s="3285"/>
      <c r="C31" s="1666" t="s">
        <v>1410</v>
      </c>
    </row>
    <row r="32" spans="1:3" ht="13.5">
      <c r="A32" s="3286"/>
      <c r="B32" s="3285"/>
      <c r="C32" s="1666" t="s">
        <v>1411</v>
      </c>
    </row>
    <row r="33" spans="1:3" ht="13.5">
      <c r="A33" s="3286"/>
      <c r="B33" s="3285"/>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7" sqref="C27:C28"/>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2638</v>
      </c>
      <c r="B2" s="2510">
        <f ca="1">TODAY()</f>
        <v>44785</v>
      </c>
      <c r="C2" s="2511" t="s">
        <v>2639</v>
      </c>
      <c r="D2" s="2511"/>
      <c r="E2" s="2511"/>
      <c r="F2" s="2507"/>
      <c r="G2" s="2507"/>
      <c r="H2" s="2507"/>
    </row>
    <row r="3" spans="1:8" ht="24" customHeight="1">
      <c r="A3" s="2512" t="s">
        <v>2640</v>
      </c>
      <c r="B3" s="2513" t="s">
        <v>2641</v>
      </c>
      <c r="C3" s="2513" t="s">
        <v>2642</v>
      </c>
      <c r="D3" s="2514" t="s">
        <v>2643</v>
      </c>
      <c r="E3" s="2515" t="s">
        <v>2644</v>
      </c>
      <c r="F3" s="1423" t="s">
        <v>2645</v>
      </c>
      <c r="G3" s="2513" t="s">
        <v>2642</v>
      </c>
      <c r="H3" s="2514" t="s">
        <v>2646</v>
      </c>
    </row>
    <row r="4" spans="1:8" ht="24" customHeight="1">
      <c r="A4" s="1423" t="s">
        <v>2647</v>
      </c>
      <c r="B4" s="1423">
        <f ca="1">IF(C4&lt;B2,"已过期",1119970066)</f>
        <v>1119970066</v>
      </c>
      <c r="C4" s="2516">
        <v>44876</v>
      </c>
      <c r="D4" s="2517" t="str">
        <f ca="1">A4&amp;"（注册号："&amp;B4&amp;"）"</f>
        <v>梁津（注册号：1119970066）</v>
      </c>
      <c r="E4" s="2518" t="s">
        <v>2647</v>
      </c>
      <c r="F4" s="1423">
        <f ca="1">IF(G4&lt;B2,"已过期",96010014)</f>
        <v>96010014</v>
      </c>
      <c r="G4" s="2519">
        <v>47118</v>
      </c>
      <c r="H4" s="2520" t="str">
        <f ca="1">E4&amp;"（注册号："&amp;F4&amp;"）"</f>
        <v>梁津（注册号：96010014）</v>
      </c>
    </row>
    <row r="5" spans="1:8" ht="24" customHeight="1">
      <c r="A5" s="1423" t="s">
        <v>2648</v>
      </c>
      <c r="B5" s="1423">
        <f ca="1">IF(C5&lt;B2,"已过期",1119970111)</f>
        <v>1119970111</v>
      </c>
      <c r="C5" s="2516">
        <v>44876</v>
      </c>
      <c r="D5" s="2517" t="str">
        <f t="shared" ref="D5:D15" ca="1" si="0">A5&amp;"（注册号："&amp;B5&amp;"）"</f>
        <v>叶凌（注册号：1119970111）</v>
      </c>
      <c r="E5" s="2518" t="s">
        <v>2648</v>
      </c>
      <c r="F5" s="1423">
        <f ca="1">IF(G5&lt;B2,"已过期",94010078)</f>
        <v>94010078</v>
      </c>
      <c r="G5" s="2519">
        <v>46387</v>
      </c>
      <c r="H5" s="2520" t="str">
        <f t="shared" ref="H5:H16" ca="1" si="1">E5&amp;"（注册号："&amp;F5&amp;"）"</f>
        <v>叶凌（注册号：94010078）</v>
      </c>
    </row>
    <row r="6" spans="1:8" ht="24" customHeight="1">
      <c r="A6" s="1423" t="s">
        <v>2649</v>
      </c>
      <c r="B6" s="1423">
        <f ca="1">IF(C6&lt;B2,"已过期",1120050019)</f>
        <v>1120050019</v>
      </c>
      <c r="C6" s="2516">
        <v>45410</v>
      </c>
      <c r="D6" s="2517" t="str">
        <f t="shared" ca="1" si="0"/>
        <v>王鹏（注册号：1120050019）</v>
      </c>
      <c r="E6" s="2518" t="s">
        <v>2649</v>
      </c>
      <c r="F6" s="1423">
        <f ca="1">IF(G6&lt;B2,"已过期",2002110030)</f>
        <v>2002110030</v>
      </c>
      <c r="G6" s="2519">
        <v>46387</v>
      </c>
      <c r="H6" s="2520" t="str">
        <f t="shared" ca="1" si="1"/>
        <v>王鹏（注册号：2002110030）</v>
      </c>
    </row>
    <row r="7" spans="1:8" ht="24" customHeight="1">
      <c r="A7" s="1423" t="s">
        <v>2650</v>
      </c>
      <c r="B7" s="1423">
        <f ca="1">IF(C7&lt;B2,"已过期",1120000080)</f>
        <v>1120000080</v>
      </c>
      <c r="C7" s="2516">
        <v>44876</v>
      </c>
      <c r="D7" s="2517" t="str">
        <f t="shared" ca="1" si="0"/>
        <v>欧红伟（注册号：1120000080）</v>
      </c>
      <c r="E7" s="2518" t="s">
        <v>2650</v>
      </c>
      <c r="F7" s="1423">
        <f ca="1">IF(G7&lt;B2,"已过期",2000110082)</f>
        <v>2000110082</v>
      </c>
      <c r="G7" s="2519">
        <v>46387</v>
      </c>
      <c r="H7" s="2520" t="str">
        <f t="shared" ca="1" si="1"/>
        <v>欧红伟（注册号：2000110082）</v>
      </c>
    </row>
    <row r="8" spans="1:8" ht="24" customHeight="1">
      <c r="A8" s="1423" t="s">
        <v>2651</v>
      </c>
      <c r="B8" s="1423">
        <f ca="1">IF(C8&lt;B2,"已过期",1419970001)</f>
        <v>1419970001</v>
      </c>
      <c r="C8" s="2516">
        <v>44899</v>
      </c>
      <c r="D8" s="2517" t="str">
        <f t="shared" ca="1" si="0"/>
        <v>吴薇（注册号：1419970001）</v>
      </c>
      <c r="E8" s="2518" t="s">
        <v>2651</v>
      </c>
      <c r="F8" s="1423">
        <f ca="1">IF(G8&lt;B2,"已过期",2002110125)</f>
        <v>2002110125</v>
      </c>
      <c r="G8" s="2519">
        <v>47118</v>
      </c>
      <c r="H8" s="2520" t="str">
        <f t="shared" ca="1" si="1"/>
        <v>吴薇（注册号：2002110125）</v>
      </c>
    </row>
    <row r="9" spans="1:8" ht="24" customHeight="1">
      <c r="A9" s="1423" t="s">
        <v>2652</v>
      </c>
      <c r="B9" s="1423">
        <f ca="1">IF(C9&lt;B2,"已过期",1120060040)</f>
        <v>1120060040</v>
      </c>
      <c r="C9" s="2521">
        <v>45592</v>
      </c>
      <c r="D9" s="2517" t="str">
        <f t="shared" ca="1" si="0"/>
        <v>陈颖（注册号：1120060040）</v>
      </c>
      <c r="E9" s="2518" t="s">
        <v>2652</v>
      </c>
      <c r="F9" s="1423">
        <f ca="1">IF(G9&lt;B2,"已过期",2004110096)</f>
        <v>2004110096</v>
      </c>
      <c r="G9" s="2519">
        <v>47118</v>
      </c>
      <c r="H9" s="2520" t="str">
        <f t="shared" ca="1" si="1"/>
        <v>陈颖（注册号：2004110096）</v>
      </c>
    </row>
    <row r="10" spans="1:8" ht="24" customHeight="1">
      <c r="A10" s="1423" t="s">
        <v>2653</v>
      </c>
      <c r="B10" s="1423" t="str">
        <f ca="1">IF(C10&lt;B2,"已过期",1120100036)</f>
        <v>已过期</v>
      </c>
      <c r="C10" s="2521">
        <v>44675</v>
      </c>
      <c r="D10" s="2517" t="str">
        <f t="shared" ca="1" si="0"/>
        <v>崔锴（注册号：已过期）</v>
      </c>
      <c r="E10" s="2518" t="s">
        <v>2653</v>
      </c>
      <c r="F10" s="1423">
        <f ca="1">IF(G10&lt;B2,"已过期",2010110070)</f>
        <v>2010110070</v>
      </c>
      <c r="G10" s="2519">
        <v>47907</v>
      </c>
      <c r="H10" s="2520" t="str">
        <f t="shared" ca="1" si="1"/>
        <v>崔锴（注册号：2010110070）</v>
      </c>
    </row>
    <row r="11" spans="1:8" ht="24" customHeight="1">
      <c r="A11" s="1423" t="s">
        <v>2654</v>
      </c>
      <c r="B11" s="1423">
        <f ca="1">IF(C11&lt;B2,"已过期",1120070131)</f>
        <v>1120070131</v>
      </c>
      <c r="C11" s="2516">
        <v>44849</v>
      </c>
      <c r="D11" s="2517" t="str">
        <f t="shared" ca="1" si="0"/>
        <v>郑燚（注册号：1120070131）</v>
      </c>
      <c r="E11" s="2518" t="s">
        <v>2654</v>
      </c>
      <c r="F11" s="1423">
        <f ca="1">IF(G11&lt;B2,"已过期",2014110011)</f>
        <v>2014110011</v>
      </c>
      <c r="G11" s="2519">
        <v>49302</v>
      </c>
      <c r="H11" s="2520" t="str">
        <f t="shared" ca="1" si="1"/>
        <v>郑燚（注册号：2014110011）</v>
      </c>
    </row>
    <row r="12" spans="1:8" ht="24" customHeight="1">
      <c r="A12" s="1423" t="s">
        <v>2655</v>
      </c>
      <c r="B12" s="1423">
        <f ca="1">IF(C12&lt;B2,"已过期",1120040230)</f>
        <v>1120040230</v>
      </c>
      <c r="C12" s="2521">
        <v>44864</v>
      </c>
      <c r="D12" s="2517" t="str">
        <f t="shared" ca="1" si="0"/>
        <v>苏海（注册号：1120040230）</v>
      </c>
      <c r="E12" s="2518" t="s">
        <v>2655</v>
      </c>
      <c r="F12" s="1423">
        <f ca="1">IF(G12&lt;B2,"已过期",98030020)</f>
        <v>98030020</v>
      </c>
      <c r="G12" s="2519">
        <v>47118</v>
      </c>
      <c r="H12" s="2520" t="str">
        <f t="shared" ca="1" si="1"/>
        <v>苏海（注册号：98030020）</v>
      </c>
    </row>
    <row r="13" spans="1:8" ht="24" customHeight="1">
      <c r="A13" s="1423" t="s">
        <v>2656</v>
      </c>
      <c r="B13" s="1423" t="str">
        <f ca="1">IF(C13&lt;B2,"已过期",1120020033)</f>
        <v>已过期</v>
      </c>
      <c r="C13" s="2516">
        <v>44339</v>
      </c>
      <c r="D13" s="2517" t="str">
        <f t="shared" ca="1" si="0"/>
        <v>刘敬东（注册号：已过期）</v>
      </c>
      <c r="E13" s="2518" t="s">
        <v>2656</v>
      </c>
      <c r="F13" s="1423">
        <f ca="1">IF(G13&lt;B2,"已过期",2000110137)</f>
        <v>2000110137</v>
      </c>
      <c r="G13" s="2519">
        <v>46387</v>
      </c>
      <c r="H13" s="2520" t="str">
        <f t="shared" ca="1" si="1"/>
        <v>刘敬东（注册号：2000110137）</v>
      </c>
    </row>
    <row r="14" spans="1:8" ht="24" customHeight="1">
      <c r="A14" s="1423" t="s">
        <v>2657</v>
      </c>
      <c r="B14" s="1423">
        <f ca="1">IF(C14&lt;B2,"已过期",1119980106)</f>
        <v>1119980106</v>
      </c>
      <c r="C14" s="2521">
        <v>44969</v>
      </c>
      <c r="D14" s="2517" t="str">
        <f t="shared" ca="1" si="0"/>
        <v>刘俊财（注册号：1119980106）</v>
      </c>
      <c r="E14" s="2518" t="s">
        <v>2657</v>
      </c>
      <c r="F14" s="1423">
        <f ca="1">IF(G14&lt;B2,"已过期",96010063)</f>
        <v>96010063</v>
      </c>
      <c r="G14" s="2519">
        <v>47483</v>
      </c>
      <c r="H14" s="2520" t="str">
        <f t="shared" ca="1" si="1"/>
        <v>刘俊财（注册号：96010063）</v>
      </c>
    </row>
    <row r="15" spans="1:8" ht="24" customHeight="1">
      <c r="A15" s="1423" t="s">
        <v>2941</v>
      </c>
      <c r="B15" s="1423">
        <v>1120210056</v>
      </c>
      <c r="C15" s="2521">
        <v>45410</v>
      </c>
      <c r="D15" s="2517" t="str">
        <f t="shared" si="0"/>
        <v>宁小鳗（注册号：1120210056）</v>
      </c>
      <c r="E15" s="2518" t="s">
        <v>2658</v>
      </c>
      <c r="F15" s="1423">
        <f ca="1">IF(G15&lt;B2,"已过期",2011110090)</f>
        <v>2011110090</v>
      </c>
      <c r="G15" s="2519">
        <v>48302</v>
      </c>
      <c r="H15" s="2520" t="str">
        <f t="shared" ca="1" si="1"/>
        <v>赵雯（注册号：2011110090）</v>
      </c>
    </row>
    <row r="16" spans="1:8" s="2523" customFormat="1" ht="24" customHeight="1">
      <c r="A16" s="1423"/>
      <c r="B16" s="1423"/>
      <c r="C16" s="1423"/>
      <c r="D16" s="2517" t="str">
        <f>A16&amp;"（注册号："&amp;B16&amp;"）"</f>
        <v>（注册号：）</v>
      </c>
      <c r="E16" s="2518"/>
      <c r="F16" s="1423"/>
      <c r="G16" s="1423"/>
      <c r="H16" s="2522" t="str">
        <f t="shared" si="1"/>
        <v>（注册号：）</v>
      </c>
    </row>
    <row r="17" spans="1:8" ht="24" customHeight="1">
      <c r="A17" s="3290" t="s">
        <v>2659</v>
      </c>
      <c r="B17" s="3290"/>
      <c r="C17" s="3290"/>
      <c r="D17" s="3290"/>
      <c r="E17" s="3290"/>
      <c r="F17" s="3290"/>
      <c r="G17" s="3290"/>
      <c r="H17" s="3290"/>
    </row>
    <row r="18" spans="1:8" ht="24" customHeight="1">
      <c r="A18" s="3291" t="s">
        <v>2660</v>
      </c>
      <c r="B18" s="3291"/>
      <c r="C18" s="3291"/>
      <c r="D18" s="2514"/>
      <c r="E18" s="3292" t="s">
        <v>2661</v>
      </c>
      <c r="F18" s="3291"/>
      <c r="G18" s="3291"/>
    </row>
    <row r="19" spans="1:8" s="2525" customFormat="1" ht="24" customHeight="1">
      <c r="A19" s="2524" t="s">
        <v>2662</v>
      </c>
      <c r="B19" s="2513" t="s">
        <v>2663</v>
      </c>
      <c r="C19" s="2513" t="s">
        <v>2642</v>
      </c>
      <c r="D19" s="2514"/>
      <c r="E19" s="2518" t="s">
        <v>2662</v>
      </c>
      <c r="F19" s="2513" t="s">
        <v>2663</v>
      </c>
      <c r="G19" s="2513" t="s">
        <v>2642</v>
      </c>
    </row>
    <row r="20" spans="1:8" s="2525" customFormat="1" ht="24" customHeight="1">
      <c r="A20" s="2526" t="s">
        <v>2664</v>
      </c>
      <c r="B20" s="2526" t="s">
        <v>2665</v>
      </c>
      <c r="C20" s="2519">
        <v>44820</v>
      </c>
      <c r="D20" s="2527"/>
      <c r="E20" s="2528" t="s">
        <v>2666</v>
      </c>
      <c r="F20" s="2531" t="s">
        <v>2942</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2022-08-11T16:18:12Z</dcterms:modified>
</cp:coreProperties>
</file>