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E444D5F8-85CF-43EF-9313-7472EE88A488}" xr6:coauthVersionLast="47" xr6:coauthVersionMax="47" xr10:uidLastSave="{00000000-0000-0000-0000-000000000000}"/>
  <bookViews>
    <workbookView xWindow="-120" yWindow="-120" windowWidth="21840" windowHeight="1314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大宗比较法-商业" sheetId="87" r:id="rId37"/>
    <sheet name="标定地价" sheetId="81" r:id="rId38"/>
    <sheet name="土地成交" sheetId="86" r:id="rId39"/>
    <sheet name="sheet1" sheetId="84" r:id="rId40"/>
    <sheet name="大宗买卖" sheetId="85" r:id="rId41"/>
    <sheet name="Sheet3" sheetId="82" r:id="rId42"/>
    <sheet name="Sheet4" sheetId="83"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36" hidden="1">'大宗比较法-商业'!$A$1:$L$49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36">'大宗比较法-商业'!$A$1:$K$54,'大宗比较法-商业'!$A$57:$M$131</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36">'大宗比较法-商业'!$B$116:$M$116</definedName>
    <definedName name="商业层高">'比较法-商业'!$B$116:$M$116</definedName>
    <definedName name="商业成新度" localSheetId="36">'大宗比较法-商业'!$B$109:$M$109</definedName>
    <definedName name="商业成新度">'比较法-商业'!$B$109:$M$109</definedName>
    <definedName name="商业繁华度">定义!$L$1:$L$6</definedName>
    <definedName name="商业公共部分装修" localSheetId="36">'大宗比较法-商业'!$B$107:$M$107</definedName>
    <definedName name="商业公共部分装修">'比较法-商业'!$B$107:$M$107</definedName>
    <definedName name="商业基础设施水平" localSheetId="36">'大宗比较法-商业'!$B$112:$M$112</definedName>
    <definedName name="商业基础设施水平">'比较法-商业'!$B$112:$M$112</definedName>
    <definedName name="商业建筑结构" localSheetId="36">'大宗比较法-商业'!$B$105:$M$105</definedName>
    <definedName name="商业建筑结构">'比较法-商业'!$B$105:$M$105</definedName>
    <definedName name="商业交易情况" localSheetId="36">'大宗比较法-商业'!$A$61:$M$61</definedName>
    <definedName name="商业交易情况">'比较法-商业'!$A$61:$M$61</definedName>
    <definedName name="商业街名称">修正!$C$73:$C$140</definedName>
    <definedName name="商业进深比" localSheetId="36">'大宗比较法-商业'!$B$120:$M$120</definedName>
    <definedName name="商业进深比">'比较法-商业'!$B$120:$M$120</definedName>
    <definedName name="商业类型" localSheetId="36">'大宗比较法-商业'!$B$100:$M$100</definedName>
    <definedName name="商业类型">'比较法-商业'!$B$100:$M$100</definedName>
    <definedName name="商业临街状况" localSheetId="36">'大宗比较法-商业'!$B$86:$M$86</definedName>
    <definedName name="商业临街状况">'比较法-商业'!$B$86:$M$86</definedName>
    <definedName name="商业楼层" localSheetId="36">'大宗比较法-商业'!$B$92:$M$92</definedName>
    <definedName name="商业楼层">'比较法-商业'!$B$92:$M$92</definedName>
    <definedName name="商业内部装修" localSheetId="36">'大宗比较法-商业'!$B$122:$M$122</definedName>
    <definedName name="商业内部装修">'比较法-商业'!$B$122:$M$122</definedName>
    <definedName name="商业人流量" localSheetId="36">'大宗比较法-商业'!$B$90:$M$90</definedName>
    <definedName name="商业人流量">'比较法-商业'!$B$90:$M$90</definedName>
    <definedName name="商业业态" localSheetId="36">'大宗比较法-商业'!$B$114:$M$114</definedName>
    <definedName name="商业业态">'比较法-商业'!$B$114:$M$114</definedName>
    <definedName name="商业用途" localSheetId="36">'大宗比较法-商业'!$B$63:$M$63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54" i="87" l="1"/>
  <c r="J54" i="87" s="1"/>
  <c r="I5" i="87"/>
  <c r="G5" i="87"/>
  <c r="E5" i="87"/>
  <c r="B130" i="87"/>
  <c r="B128" i="87"/>
  <c r="B126" i="87"/>
  <c r="D125" i="87"/>
  <c r="E125" i="87" s="1"/>
  <c r="F125" i="87" s="1"/>
  <c r="G125" i="87" s="1"/>
  <c r="D123" i="87"/>
  <c r="E123" i="87" s="1"/>
  <c r="D121" i="87"/>
  <c r="E121" i="87" s="1"/>
  <c r="F121" i="87" s="1"/>
  <c r="G121" i="87" s="1"/>
  <c r="H121" i="87" s="1"/>
  <c r="I121" i="87" s="1"/>
  <c r="J121" i="87" s="1"/>
  <c r="K121" i="87" s="1"/>
  <c r="L121" i="87" s="1"/>
  <c r="M121" i="87" s="1"/>
  <c r="D117" i="87"/>
  <c r="E117" i="87" s="1"/>
  <c r="F117" i="87" s="1"/>
  <c r="G117" i="87" s="1"/>
  <c r="F115" i="87"/>
  <c r="G115" i="87" s="1"/>
  <c r="H115" i="87" s="1"/>
  <c r="I115" i="87" s="1"/>
  <c r="J115" i="87" s="1"/>
  <c r="K115" i="87" s="1"/>
  <c r="L115" i="87" s="1"/>
  <c r="M115" i="87" s="1"/>
  <c r="E115" i="87"/>
  <c r="D115" i="87"/>
  <c r="D113" i="87"/>
  <c r="E113" i="87" s="1"/>
  <c r="F113" i="87" s="1"/>
  <c r="G113" i="87" s="1"/>
  <c r="H113" i="87" s="1"/>
  <c r="I113" i="87" s="1"/>
  <c r="J113" i="87" s="1"/>
  <c r="K113" i="87" s="1"/>
  <c r="L113" i="87" s="1"/>
  <c r="M113" i="87" s="1"/>
  <c r="E111" i="87"/>
  <c r="F111" i="87" s="1"/>
  <c r="G111" i="87" s="1"/>
  <c r="D111" i="87"/>
  <c r="G109" i="87"/>
  <c r="F109" i="87"/>
  <c r="E109" i="87"/>
  <c r="D109" i="87"/>
  <c r="C109" i="87"/>
  <c r="D108" i="87"/>
  <c r="E108" i="87" s="1"/>
  <c r="F108" i="87" s="1"/>
  <c r="G108" i="87" s="1"/>
  <c r="H108" i="87" s="1"/>
  <c r="I108" i="87" s="1"/>
  <c r="J108" i="87" s="1"/>
  <c r="K108" i="87" s="1"/>
  <c r="L108" i="87" s="1"/>
  <c r="M108" i="87" s="1"/>
  <c r="F106" i="87"/>
  <c r="G106" i="87" s="1"/>
  <c r="H106" i="87" s="1"/>
  <c r="I106" i="87" s="1"/>
  <c r="J106" i="87" s="1"/>
  <c r="K106" i="87" s="1"/>
  <c r="L106" i="87" s="1"/>
  <c r="M106" i="87" s="1"/>
  <c r="D106" i="87"/>
  <c r="E106" i="87" s="1"/>
  <c r="D104" i="87"/>
  <c r="E104" i="87" s="1"/>
  <c r="F104" i="87" s="1"/>
  <c r="G104" i="87" s="1"/>
  <c r="H104" i="87" s="1"/>
  <c r="F33" i="87" s="1"/>
  <c r="M102" i="87"/>
  <c r="L102" i="87"/>
  <c r="K102" i="87"/>
  <c r="J102" i="87"/>
  <c r="I102" i="87"/>
  <c r="H102" i="87"/>
  <c r="G102" i="87"/>
  <c r="F102" i="87"/>
  <c r="E102" i="87"/>
  <c r="D102" i="87"/>
  <c r="C102" i="87"/>
  <c r="E101" i="87"/>
  <c r="F101" i="87" s="1"/>
  <c r="G101" i="87" s="1"/>
  <c r="H101" i="87" s="1"/>
  <c r="I101" i="87" s="1"/>
  <c r="J101" i="87" s="1"/>
  <c r="K101" i="87" s="1"/>
  <c r="L101" i="87" s="1"/>
  <c r="M101" i="87" s="1"/>
  <c r="D101" i="87"/>
  <c r="B98" i="87"/>
  <c r="B96" i="87"/>
  <c r="B94" i="87"/>
  <c r="J29" i="87" s="1"/>
  <c r="G93" i="87"/>
  <c r="B92" i="87"/>
  <c r="D91" i="87"/>
  <c r="E91" i="87" s="1"/>
  <c r="F91" i="87" s="1"/>
  <c r="G91" i="87" s="1"/>
  <c r="H91" i="87" s="1"/>
  <c r="I91" i="87" s="1"/>
  <c r="J91" i="87" s="1"/>
  <c r="K91" i="87" s="1"/>
  <c r="L91" i="87" s="1"/>
  <c r="M91" i="87" s="1"/>
  <c r="B90" i="87"/>
  <c r="B88" i="87"/>
  <c r="H87" i="87"/>
  <c r="I87" i="87" s="1"/>
  <c r="J87" i="87" s="1"/>
  <c r="K87" i="87" s="1"/>
  <c r="L87" i="87" s="1"/>
  <c r="M87" i="87" s="1"/>
  <c r="G87" i="87"/>
  <c r="D87" i="87"/>
  <c r="E87" i="87" s="1"/>
  <c r="F87" i="87" s="1"/>
  <c r="D85" i="87"/>
  <c r="E85" i="87" s="1"/>
  <c r="F85" i="87" s="1"/>
  <c r="G85" i="87" s="1"/>
  <c r="G83" i="87"/>
  <c r="D83" i="87"/>
  <c r="E83" i="87" s="1"/>
  <c r="F83" i="87" s="1"/>
  <c r="D81" i="87"/>
  <c r="E81" i="87" s="1"/>
  <c r="F81" i="87" s="1"/>
  <c r="G81" i="87" s="1"/>
  <c r="G79" i="87"/>
  <c r="D79" i="87"/>
  <c r="E79" i="87" s="1"/>
  <c r="F79" i="87" s="1"/>
  <c r="D77" i="87"/>
  <c r="E77" i="87" s="1"/>
  <c r="F77" i="87" s="1"/>
  <c r="G77" i="87" s="1"/>
  <c r="B74" i="87"/>
  <c r="B72" i="87"/>
  <c r="B70" i="87"/>
  <c r="E69" i="87"/>
  <c r="F69" i="87" s="1"/>
  <c r="G69" i="87" s="1"/>
  <c r="H69" i="87" s="1"/>
  <c r="I69" i="87" s="1"/>
  <c r="J69" i="87" s="1"/>
  <c r="K69" i="87" s="1"/>
  <c r="L69" i="87" s="1"/>
  <c r="M69" i="87" s="1"/>
  <c r="D69" i="87"/>
  <c r="M67" i="87"/>
  <c r="L67" i="87"/>
  <c r="K67" i="87"/>
  <c r="J67" i="87"/>
  <c r="I67" i="87"/>
  <c r="H67" i="87"/>
  <c r="G67" i="87"/>
  <c r="F67" i="87"/>
  <c r="E67" i="87"/>
  <c r="D67" i="87"/>
  <c r="C67" i="87"/>
  <c r="E66" i="87"/>
  <c r="F66" i="87" s="1"/>
  <c r="G66" i="87" s="1"/>
  <c r="D66" i="87"/>
  <c r="C63" i="87"/>
  <c r="P49" i="87"/>
  <c r="P48" i="87"/>
  <c r="K48" i="87"/>
  <c r="T47" i="87"/>
  <c r="R47" i="87"/>
  <c r="P47" i="87"/>
  <c r="AA46" i="87"/>
  <c r="Q46" i="87"/>
  <c r="Z46" i="87" s="1"/>
  <c r="J46" i="87"/>
  <c r="AC46" i="87" s="1"/>
  <c r="H46" i="87"/>
  <c r="AB46" i="87" s="1"/>
  <c r="F46" i="87"/>
  <c r="S46" i="87" s="1"/>
  <c r="Z45" i="87"/>
  <c r="Q45" i="87"/>
  <c r="J45" i="87"/>
  <c r="AC45" i="87" s="1"/>
  <c r="H45" i="87"/>
  <c r="AB45" i="87" s="1"/>
  <c r="F45" i="87"/>
  <c r="AA45" i="87" s="1"/>
  <c r="W44" i="87"/>
  <c r="Q44" i="87"/>
  <c r="Z44" i="87" s="1"/>
  <c r="J44" i="87"/>
  <c r="AC44" i="87" s="1"/>
  <c r="Q43" i="87"/>
  <c r="Z43" i="87" s="1"/>
  <c r="J43" i="87"/>
  <c r="AC43" i="87" s="1"/>
  <c r="H43" i="87"/>
  <c r="AB43" i="87" s="1"/>
  <c r="F43" i="87"/>
  <c r="AA43" i="87" s="1"/>
  <c r="Q42" i="87"/>
  <c r="Z42" i="87" s="1"/>
  <c r="H42" i="87"/>
  <c r="AB42" i="87" s="1"/>
  <c r="F42" i="87"/>
  <c r="S42" i="87" s="1"/>
  <c r="Z41" i="87"/>
  <c r="Q41" i="87"/>
  <c r="J41" i="87"/>
  <c r="AC41" i="87" s="1"/>
  <c r="H41" i="87"/>
  <c r="AB41" i="87" s="1"/>
  <c r="F41" i="87"/>
  <c r="AA41" i="87" s="1"/>
  <c r="W40" i="87"/>
  <c r="Q40" i="87"/>
  <c r="Z40" i="87" s="1"/>
  <c r="J40" i="87"/>
  <c r="AC40" i="87" s="1"/>
  <c r="H40" i="87"/>
  <c r="AB40" i="87" s="1"/>
  <c r="F40" i="87"/>
  <c r="AA40" i="87" s="1"/>
  <c r="AC39" i="87"/>
  <c r="Q39" i="87"/>
  <c r="Z39" i="87" s="1"/>
  <c r="J39" i="87"/>
  <c r="W39" i="87" s="1"/>
  <c r="H39" i="87"/>
  <c r="U39" i="87" s="1"/>
  <c r="F39" i="87"/>
  <c r="AA39" i="87" s="1"/>
  <c r="Q38" i="87"/>
  <c r="Z38" i="87" s="1"/>
  <c r="J38" i="87"/>
  <c r="AC38" i="87" s="1"/>
  <c r="H38" i="87"/>
  <c r="U38" i="87" s="1"/>
  <c r="F38" i="87"/>
  <c r="S38" i="87" s="1"/>
  <c r="Q37" i="87"/>
  <c r="Z37" i="87" s="1"/>
  <c r="J37" i="87"/>
  <c r="AC37" i="87" s="1"/>
  <c r="H37" i="87"/>
  <c r="AB37" i="87" s="1"/>
  <c r="F37" i="87"/>
  <c r="S37" i="87" s="1"/>
  <c r="Q36" i="87"/>
  <c r="Z36" i="87" s="1"/>
  <c r="AC35" i="87"/>
  <c r="W35" i="87"/>
  <c r="Q35" i="87"/>
  <c r="Z35" i="87" s="1"/>
  <c r="J35" i="87"/>
  <c r="H35" i="87"/>
  <c r="U35" i="87" s="1"/>
  <c r="F35" i="87"/>
  <c r="AA35" i="87" s="1"/>
  <c r="Q34" i="87"/>
  <c r="Z34" i="87" s="1"/>
  <c r="J34" i="87"/>
  <c r="AC34" i="87" s="1"/>
  <c r="H34" i="87"/>
  <c r="U34" i="87" s="1"/>
  <c r="F34" i="87"/>
  <c r="S34" i="87" s="1"/>
  <c r="Q33" i="87"/>
  <c r="Z33" i="87" s="1"/>
  <c r="C33" i="87"/>
  <c r="AA32" i="87"/>
  <c r="Z32" i="87"/>
  <c r="Q32" i="87"/>
  <c r="J32" i="87"/>
  <c r="AC32" i="87" s="1"/>
  <c r="H32" i="87"/>
  <c r="AB32" i="87" s="1"/>
  <c r="F32" i="87"/>
  <c r="S32" i="87" s="1"/>
  <c r="Z31" i="87"/>
  <c r="W31" i="87"/>
  <c r="Q31" i="87"/>
  <c r="J31" i="87"/>
  <c r="AC31" i="87" s="1"/>
  <c r="H31" i="87"/>
  <c r="AB31" i="87" s="1"/>
  <c r="F31" i="87"/>
  <c r="AA31" i="87" s="1"/>
  <c r="AC30" i="87"/>
  <c r="W30" i="87"/>
  <c r="Q30" i="87"/>
  <c r="Z30" i="87" s="1"/>
  <c r="J30" i="87"/>
  <c r="H30" i="87"/>
  <c r="U30" i="87" s="1"/>
  <c r="F30" i="87"/>
  <c r="AA30" i="87" s="1"/>
  <c r="AB29" i="87"/>
  <c r="U29" i="87"/>
  <c r="Q29" i="87"/>
  <c r="Z29" i="87" s="1"/>
  <c r="H29" i="87"/>
  <c r="F29" i="87"/>
  <c r="S29" i="87" s="1"/>
  <c r="Q28" i="87"/>
  <c r="Z28" i="87" s="1"/>
  <c r="F28" i="87"/>
  <c r="AA28" i="87" s="1"/>
  <c r="Q27" i="87"/>
  <c r="Z27" i="87" s="1"/>
  <c r="J27" i="87"/>
  <c r="W27" i="87" s="1"/>
  <c r="H27" i="87"/>
  <c r="U27" i="87" s="1"/>
  <c r="F27" i="87"/>
  <c r="AA27" i="87" s="1"/>
  <c r="Q26" i="87"/>
  <c r="Z26" i="87" s="1"/>
  <c r="J26" i="87"/>
  <c r="AC26" i="87" s="1"/>
  <c r="H26" i="87"/>
  <c r="AB26" i="87" s="1"/>
  <c r="F26" i="87"/>
  <c r="AA26" i="87" s="1"/>
  <c r="Q25" i="87"/>
  <c r="Z25" i="87" s="1"/>
  <c r="J25" i="87"/>
  <c r="AC25" i="87" s="1"/>
  <c r="H25" i="87"/>
  <c r="AB25" i="87" s="1"/>
  <c r="F25" i="87"/>
  <c r="AA25" i="87" s="1"/>
  <c r="Q23" i="87"/>
  <c r="Z23" i="87" s="1"/>
  <c r="J23" i="87"/>
  <c r="AC23" i="87" s="1"/>
  <c r="H23" i="87"/>
  <c r="AB23" i="87" s="1"/>
  <c r="F23" i="87"/>
  <c r="AA23" i="87" s="1"/>
  <c r="C23" i="87"/>
  <c r="Q21" i="87"/>
  <c r="Z21" i="87" s="1"/>
  <c r="J21" i="87"/>
  <c r="AC21" i="87" s="1"/>
  <c r="H21" i="87"/>
  <c r="AB21" i="87" s="1"/>
  <c r="F21" i="87"/>
  <c r="AA21" i="87" s="1"/>
  <c r="C21" i="87"/>
  <c r="Q19" i="87"/>
  <c r="Z19" i="87" s="1"/>
  <c r="J19" i="87"/>
  <c r="AC19" i="87" s="1"/>
  <c r="H19" i="87"/>
  <c r="AB19" i="87" s="1"/>
  <c r="F19" i="87"/>
  <c r="AA19" i="87" s="1"/>
  <c r="C19" i="87"/>
  <c r="Q17" i="87"/>
  <c r="Z17" i="87" s="1"/>
  <c r="J17" i="87"/>
  <c r="AC17" i="87" s="1"/>
  <c r="H17" i="87"/>
  <c r="AB17" i="87" s="1"/>
  <c r="F17" i="87"/>
  <c r="AA17" i="87" s="1"/>
  <c r="C17" i="87"/>
  <c r="Q15" i="87"/>
  <c r="Z15" i="87" s="1"/>
  <c r="J15" i="87"/>
  <c r="AC15" i="87" s="1"/>
  <c r="H15" i="87"/>
  <c r="AB15" i="87" s="1"/>
  <c r="F15" i="87"/>
  <c r="AA15" i="87" s="1"/>
  <c r="C15" i="87"/>
  <c r="Q14" i="87"/>
  <c r="Z14" i="87" s="1"/>
  <c r="J14" i="87"/>
  <c r="AC14" i="87" s="1"/>
  <c r="H14" i="87"/>
  <c r="AB14" i="87" s="1"/>
  <c r="F14" i="87"/>
  <c r="AA14" i="87" s="1"/>
  <c r="Q13" i="87"/>
  <c r="Z13" i="87" s="1"/>
  <c r="J13" i="87"/>
  <c r="AC13" i="87" s="1"/>
  <c r="H13" i="87"/>
  <c r="AB13" i="87" s="1"/>
  <c r="F13" i="87"/>
  <c r="AA13" i="87" s="1"/>
  <c r="Q12" i="87"/>
  <c r="Z12" i="87" s="1"/>
  <c r="J12" i="87"/>
  <c r="AC12" i="87" s="1"/>
  <c r="H12" i="87"/>
  <c r="AB12" i="87" s="1"/>
  <c r="F12" i="87"/>
  <c r="AA12" i="87" s="1"/>
  <c r="Q11" i="87"/>
  <c r="Z11" i="87" s="1"/>
  <c r="J11" i="87"/>
  <c r="AC11" i="87" s="1"/>
  <c r="H11" i="87"/>
  <c r="AB11" i="87" s="1"/>
  <c r="F11" i="87"/>
  <c r="AA11" i="87" s="1"/>
  <c r="Q10" i="87"/>
  <c r="Z10" i="87" s="1"/>
  <c r="Q9" i="87"/>
  <c r="Z9" i="87" s="1"/>
  <c r="J9" i="87"/>
  <c r="AC9" i="87" s="1"/>
  <c r="H9" i="87"/>
  <c r="AB9" i="87" s="1"/>
  <c r="F9" i="87"/>
  <c r="AA9" i="87" s="1"/>
  <c r="J8" i="87"/>
  <c r="W8" i="87" s="1"/>
  <c r="H8" i="87"/>
  <c r="AB8" i="87" s="1"/>
  <c r="F8" i="87"/>
  <c r="S8" i="87" s="1"/>
  <c r="I7" i="87"/>
  <c r="J7" i="87" s="1"/>
  <c r="G7" i="87"/>
  <c r="E7" i="87"/>
  <c r="C7" i="87"/>
  <c r="C58" i="87" s="1"/>
  <c r="D58" i="87" s="1"/>
  <c r="E58" i="87" s="1"/>
  <c r="F58" i="87" s="1"/>
  <c r="G58" i="87" s="1"/>
  <c r="H58" i="87" s="1"/>
  <c r="I58" i="87" s="1"/>
  <c r="J58" i="87" s="1"/>
  <c r="K58" i="87" s="1"/>
  <c r="L58" i="87" s="1"/>
  <c r="M58" i="87" s="1"/>
  <c r="N58" i="87" s="1"/>
  <c r="O58" i="87" s="1"/>
  <c r="D3" i="87"/>
  <c r="B14" i="74"/>
  <c r="G93" i="33"/>
  <c r="E104" i="33"/>
  <c r="F104" i="33" s="1"/>
  <c r="G104" i="33" s="1"/>
  <c r="H104" i="33" s="1"/>
  <c r="D104" i="33"/>
  <c r="C33" i="33"/>
  <c r="I66" i="33"/>
  <c r="D66" i="33"/>
  <c r="E66" i="33" s="1"/>
  <c r="F66" i="33" s="1"/>
  <c r="G66" i="33" s="1"/>
  <c r="H66" i="33" s="1"/>
  <c r="D2" i="87"/>
  <c r="F123" i="87" l="1"/>
  <c r="G123" i="87" s="1"/>
  <c r="H123" i="87" s="1"/>
  <c r="I123" i="87" s="1"/>
  <c r="J123" i="87" s="1"/>
  <c r="K123" i="87" s="1"/>
  <c r="L123" i="87" s="1"/>
  <c r="M123" i="87" s="1"/>
  <c r="J42" i="87"/>
  <c r="AC42" i="87" s="1"/>
  <c r="AA42" i="87"/>
  <c r="V47" i="87"/>
  <c r="G54" i="87"/>
  <c r="H54" i="87" s="1"/>
  <c r="E54" i="87"/>
  <c r="F54" i="87" s="1"/>
  <c r="AC8" i="87"/>
  <c r="U8" i="87"/>
  <c r="H66" i="87"/>
  <c r="I66" i="87" s="1"/>
  <c r="F10" i="87"/>
  <c r="J10" i="87"/>
  <c r="H10" i="87"/>
  <c r="S33" i="87"/>
  <c r="AA33" i="87"/>
  <c r="F7" i="87"/>
  <c r="W7" i="87"/>
  <c r="AC7" i="87"/>
  <c r="H7" i="87"/>
  <c r="H111" i="87"/>
  <c r="I111" i="87" s="1"/>
  <c r="J111" i="87" s="1"/>
  <c r="K111" i="87" s="1"/>
  <c r="L111" i="87" s="1"/>
  <c r="M111" i="87" s="1"/>
  <c r="H36" i="87"/>
  <c r="F36" i="87"/>
  <c r="J36" i="87"/>
  <c r="U11" i="87"/>
  <c r="W12" i="87"/>
  <c r="S19" i="87"/>
  <c r="S23" i="87"/>
  <c r="S9" i="87"/>
  <c r="W11" i="87"/>
  <c r="S13" i="87"/>
  <c r="U14" i="87"/>
  <c r="U15" i="87"/>
  <c r="U17" i="87"/>
  <c r="U19" i="87"/>
  <c r="U21" i="87"/>
  <c r="U23" i="87"/>
  <c r="W25" i="87"/>
  <c r="S27" i="87"/>
  <c r="AB27" i="87"/>
  <c r="S28" i="87"/>
  <c r="AA29" i="87"/>
  <c r="AB30" i="87"/>
  <c r="J33" i="87"/>
  <c r="H33" i="87"/>
  <c r="AA34" i="87"/>
  <c r="AB35" i="87"/>
  <c r="AA38" i="87"/>
  <c r="AB39" i="87"/>
  <c r="U43" i="87"/>
  <c r="S15" i="87"/>
  <c r="AA8" i="87"/>
  <c r="U9" i="87"/>
  <c r="S12" i="87"/>
  <c r="U13" i="87"/>
  <c r="W14" i="87"/>
  <c r="W15" i="87"/>
  <c r="W19" i="87"/>
  <c r="W21" i="87"/>
  <c r="W23" i="87"/>
  <c r="S26" i="87"/>
  <c r="AC27" i="87"/>
  <c r="AB34" i="87"/>
  <c r="AA37" i="87"/>
  <c r="AB38" i="87"/>
  <c r="S41" i="87"/>
  <c r="U42" i="87"/>
  <c r="W43" i="87"/>
  <c r="S45" i="87"/>
  <c r="U46" i="87"/>
  <c r="J28" i="87"/>
  <c r="H28" i="87"/>
  <c r="H44" i="87"/>
  <c r="F44" i="87"/>
  <c r="S17" i="87"/>
  <c r="W17" i="87"/>
  <c r="W9" i="87"/>
  <c r="S11" i="87"/>
  <c r="U12" i="87"/>
  <c r="W13" i="87"/>
  <c r="S25" i="87"/>
  <c r="U26" i="87"/>
  <c r="AC29" i="87"/>
  <c r="W29" i="87"/>
  <c r="S14" i="87"/>
  <c r="S21" i="87"/>
  <c r="U25" i="87"/>
  <c r="W26" i="87"/>
  <c r="S31" i="87"/>
  <c r="U32" i="87"/>
  <c r="W34" i="87"/>
  <c r="U37" i="87"/>
  <c r="W38" i="87"/>
  <c r="S40" i="87"/>
  <c r="U41" i="87"/>
  <c r="U45" i="87"/>
  <c r="W46" i="87"/>
  <c r="S30" i="87"/>
  <c r="U31" i="87"/>
  <c r="W32" i="87"/>
  <c r="S35" i="87"/>
  <c r="W37" i="87"/>
  <c r="S39" i="87"/>
  <c r="U40" i="87"/>
  <c r="W41" i="87"/>
  <c r="S43" i="87"/>
  <c r="W45" i="87"/>
  <c r="Y22" i="1"/>
  <c r="Y23" i="1"/>
  <c r="Y21" i="1"/>
  <c r="N6" i="1"/>
  <c r="Y6" i="1" s="1"/>
  <c r="N21" i="1"/>
  <c r="N19" i="1"/>
  <c r="W22" i="1"/>
  <c r="W23" i="1"/>
  <c r="W21" i="1"/>
  <c r="L5" i="82"/>
  <c r="L3" i="82"/>
  <c r="O20" i="81"/>
  <c r="Q12" i="81"/>
  <c r="P8" i="81"/>
  <c r="O8" i="81" s="1"/>
  <c r="O19" i="81" s="1"/>
  <c r="O21" i="81" s="1"/>
  <c r="B28" i="1"/>
  <c r="G28" i="1"/>
  <c r="F28" i="1"/>
  <c r="X20" i="1"/>
  <c r="X23" i="1" s="1"/>
  <c r="W42" i="87" l="1"/>
  <c r="AB44" i="87"/>
  <c r="U44" i="87"/>
  <c r="AB33" i="87"/>
  <c r="U33" i="87"/>
  <c r="U7" i="87"/>
  <c r="AB7" i="87"/>
  <c r="AC10" i="87"/>
  <c r="V48" i="87" s="1"/>
  <c r="I48" i="87" s="1"/>
  <c r="W10" i="87"/>
  <c r="AB10" i="87"/>
  <c r="U10" i="87"/>
  <c r="AC33" i="87"/>
  <c r="W33" i="87"/>
  <c r="AA10" i="87"/>
  <c r="S10" i="87"/>
  <c r="S7" i="87"/>
  <c r="AA7" i="87"/>
  <c r="AB28" i="87"/>
  <c r="U28" i="87"/>
  <c r="AC36" i="87"/>
  <c r="W36" i="87"/>
  <c r="AC28" i="87"/>
  <c r="W28" i="87"/>
  <c r="AA36" i="87"/>
  <c r="S36" i="87"/>
  <c r="AA44" i="87"/>
  <c r="S44" i="87"/>
  <c r="AB36" i="87"/>
  <c r="U36" i="87"/>
  <c r="AA23" i="1"/>
  <c r="R12" i="81"/>
  <c r="R15" i="81"/>
  <c r="R13" i="81"/>
  <c r="R14" i="81"/>
  <c r="Q15" i="81"/>
  <c r="Q13" i="81"/>
  <c r="Q14" i="81"/>
  <c r="X21" i="1"/>
  <c r="AA21" i="1" s="1"/>
  <c r="Z20" i="1"/>
  <c r="X22" i="1"/>
  <c r="AA22" i="1" s="1"/>
  <c r="AA20" i="1"/>
  <c r="I52" i="87" l="1"/>
  <c r="J52" i="87" s="1"/>
  <c r="T48" i="87"/>
  <c r="G48" i="87" s="1"/>
  <c r="R48" i="87"/>
  <c r="R16" i="81"/>
  <c r="C6" i="68" s="1"/>
  <c r="Q16" i="81"/>
  <c r="X26" i="1"/>
  <c r="AA26" i="1"/>
  <c r="Y26" i="1" s="1"/>
  <c r="Z23" i="1"/>
  <c r="Z21" i="1"/>
  <c r="Z22" i="1"/>
  <c r="G53" i="87" l="1"/>
  <c r="H53" i="87" s="1"/>
  <c r="G52" i="87"/>
  <c r="H52" i="87" s="1"/>
  <c r="R49" i="87"/>
  <c r="E48" i="87"/>
  <c r="Z26" i="1"/>
  <c r="W26" i="1" s="1"/>
  <c r="U6" i="1" s="1"/>
  <c r="E52" i="87" l="1"/>
  <c r="F52" i="87" s="1"/>
  <c r="E53" i="87"/>
  <c r="F53" i="87" s="1"/>
  <c r="I53" i="87"/>
  <c r="J53" i="87" s="1"/>
  <c r="C48" i="87"/>
  <c r="C49" i="87"/>
  <c r="F19" i="6"/>
  <c r="E27" i="45"/>
  <c r="B2" i="87" l="1"/>
  <c r="B3" i="87"/>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7" i="79"/>
  <c r="AD36" i="79"/>
  <c r="AD35"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T40" i="79"/>
  <c r="U46" i="79"/>
  <c r="AI46" i="79" s="1"/>
  <c r="AD47" i="79"/>
  <c r="S48" i="79"/>
  <c r="AG48" i="79" s="1"/>
  <c r="U50" i="79"/>
  <c r="AI50" i="79" s="1"/>
  <c r="AD51" i="79"/>
  <c r="AR20" i="79"/>
  <c r="AR21" i="79" s="1"/>
  <c r="AR22" i="79" s="1"/>
  <c r="AR23" i="79" s="1"/>
  <c r="AR24" i="79" s="1"/>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51" i="79"/>
  <c r="AK51" i="79" s="1"/>
  <c r="AH51" i="79"/>
  <c r="W44" i="79"/>
  <c r="AK44" i="79" s="1"/>
  <c r="AH44" i="79"/>
  <c r="W33" i="79"/>
  <c r="AK33" i="79" s="1"/>
  <c r="AH33" i="79"/>
  <c r="W40" i="79"/>
  <c r="AK40" i="79" s="1"/>
  <c r="AH40" i="79"/>
  <c r="W15" i="79"/>
  <c r="AK15" i="79" s="1"/>
  <c r="AH15" i="79"/>
  <c r="W13" i="79"/>
  <c r="AK13" i="79" s="1"/>
  <c r="AH13" i="79"/>
  <c r="W48" i="79"/>
  <c r="AK48" i="79" s="1"/>
  <c r="AH48" i="79"/>
  <c r="W43" i="79"/>
  <c r="AK43" i="79" s="1"/>
  <c r="AH43" i="79"/>
  <c r="W35" i="79"/>
  <c r="AK35" i="79" s="1"/>
  <c r="AH35" i="79"/>
  <c r="W16" i="79"/>
  <c r="AK16" i="79" s="1"/>
  <c r="AH16" i="79"/>
  <c r="W49" i="79"/>
  <c r="AK49" i="79" s="1"/>
  <c r="AH49" i="79"/>
  <c r="W38" i="79"/>
  <c r="AK38" i="79" s="1"/>
  <c r="AH38" i="79"/>
  <c r="W23" i="79"/>
  <c r="AK23" i="79" s="1"/>
  <c r="AH23" i="79"/>
  <c r="W12" i="79"/>
  <c r="AK12" i="79" s="1"/>
  <c r="AH12" i="79"/>
  <c r="W21" i="79"/>
  <c r="AK21" i="79" s="1"/>
  <c r="AH21" i="79"/>
  <c r="W47" i="79"/>
  <c r="AK47" i="79" s="1"/>
  <c r="AH47" i="79"/>
  <c r="W45" i="79"/>
  <c r="AK45" i="79" s="1"/>
  <c r="AH45" i="79"/>
  <c r="W22" i="79"/>
  <c r="AK22" i="79" s="1"/>
  <c r="AH22" i="79"/>
  <c r="W19" i="79"/>
  <c r="AK19" i="79" s="1"/>
  <c r="AH19" i="79"/>
  <c r="W50" i="79"/>
  <c r="AK50" i="79" s="1"/>
  <c r="AH50" i="79"/>
  <c r="W41" i="79"/>
  <c r="AK41" i="79" s="1"/>
  <c r="AH41" i="79"/>
  <c r="W46" i="79"/>
  <c r="AK46" i="79" s="1"/>
  <c r="AH46" i="79"/>
  <c r="W11" i="79"/>
  <c r="AK11" i="79" s="1"/>
  <c r="AH11" i="79"/>
  <c r="W17" i="79"/>
  <c r="AK17" i="79" s="1"/>
  <c r="AH17" i="79"/>
  <c r="W10" i="79"/>
  <c r="AK10" i="79" s="1"/>
  <c r="AH10" i="79"/>
  <c r="W18" i="79"/>
  <c r="AK18" i="79" s="1"/>
  <c r="AH18" i="79"/>
  <c r="W20" i="79"/>
  <c r="AK20" i="79" s="1"/>
  <c r="AH20"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s="1"/>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C8" i="68"/>
  <c r="B49" i="48"/>
  <c r="B5" i="72" s="1"/>
  <c r="D89" i="71"/>
  <c r="F88" i="71"/>
  <c r="F87" i="71" s="1"/>
  <c r="F86" i="71" s="1"/>
  <c r="E88" i="71"/>
  <c r="E87" i="71" s="1"/>
  <c r="E86" i="71" s="1"/>
  <c r="C88" i="71"/>
  <c r="B88" i="71"/>
  <c r="B87" i="71"/>
  <c r="B86" i="71" s="1"/>
  <c r="D85" i="71"/>
  <c r="F84" i="71"/>
  <c r="F83" i="71" s="1"/>
  <c r="F82" i="71" s="1"/>
  <c r="E84" i="71"/>
  <c r="E83" i="71" s="1"/>
  <c r="E82" i="71" s="1"/>
  <c r="C84" i="71"/>
  <c r="D84" i="71"/>
  <c r="B84" i="71"/>
  <c r="B83" i="7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E72" i="71"/>
  <c r="U72" i="71"/>
  <c r="C72" i="71"/>
  <c r="T72" i="71" s="1"/>
  <c r="B72" i="71"/>
  <c r="Q71" i="71"/>
  <c r="P71" i="71"/>
  <c r="O71" i="71"/>
  <c r="N71" i="71"/>
  <c r="Q70" i="71"/>
  <c r="P70" i="71"/>
  <c r="O70" i="71"/>
  <c r="N70" i="71"/>
  <c r="Q69" i="71"/>
  <c r="P69" i="71"/>
  <c r="O69" i="71"/>
  <c r="N69" i="71"/>
  <c r="D69" i="71"/>
  <c r="F68" i="71"/>
  <c r="V68" i="71"/>
  <c r="E68" i="71"/>
  <c r="P68" i="71" s="1"/>
  <c r="C68" i="71"/>
  <c r="B68" i="71"/>
  <c r="B67" i="71" s="1"/>
  <c r="S68" i="71"/>
  <c r="F67"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D56" i="71" s="1"/>
  <c r="N53" i="71"/>
  <c r="B54"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C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c r="B43" i="71"/>
  <c r="B44" i="71" s="1"/>
  <c r="S44" i="71" s="1"/>
  <c r="D41" i="71"/>
  <c r="Q40" i="71"/>
  <c r="P40" i="71"/>
  <c r="O40" i="71"/>
  <c r="N40" i="71"/>
  <c r="Q39" i="71"/>
  <c r="AB39" i="71" s="1"/>
  <c r="P39" i="71"/>
  <c r="AA38" i="71" s="1"/>
  <c r="AA39" i="71"/>
  <c r="O39" i="71"/>
  <c r="N39" i="71"/>
  <c r="X39" i="71"/>
  <c r="Q38" i="71"/>
  <c r="P38" i="71"/>
  <c r="O38" i="71"/>
  <c r="Y38" i="71" s="1"/>
  <c r="Z38" i="71" s="1"/>
  <c r="N38" i="71"/>
  <c r="X38" i="71" s="1"/>
  <c r="F38" i="71"/>
  <c r="F39" i="71" s="1"/>
  <c r="F40" i="71" s="1"/>
  <c r="V40" i="71" s="1"/>
  <c r="Q37" i="71"/>
  <c r="P37" i="71"/>
  <c r="E38" i="71" s="1"/>
  <c r="E39" i="71" s="1"/>
  <c r="O37" i="71"/>
  <c r="N37" i="71"/>
  <c r="D37" i="71"/>
  <c r="Q36" i="71"/>
  <c r="P36" i="71"/>
  <c r="O36" i="71"/>
  <c r="Y35" i="71" s="1"/>
  <c r="Z35" i="71" s="1"/>
  <c r="N36" i="71"/>
  <c r="Q35" i="71"/>
  <c r="P35" i="71"/>
  <c r="AA35" i="71" s="1"/>
  <c r="O35" i="71"/>
  <c r="N35" i="71"/>
  <c r="X34" i="71" s="1"/>
  <c r="Q34" i="71"/>
  <c r="P34" i="71"/>
  <c r="O34" i="71"/>
  <c r="N34" i="71"/>
  <c r="Q33" i="71"/>
  <c r="P33" i="71"/>
  <c r="O33" i="71"/>
  <c r="N33" i="71"/>
  <c r="B34" i="71" s="1"/>
  <c r="B35" i="71" s="1"/>
  <c r="B36" i="71" s="1"/>
  <c r="S36" i="71" s="1"/>
  <c r="D33" i="71"/>
  <c r="Q32" i="71"/>
  <c r="P32" i="71"/>
  <c r="O32" i="71"/>
  <c r="N32" i="71"/>
  <c r="X32" i="71" s="1"/>
  <c r="Q31" i="71"/>
  <c r="P31" i="71"/>
  <c r="O31" i="71"/>
  <c r="N31" i="71"/>
  <c r="Q30" i="71"/>
  <c r="P30" i="71"/>
  <c r="O30" i="71"/>
  <c r="Y30" i="71"/>
  <c r="Z30" i="71" s="1"/>
  <c r="N30" i="71"/>
  <c r="Q29" i="71"/>
  <c r="F30" i="71" s="1"/>
  <c r="F31" i="71" s="1"/>
  <c r="F32" i="71" s="1"/>
  <c r="V32" i="71" s="1"/>
  <c r="P29" i="71"/>
  <c r="O29" i="71"/>
  <c r="Y28" i="71" s="1"/>
  <c r="Z28" i="71" s="1"/>
  <c r="N29" i="71"/>
  <c r="D29" i="71"/>
  <c r="O28" i="71"/>
  <c r="N28" i="71"/>
  <c r="B30" i="71"/>
  <c r="B31" i="71"/>
  <c r="E30" i="71"/>
  <c r="E31" i="71"/>
  <c r="E32" i="71" s="1"/>
  <c r="U32" i="71" s="1"/>
  <c r="E40" i="71"/>
  <c r="U40" i="71" s="1"/>
  <c r="AA37" i="71"/>
  <c r="C34" i="71"/>
  <c r="C38" i="71"/>
  <c r="D38" i="71" s="1"/>
  <c r="Y37" i="71"/>
  <c r="Z37" i="71" s="1"/>
  <c r="F51" i="71"/>
  <c r="F52" i="71" s="1"/>
  <c r="V52" i="71" s="1"/>
  <c r="C39" i="71"/>
  <c r="D47" i="71"/>
  <c r="D46" i="71"/>
  <c r="D50" i="71"/>
  <c r="P28" i="71"/>
  <c r="E60" i="71"/>
  <c r="U60" i="71" s="1"/>
  <c r="E63" i="71"/>
  <c r="E64" i="71" s="1"/>
  <c r="U64" i="71" s="1"/>
  <c r="U68" i="71"/>
  <c r="E67" i="71"/>
  <c r="E66" i="71" s="1"/>
  <c r="P65" i="71" s="1"/>
  <c r="Q28" i="71"/>
  <c r="D54" i="71"/>
  <c r="C59" i="71"/>
  <c r="T68" i="71"/>
  <c r="O68" i="71"/>
  <c r="D68" i="71"/>
  <c r="C67" i="71"/>
  <c r="D67" i="71" s="1"/>
  <c r="Q68" i="71"/>
  <c r="C71" i="71"/>
  <c r="E71" i="71"/>
  <c r="E70" i="71"/>
  <c r="D72" i="71"/>
  <c r="C75" i="71"/>
  <c r="D75" i="71" s="1"/>
  <c r="D76" i="71"/>
  <c r="C79" i="71"/>
  <c r="D80" i="71"/>
  <c r="C83" i="71"/>
  <c r="F28" i="71"/>
  <c r="C66" i="71"/>
  <c r="C74" i="71"/>
  <c r="D74" i="71" s="1"/>
  <c r="D79" i="71"/>
  <c r="C78" i="71"/>
  <c r="D78" i="71" s="1"/>
  <c r="P67" i="71"/>
  <c r="D51" i="71"/>
  <c r="P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F18" i="35"/>
  <c r="C18" i="35"/>
  <c r="Q21" i="37"/>
  <c r="Z21" i="37" s="1"/>
  <c r="D77" i="37"/>
  <c r="E77" i="37" s="1"/>
  <c r="F77" i="37" s="1"/>
  <c r="G77" i="37" s="1"/>
  <c r="C21" i="37"/>
  <c r="Q21" i="34"/>
  <c r="Z21" i="34" s="1"/>
  <c r="D84" i="34"/>
  <c r="E84" i="34" s="1"/>
  <c r="F21" i="34"/>
  <c r="AA21" i="34"/>
  <c r="C21" i="34"/>
  <c r="Q21" i="33"/>
  <c r="Z21" i="33" s="1"/>
  <c r="D83" i="33"/>
  <c r="E83" i="33" s="1"/>
  <c r="F83" i="33" s="1"/>
  <c r="G83" i="33" s="1"/>
  <c r="C21" i="33"/>
  <c r="C21" i="21"/>
  <c r="Q21" i="21"/>
  <c r="Z21" i="21" s="1"/>
  <c r="H19" i="21"/>
  <c r="D83" i="21"/>
  <c r="F21" i="21"/>
  <c r="AA21" i="21" s="1"/>
  <c r="D81" i="21"/>
  <c r="G20" i="20"/>
  <c r="C25" i="40" s="1"/>
  <c r="B88" i="43"/>
  <c r="C22" i="20"/>
  <c r="B68" i="43" s="1"/>
  <c r="C29" i="39"/>
  <c r="S21" i="34"/>
  <c r="H25" i="40"/>
  <c r="AB25" i="40" s="1"/>
  <c r="J25" i="40"/>
  <c r="H29" i="39"/>
  <c r="AB29" i="39" s="1"/>
  <c r="J29" i="39"/>
  <c r="J18" i="36"/>
  <c r="AC18" i="36" s="1"/>
  <c r="H18" i="35"/>
  <c r="AB18" i="35" s="1"/>
  <c r="G68" i="35"/>
  <c r="J18" i="35"/>
  <c r="H21" i="37"/>
  <c r="F21" i="37"/>
  <c r="AA21" i="37" s="1"/>
  <c r="F84" i="34"/>
  <c r="G84" i="34" s="1"/>
  <c r="H21" i="34"/>
  <c r="AB21" i="34" s="1"/>
  <c r="H21" i="33"/>
  <c r="U21" i="33" s="1"/>
  <c r="F21" i="33"/>
  <c r="S21" i="33" s="1"/>
  <c r="E83" i="21"/>
  <c r="F83" i="21" s="1"/>
  <c r="G83" i="21" s="1"/>
  <c r="H1" i="69"/>
  <c r="AC25" i="40"/>
  <c r="W25" i="40"/>
  <c r="U25" i="40"/>
  <c r="U29" i="39"/>
  <c r="W18" i="36"/>
  <c r="AB21" i="37"/>
  <c r="U21" i="37"/>
  <c r="U21" i="34"/>
  <c r="AB21" i="33"/>
  <c r="AA21" i="33"/>
  <c r="AC18" i="35"/>
  <c r="W18" i="35"/>
  <c r="J21" i="37"/>
  <c r="W21" i="37" s="1"/>
  <c r="J21" i="34"/>
  <c r="W21" i="34" s="1"/>
  <c r="J21" i="33"/>
  <c r="W21" i="33" s="1"/>
  <c r="H21" i="21"/>
  <c r="U21" i="21" s="1"/>
  <c r="F38" i="69"/>
  <c r="E37" i="69"/>
  <c r="F36" i="69"/>
  <c r="F35" i="69"/>
  <c r="F21" i="69"/>
  <c r="F40" i="69" s="1"/>
  <c r="F20" i="69"/>
  <c r="F39" i="69" s="1"/>
  <c r="E10" i="69"/>
  <c r="E9" i="69"/>
  <c r="J21" i="21"/>
  <c r="C40" i="69"/>
  <c r="F38" i="68"/>
  <c r="E37" i="68"/>
  <c r="F36" i="68"/>
  <c r="F35" i="68"/>
  <c r="F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9"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W41" i="33" s="1"/>
  <c r="D113" i="33"/>
  <c r="F37" i="33"/>
  <c r="S37" i="33" s="1"/>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F12" i="34"/>
  <c r="S12" i="34" s="1"/>
  <c r="Q11" i="34"/>
  <c r="Z11" i="34" s="1"/>
  <c r="Q10" i="34"/>
  <c r="Z10" i="34"/>
  <c r="F10" i="34"/>
  <c r="AA10" i="34" s="1"/>
  <c r="Q9" i="34"/>
  <c r="Z9" i="34" s="1"/>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AB36" i="39" s="1"/>
  <c r="J35" i="39"/>
  <c r="AC35" i="39" s="1"/>
  <c r="F35" i="39"/>
  <c r="AA35" i="39"/>
  <c r="U9" i="39"/>
  <c r="W40" i="39"/>
  <c r="W25" i="37"/>
  <c r="U30" i="37"/>
  <c r="W31" i="37"/>
  <c r="E103" i="37"/>
  <c r="F103" i="37" s="1"/>
  <c r="G103" i="37" s="1"/>
  <c r="H103" i="37" s="1"/>
  <c r="I103" i="37" s="1"/>
  <c r="J103" i="37" s="1"/>
  <c r="K103" i="37" s="1"/>
  <c r="L103" i="37" s="1"/>
  <c r="M103" i="37" s="1"/>
  <c r="F29" i="36"/>
  <c r="AA29" i="36" s="1"/>
  <c r="F16" i="36"/>
  <c r="AA16" i="36" s="1"/>
  <c r="W28" i="36"/>
  <c r="H22" i="35"/>
  <c r="AB22" i="35"/>
  <c r="AC27" i="35"/>
  <c r="W28" i="35"/>
  <c r="U31" i="35"/>
  <c r="W22" i="35"/>
  <c r="U34" i="35"/>
  <c r="F36" i="34"/>
  <c r="J35" i="34"/>
  <c r="U34" i="34"/>
  <c r="H39" i="33"/>
  <c r="AB39" i="33" s="1"/>
  <c r="W39" i="33"/>
  <c r="H39" i="37"/>
  <c r="AB39" i="37" s="1"/>
  <c r="S27" i="35"/>
  <c r="F11" i="40"/>
  <c r="AA11" i="40" s="1"/>
  <c r="H11" i="40"/>
  <c r="AB11" i="40"/>
  <c r="W8" i="40"/>
  <c r="AB39" i="40"/>
  <c r="S34" i="40"/>
  <c r="U38"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c r="H36" i="40"/>
  <c r="AB36" i="40" s="1"/>
  <c r="F35" i="40"/>
  <c r="AA35" i="40"/>
  <c r="H23" i="40"/>
  <c r="AB23" i="40" s="1"/>
  <c r="H17" i="40"/>
  <c r="U17" i="40" s="1"/>
  <c r="J15" i="40"/>
  <c r="W15" i="40" s="1"/>
  <c r="J11" i="40"/>
  <c r="W11" i="40"/>
  <c r="AC12" i="34"/>
  <c r="AB12" i="35"/>
  <c r="W32" i="40"/>
  <c r="S44" i="39"/>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s="1"/>
  <c r="E113" i="33"/>
  <c r="F32" i="33"/>
  <c r="AA32" i="33" s="1"/>
  <c r="J19" i="33"/>
  <c r="AC19" i="33" s="1"/>
  <c r="J15" i="33"/>
  <c r="AC15" i="33" s="1"/>
  <c r="F11" i="33"/>
  <c r="AA11" i="33" s="1"/>
  <c r="U40" i="33"/>
  <c r="W40" i="33"/>
  <c r="F37" i="40"/>
  <c r="AA37" i="40" s="1"/>
  <c r="F36" i="40"/>
  <c r="AA36" i="40"/>
  <c r="H28" i="40"/>
  <c r="U28" i="40" s="1"/>
  <c r="F23" i="40"/>
  <c r="AA23" i="40"/>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J42" i="21"/>
  <c r="AC42" i="21"/>
  <c r="H42" i="21"/>
  <c r="U42" i="21" s="1"/>
  <c r="J44" i="34"/>
  <c r="F44" i="34"/>
  <c r="S44" i="34" s="1"/>
  <c r="J10" i="35"/>
  <c r="AC10" i="35" s="1"/>
  <c r="J14" i="21"/>
  <c r="W14" i="21"/>
  <c r="F14" i="21"/>
  <c r="S14" i="21" s="1"/>
  <c r="H14" i="21"/>
  <c r="U14" i="21"/>
  <c r="H28" i="21"/>
  <c r="AB28" i="21" s="1"/>
  <c r="F28" i="21"/>
  <c r="AA28" i="21" s="1"/>
  <c r="J28" i="21"/>
  <c r="W28" i="21" s="1"/>
  <c r="H30" i="21"/>
  <c r="AB30" i="21" s="1"/>
  <c r="F30" i="21"/>
  <c r="S30" i="21" s="1"/>
  <c r="J30" i="21"/>
  <c r="AC30" i="2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s="1"/>
  <c r="J13" i="33"/>
  <c r="H13" i="33"/>
  <c r="U13" i="33" s="1"/>
  <c r="F13" i="33"/>
  <c r="AA13" i="33" s="1"/>
  <c r="S13" i="33"/>
  <c r="J29" i="33"/>
  <c r="H29" i="33"/>
  <c r="U29" i="33" s="1"/>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AB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c r="F13" i="34"/>
  <c r="AA13" i="34" s="1"/>
  <c r="J29" i="34"/>
  <c r="F29" i="34"/>
  <c r="S29" i="34"/>
  <c r="H29" i="34"/>
  <c r="AB29" i="34" s="1"/>
  <c r="J31" i="34"/>
  <c r="AC31" i="34" s="1"/>
  <c r="H31" i="34"/>
  <c r="F31" i="34"/>
  <c r="S31" i="34" s="1"/>
  <c r="H45" i="34"/>
  <c r="U45" i="34" s="1"/>
  <c r="J45" i="34"/>
  <c r="W45" i="34"/>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AA14" i="37" s="1"/>
  <c r="F27" i="37"/>
  <c r="AA27" i="37"/>
  <c r="F13" i="39"/>
  <c r="J13" i="39"/>
  <c r="W13" i="39" s="1"/>
  <c r="H13" i="39"/>
  <c r="H14" i="40"/>
  <c r="AB14" i="40"/>
  <c r="J14" i="40"/>
  <c r="W14" i="40" s="1"/>
  <c r="F14" i="40"/>
  <c r="AA14" i="40"/>
  <c r="J14" i="37"/>
  <c r="J27" i="37"/>
  <c r="AC27" i="37" s="1"/>
  <c r="AA44" i="33"/>
  <c r="AA14" i="33"/>
  <c r="J36" i="37"/>
  <c r="AC36" i="37"/>
  <c r="J10" i="36"/>
  <c r="AC10" i="36" s="1"/>
  <c r="AB26" i="33"/>
  <c r="W31" i="34"/>
  <c r="S11" i="36"/>
  <c r="AA14" i="34"/>
  <c r="S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AZ568" i="3" s="1"/>
  <c r="BA566" i="3"/>
  <c r="AZ566" i="3" s="1"/>
  <c r="BA564" i="3"/>
  <c r="AZ564" i="3" s="1"/>
  <c r="BA562" i="3"/>
  <c r="BA560" i="3"/>
  <c r="AZ560" i="3" s="1"/>
  <c r="BA558" i="3"/>
  <c r="AZ558" i="3" s="1"/>
  <c r="BA556" i="3"/>
  <c r="BA554" i="3"/>
  <c r="AZ554" i="3" s="1"/>
  <c r="BA552" i="3"/>
  <c r="AZ552" i="3"/>
  <c r="BA548" i="3"/>
  <c r="BA546" i="3"/>
  <c r="AZ546" i="3" s="1"/>
  <c r="BA544" i="3"/>
  <c r="AZ544" i="3"/>
  <c r="BA542" i="3"/>
  <c r="AZ542" i="3" s="1"/>
  <c r="BA540" i="3"/>
  <c r="BA538" i="3"/>
  <c r="AZ538" i="3"/>
  <c r="BA536" i="3"/>
  <c r="AZ536" i="3" s="1"/>
  <c r="BA534" i="3"/>
  <c r="AZ534" i="3"/>
  <c r="BA532" i="3"/>
  <c r="AZ532" i="3" s="1"/>
  <c r="BA530" i="3"/>
  <c r="BA528" i="3"/>
  <c r="AZ528" i="3" s="1"/>
  <c r="BA526" i="3"/>
  <c r="AZ526" i="3" s="1"/>
  <c r="BA524" i="3"/>
  <c r="BA522" i="3"/>
  <c r="BA520" i="3"/>
  <c r="AZ520" i="3" s="1"/>
  <c r="BA518" i="3"/>
  <c r="BA516" i="3"/>
  <c r="BA514" i="3"/>
  <c r="BA512" i="3"/>
  <c r="AZ512" i="3" s="1"/>
  <c r="BA510" i="3"/>
  <c r="AZ510" i="3"/>
  <c r="BA508" i="3"/>
  <c r="AZ508" i="3" s="1"/>
  <c r="BA506" i="3"/>
  <c r="BA504" i="3"/>
  <c r="AZ504" i="3"/>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BQ571" i="3"/>
  <c r="BL571" i="3" s="1"/>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S28" i="31"/>
  <c r="S27" i="31"/>
  <c r="S26" i="31"/>
  <c r="U14" i="40"/>
  <c r="W23" i="35"/>
  <c r="U39" i="37"/>
  <c r="U26" i="37"/>
  <c r="W47" i="34"/>
  <c r="AC36" i="34"/>
  <c r="AC45"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BL168" i="3"/>
  <c r="AZ168" i="3" s="1"/>
  <c r="G169" i="3"/>
  <c r="BA171" i="3"/>
  <c r="BL172" i="3"/>
  <c r="G173" i="3"/>
  <c r="BA175" i="3"/>
  <c r="AZ175" i="3" s="1"/>
  <c r="BL176" i="3"/>
  <c r="G177" i="3"/>
  <c r="BA179" i="3"/>
  <c r="BL180" i="3"/>
  <c r="AZ180" i="3" s="1"/>
  <c r="G181" i="3"/>
  <c r="BA183" i="3"/>
  <c r="BL184" i="3"/>
  <c r="G185" i="3"/>
  <c r="BA187" i="3"/>
  <c r="BL188" i="3"/>
  <c r="AZ188" i="3" s="1"/>
  <c r="G189" i="3"/>
  <c r="BA191" i="3"/>
  <c r="BL192" i="3"/>
  <c r="G193" i="3"/>
  <c r="BA195" i="3"/>
  <c r="AZ195" i="3"/>
  <c r="BL196" i="3"/>
  <c r="G197" i="3"/>
  <c r="BA199" i="3"/>
  <c r="BL200" i="3"/>
  <c r="G201" i="3"/>
  <c r="BA203" i="3"/>
  <c r="BL204" i="3"/>
  <c r="AZ47" i="3"/>
  <c r="AZ67" i="3"/>
  <c r="AZ79"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AZ342" i="3" s="1"/>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AZ194" i="3"/>
  <c r="AZ500" i="3"/>
  <c r="BA16" i="3"/>
  <c r="BL303" i="3"/>
  <c r="G304" i="3"/>
  <c r="BA306" i="3"/>
  <c r="BL307" i="3"/>
  <c r="G308" i="3"/>
  <c r="BA310" i="3"/>
  <c r="AZ310" i="3" s="1"/>
  <c r="BL311" i="3"/>
  <c r="AZ311" i="3" s="1"/>
  <c r="G312" i="3"/>
  <c r="BA314" i="3"/>
  <c r="BL315" i="3"/>
  <c r="AZ315" i="3" s="1"/>
  <c r="G316" i="3"/>
  <c r="BA318" i="3"/>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1" i="3"/>
  <c r="BA379" i="3"/>
  <c r="AZ379" i="3" s="1"/>
  <c r="BL380" i="3"/>
  <c r="G381" i="3"/>
  <c r="BA383" i="3"/>
  <c r="AZ383" i="3" s="1"/>
  <c r="BL384" i="3"/>
  <c r="G385" i="3"/>
  <c r="BA387" i="3"/>
  <c r="AZ387" i="3" s="1"/>
  <c r="BL388" i="3"/>
  <c r="G389" i="3"/>
  <c r="BA391" i="3"/>
  <c r="BL392" i="3"/>
  <c r="G393" i="3"/>
  <c r="BO5" i="3"/>
  <c r="BM5" i="3"/>
  <c r="BJ5" i="3"/>
  <c r="BH5" i="3"/>
  <c r="BF5" i="3"/>
  <c r="BD5" i="3"/>
  <c r="AC5" i="3"/>
  <c r="AZ506" i="3"/>
  <c r="AZ496" i="3"/>
  <c r="G548" i="3"/>
  <c r="G538" i="3"/>
  <c r="G520" i="3"/>
  <c r="G502" i="3"/>
  <c r="BS5" i="3"/>
  <c r="BP5" i="3"/>
  <c r="BN5" i="3"/>
  <c r="BK5" i="3"/>
  <c r="BI5" i="3"/>
  <c r="BG5" i="3"/>
  <c r="BE5" i="3"/>
  <c r="BC5" i="3"/>
  <c r="G17" i="3"/>
  <c r="BA17" i="3"/>
  <c r="BT5" i="3"/>
  <c r="AZ350" i="3"/>
  <c r="BA15" i="3"/>
  <c r="BB5" i="3"/>
  <c r="BR5" i="3"/>
  <c r="AZ380" i="3"/>
  <c r="AZ392" i="3"/>
  <c r="AZ499" i="3"/>
  <c r="G509" i="3"/>
  <c r="BL493" i="3"/>
  <c r="AZ493" i="3" s="1"/>
  <c r="U36" i="40"/>
  <c r="F83" i="43"/>
  <c r="H85" i="43" s="1"/>
  <c r="F50" i="43"/>
  <c r="H54" i="43" s="1"/>
  <c r="F72" i="43"/>
  <c r="H75" i="43" s="1"/>
  <c r="U17" i="39"/>
  <c r="S14" i="35"/>
  <c r="U43" i="21"/>
  <c r="U35" i="21"/>
  <c r="AC35" i="2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J27" i="40"/>
  <c r="AC27" i="40" s="1"/>
  <c r="F27" i="40"/>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S39" i="39" s="1"/>
  <c r="J39" i="39"/>
  <c r="AC39" i="39" s="1"/>
  <c r="E96" i="39"/>
  <c r="F96" i="39" s="1"/>
  <c r="G96" i="39" s="1"/>
  <c r="C40" i="11"/>
  <c r="AZ248" i="3"/>
  <c r="AZ256" i="3"/>
  <c r="AZ280" i="3"/>
  <c r="F23" i="39"/>
  <c r="S23" i="39" s="1"/>
  <c r="AA23" i="39"/>
  <c r="H27" i="36"/>
  <c r="U27" i="36" s="1"/>
  <c r="F27" i="36"/>
  <c r="AA27" i="36" s="1"/>
  <c r="H33" i="34"/>
  <c r="AB33" i="34" s="1"/>
  <c r="U33" i="34"/>
  <c r="F32" i="37"/>
  <c r="AA32" i="37"/>
  <c r="G96" i="37"/>
  <c r="H96" i="37"/>
  <c r="I96" i="37" s="1"/>
  <c r="J96" i="37" s="1"/>
  <c r="K96" i="37" s="1"/>
  <c r="L96" i="37" s="1"/>
  <c r="M96" i="37" s="1"/>
  <c r="F20" i="36"/>
  <c r="AA20" i="36" s="1"/>
  <c r="J33" i="34"/>
  <c r="H23" i="39"/>
  <c r="U23" i="39" s="1"/>
  <c r="D48" i="9"/>
  <c r="M52" i="9" s="1"/>
  <c r="K9" i="1"/>
  <c r="M9" i="1" s="1"/>
  <c r="W27" i="34"/>
  <c r="AC27" i="34"/>
  <c r="AB34" i="36"/>
  <c r="U34" i="36"/>
  <c r="AB33" i="36"/>
  <c r="U33" i="36"/>
  <c r="AC12" i="39"/>
  <c r="W12" i="39"/>
  <c r="AC39" i="40"/>
  <c r="W39" i="40"/>
  <c r="AZ465" i="3"/>
  <c r="AA32" i="36"/>
  <c r="S32" i="36"/>
  <c r="BL14" i="3"/>
  <c r="AC13" i="34"/>
  <c r="AA47" i="34"/>
  <c r="W28" i="37"/>
  <c r="S19" i="39"/>
  <c r="F12" i="33"/>
  <c r="H12" i="39"/>
  <c r="F39" i="40"/>
  <c r="BA14" i="3"/>
  <c r="AZ250" i="3"/>
  <c r="B12" i="1"/>
  <c r="E12" i="1" s="1"/>
  <c r="B10" i="1"/>
  <c r="E10" i="1" s="1"/>
  <c r="AZ88" i="3"/>
  <c r="K12" i="1"/>
  <c r="M12" i="1" s="1"/>
  <c r="S13" i="1"/>
  <c r="AR13" i="1" s="1"/>
  <c r="R13" i="1"/>
  <c r="J51" i="67"/>
  <c r="C42" i="1"/>
  <c r="C24" i="12" s="1"/>
  <c r="AC34" i="33"/>
  <c r="AA34" i="33"/>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W38" i="37"/>
  <c r="AC35" i="37"/>
  <c r="W39" i="37"/>
  <c r="S30" i="37"/>
  <c r="S37" i="37"/>
  <c r="AC15" i="37"/>
  <c r="J17" i="37"/>
  <c r="W17" i="37" s="1"/>
  <c r="G73" i="37"/>
  <c r="F17" i="37"/>
  <c r="AB17" i="37"/>
  <c r="F75" i="37"/>
  <c r="F19" i="37"/>
  <c r="S19" i="37" s="1"/>
  <c r="F79" i="37"/>
  <c r="F23" i="37"/>
  <c r="U23" i="37"/>
  <c r="U15" i="37"/>
  <c r="AC13" i="37"/>
  <c r="AA13" i="37"/>
  <c r="H10" i="37"/>
  <c r="AB10" i="37" s="1"/>
  <c r="F63" i="37"/>
  <c r="G63" i="37" s="1"/>
  <c r="H63" i="37" s="1"/>
  <c r="I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AA35" i="33"/>
  <c r="S32" i="33"/>
  <c r="AA29" i="33"/>
  <c r="AB29" i="33"/>
  <c r="W38" i="33"/>
  <c r="H41" i="33"/>
  <c r="AB41" i="33" s="1"/>
  <c r="F121" i="33"/>
  <c r="G121" i="33" s="1"/>
  <c r="H121" i="33" s="1"/>
  <c r="I121" i="33" s="1"/>
  <c r="J121" i="33" s="1"/>
  <c r="K121" i="33" s="1"/>
  <c r="L121" i="33" s="1"/>
  <c r="M121" i="33" s="1"/>
  <c r="U42" i="33"/>
  <c r="F36" i="33"/>
  <c r="G111" i="33"/>
  <c r="G108" i="33"/>
  <c r="H108" i="33" s="1"/>
  <c r="I108" i="33" s="1"/>
  <c r="J108" i="33" s="1"/>
  <c r="K108" i="33" s="1"/>
  <c r="L108" i="33" s="1"/>
  <c r="M108" i="33" s="1"/>
  <c r="J35" i="33"/>
  <c r="W35" i="33" s="1"/>
  <c r="AA37" i="33"/>
  <c r="F101" i="33"/>
  <c r="G101" i="33"/>
  <c r="H101" i="33" s="1"/>
  <c r="I101" i="33" s="1"/>
  <c r="J101" i="33" s="1"/>
  <c r="K101" i="33" s="1"/>
  <c r="L101" i="33" s="1"/>
  <c r="M101" i="33" s="1"/>
  <c r="J32" i="33"/>
  <c r="S46" i="33"/>
  <c r="S43" i="33"/>
  <c r="F91" i="33"/>
  <c r="G91" i="33" s="1"/>
  <c r="H91" i="33" s="1"/>
  <c r="I91" i="33" s="1"/>
  <c r="J91" i="33" s="1"/>
  <c r="K91" i="33" s="1"/>
  <c r="L91" i="33" s="1"/>
  <c r="M91" i="33" s="1"/>
  <c r="H27" i="33"/>
  <c r="AB27" i="33" s="1"/>
  <c r="F87" i="33"/>
  <c r="H25" i="33"/>
  <c r="AB25" i="33" s="1"/>
  <c r="F25" i="33"/>
  <c r="S25" i="33" s="1"/>
  <c r="J23" i="33"/>
  <c r="AC23" i="33" s="1"/>
  <c r="F85" i="33"/>
  <c r="H23" i="33"/>
  <c r="F81" i="33"/>
  <c r="G81" i="33" s="1"/>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F34" i="67"/>
  <c r="F62" i="67" s="1"/>
  <c r="M20" i="67"/>
  <c r="F34" i="15"/>
  <c r="F62" i="15" s="1"/>
  <c r="G13" i="3"/>
  <c r="BA13" i="3"/>
  <c r="BL17" i="3"/>
  <c r="AZ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W46" i="33"/>
  <c r="U39" i="33"/>
  <c r="U38" i="33"/>
  <c r="S33" i="33"/>
  <c r="U44" i="33"/>
  <c r="AB44" i="33"/>
  <c r="S30" i="33"/>
  <c r="AA30" i="33"/>
  <c r="AC14" i="33"/>
  <c r="W14" i="33"/>
  <c r="AC30" i="33"/>
  <c r="W30" i="33"/>
  <c r="S31" i="33"/>
  <c r="AA31" i="33"/>
  <c r="W13" i="33"/>
  <c r="AC13" i="33"/>
  <c r="U15"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AA21" i="39"/>
  <c r="S21" i="39"/>
  <c r="AC17" i="37"/>
  <c r="J19" i="37"/>
  <c r="W19" i="37" s="1"/>
  <c r="G75" i="37"/>
  <c r="AA19" i="37"/>
  <c r="J23" i="37"/>
  <c r="AC23" i="37" s="1"/>
  <c r="G79" i="37"/>
  <c r="J10" i="37"/>
  <c r="W10" i="37" s="1"/>
  <c r="H11" i="37"/>
  <c r="AB11" i="37" s="1"/>
  <c r="G70" i="34"/>
  <c r="H11" i="34"/>
  <c r="U11" i="34" s="1"/>
  <c r="J10" i="34"/>
  <c r="AC10" i="34" s="1"/>
  <c r="U41" i="33"/>
  <c r="AC35" i="33"/>
  <c r="H111" i="33"/>
  <c r="I111" i="33" s="1"/>
  <c r="J111" i="33" s="1"/>
  <c r="K111" i="33" s="1"/>
  <c r="L111" i="33" s="1"/>
  <c r="M111" i="33" s="1"/>
  <c r="J36" i="33"/>
  <c r="W36" i="33" s="1"/>
  <c r="H36" i="33"/>
  <c r="U36" i="33" s="1"/>
  <c r="AC32" i="33"/>
  <c r="W32" i="33"/>
  <c r="J27" i="33"/>
  <c r="AC27" i="33" s="1"/>
  <c r="G87" i="33"/>
  <c r="H87" i="33" s="1"/>
  <c r="I87" i="33" s="1"/>
  <c r="J87" i="33" s="1"/>
  <c r="K87" i="33" s="1"/>
  <c r="L87" i="33" s="1"/>
  <c r="M87" i="33" s="1"/>
  <c r="J25" i="33"/>
  <c r="AC25" i="33" s="1"/>
  <c r="AB23" i="33"/>
  <c r="U23" i="33"/>
  <c r="F23" i="33"/>
  <c r="G85" i="33"/>
  <c r="AA19" i="33"/>
  <c r="H19" i="33"/>
  <c r="U19" i="33" s="1"/>
  <c r="H17" i="33"/>
  <c r="U17" i="33" s="1"/>
  <c r="F17" i="33"/>
  <c r="S17" i="33" s="1"/>
  <c r="W17" i="33"/>
  <c r="AA23" i="21"/>
  <c r="AB15" i="21"/>
  <c r="J23" i="21"/>
  <c r="F85" i="21"/>
  <c r="G85" i="21" s="1"/>
  <c r="H23" i="21"/>
  <c r="AB23" i="21" s="1"/>
  <c r="S13" i="21"/>
  <c r="AP7" i="1"/>
  <c r="AB45" i="21"/>
  <c r="AB9" i="21"/>
  <c r="AA32" i="21"/>
  <c r="S32" i="21"/>
  <c r="W9" i="21"/>
  <c r="AB32" i="21"/>
  <c r="U32" i="21"/>
  <c r="U32" i="39"/>
  <c r="AC32" i="39"/>
  <c r="W32" i="39"/>
  <c r="J63" i="37"/>
  <c r="K63" i="37" s="1"/>
  <c r="L63" i="37" s="1"/>
  <c r="M63" i="37" s="1"/>
  <c r="J11" i="37"/>
  <c r="AC11" i="37" s="1"/>
  <c r="H70" i="34"/>
  <c r="I70" i="34" s="1"/>
  <c r="J70" i="34" s="1"/>
  <c r="K70" i="34" s="1"/>
  <c r="L70" i="34" s="1"/>
  <c r="M70" i="34" s="1"/>
  <c r="J11" i="34"/>
  <c r="W11" i="34" s="1"/>
  <c r="U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8" i="76"/>
  <c r="B9" i="76"/>
  <c r="B11" i="76"/>
  <c r="D35" i="9"/>
  <c r="E10" i="76"/>
  <c r="B12" i="76"/>
  <c r="B10" i="76"/>
  <c r="F6" i="73"/>
  <c r="D34" i="9"/>
  <c r="E7" i="76"/>
  <c r="E2" i="69"/>
  <c r="F20" i="31"/>
  <c r="M6" i="15"/>
  <c r="F7" i="15"/>
  <c r="M8" i="15"/>
  <c r="B7" i="76"/>
  <c r="F38" i="15"/>
  <c r="E12" i="76"/>
  <c r="E9" i="76"/>
  <c r="F42" i="15"/>
  <c r="F43" i="15"/>
  <c r="B13" i="76"/>
  <c r="L47" i="15"/>
  <c r="B8" i="76"/>
  <c r="F4" i="73"/>
  <c r="AO13" i="1"/>
  <c r="F5" i="73"/>
  <c r="E11" i="76"/>
  <c r="F13" i="15"/>
  <c r="M24" i="15"/>
  <c r="M9" i="15"/>
  <c r="F37" i="15"/>
  <c r="E13" i="76"/>
  <c r="J15" i="15"/>
  <c r="M29" i="15"/>
  <c r="E2" i="68"/>
  <c r="F3" i="73"/>
  <c r="F7" i="73"/>
  <c r="F6" i="15"/>
  <c r="M26" i="15"/>
  <c r="D6" i="73"/>
  <c r="C18" i="9" l="1"/>
  <c r="D18" i="9" s="1"/>
  <c r="AC28" i="33"/>
  <c r="U33" i="33"/>
  <c r="W33" i="33"/>
  <c r="W12" i="33"/>
  <c r="AC12" i="33"/>
  <c r="I7" i="33"/>
  <c r="G7" i="33"/>
  <c r="E7" i="33"/>
  <c r="AC31" i="33"/>
  <c r="AB34" i="33"/>
  <c r="S28" i="33"/>
  <c r="W43" i="33"/>
  <c r="U30" i="33"/>
  <c r="U46" i="33"/>
  <c r="W44" i="33"/>
  <c r="S42" i="33"/>
  <c r="S41" i="33"/>
  <c r="S39" i="33"/>
  <c r="S38" i="33"/>
  <c r="U35" i="33"/>
  <c r="U37" i="33"/>
  <c r="AC37" i="33"/>
  <c r="AB28" i="33"/>
  <c r="U27" i="33"/>
  <c r="S27" i="33"/>
  <c r="W27" i="33"/>
  <c r="U25" i="33"/>
  <c r="AA25" i="33"/>
  <c r="U11" i="33"/>
  <c r="S11" i="33"/>
  <c r="W9" i="33"/>
  <c r="W8" i="33"/>
  <c r="B41" i="1"/>
  <c r="D93" i="9"/>
  <c r="K6" i="1"/>
  <c r="AP6" i="1" s="1"/>
  <c r="K1" i="12"/>
  <c r="G1" i="67"/>
  <c r="G1" i="68"/>
  <c r="G29" i="6"/>
  <c r="B79" i="43"/>
  <c r="AB12" i="39"/>
  <c r="U12" i="39"/>
  <c r="AC33" i="34"/>
  <c r="W33" i="34"/>
  <c r="AB19" i="33"/>
  <c r="AB36" i="33"/>
  <c r="S37" i="21"/>
  <c r="D121" i="9"/>
  <c r="D7" i="52" s="1"/>
  <c r="D6" i="52"/>
  <c r="AA36" i="33"/>
  <c r="S36" i="33"/>
  <c r="S30" i="40"/>
  <c r="AA30" i="40"/>
  <c r="U27" i="40"/>
  <c r="AB27" i="40"/>
  <c r="W25" i="33"/>
  <c r="AA17" i="33"/>
  <c r="W23" i="37"/>
  <c r="S23" i="37"/>
  <c r="AA23" i="37"/>
  <c r="S40" i="34"/>
  <c r="AA40" i="34"/>
  <c r="AA17" i="37"/>
  <c r="S17" i="37"/>
  <c r="S27" i="40"/>
  <c r="AA27" i="40"/>
  <c r="AZ539" i="3"/>
  <c r="AZ529" i="3"/>
  <c r="AZ518" i="3"/>
  <c r="AB45" i="33"/>
  <c r="S14" i="37"/>
  <c r="U46" i="34"/>
  <c r="U30" i="21"/>
  <c r="AA44" i="34"/>
  <c r="BL585" i="3"/>
  <c r="AZ585" i="3" s="1"/>
  <c r="B72" i="43"/>
  <c r="C15" i="39"/>
  <c r="AC11" i="39"/>
  <c r="F29" i="6"/>
  <c r="AZ391" i="3"/>
  <c r="AZ318" i="3"/>
  <c r="AZ364" i="3"/>
  <c r="AZ329" i="3"/>
  <c r="AZ306" i="3"/>
  <c r="AZ513" i="3"/>
  <c r="AZ575" i="3"/>
  <c r="AZ502" i="3"/>
  <c r="AZ519" i="3"/>
  <c r="AZ531" i="3"/>
  <c r="AZ573" i="3"/>
  <c r="AZ583" i="3"/>
  <c r="AZ576" i="3"/>
  <c r="J26" i="33"/>
  <c r="F26" i="33"/>
  <c r="W27" i="40"/>
  <c r="S43" i="34"/>
  <c r="U32" i="37"/>
  <c r="AZ14" i="3"/>
  <c r="AZ345" i="3"/>
  <c r="AZ334" i="3"/>
  <c r="AZ372" i="3"/>
  <c r="AZ347" i="3"/>
  <c r="AZ337" i="3"/>
  <c r="AZ376" i="3"/>
  <c r="AZ309" i="3"/>
  <c r="AA11" i="39"/>
  <c r="AZ515" i="3"/>
  <c r="AZ523" i="3"/>
  <c r="AZ547" i="3"/>
  <c r="AZ569" i="3"/>
  <c r="AZ571" i="3"/>
  <c r="AZ579" i="3"/>
  <c r="AZ516" i="3"/>
  <c r="AZ524" i="3"/>
  <c r="AC11" i="35"/>
  <c r="AZ469" i="3"/>
  <c r="U34" i="40"/>
  <c r="U9" i="40"/>
  <c r="J33" i="36"/>
  <c r="AC33" i="36" s="1"/>
  <c r="G585" i="3"/>
  <c r="BL587" i="3"/>
  <c r="AZ587" i="3" s="1"/>
  <c r="BL586" i="3"/>
  <c r="AZ586" i="3" s="1"/>
  <c r="J9" i="34"/>
  <c r="H12" i="34"/>
  <c r="J36" i="35"/>
  <c r="AC36" i="35" s="1"/>
  <c r="G574" i="3"/>
  <c r="BL16" i="3"/>
  <c r="AZ16" i="3" s="1"/>
  <c r="BA401" i="3"/>
  <c r="BA403" i="3"/>
  <c r="BA404" i="3"/>
  <c r="BA405" i="3"/>
  <c r="G409" i="3"/>
  <c r="BL410" i="3"/>
  <c r="G412" i="3"/>
  <c r="G418" i="3"/>
  <c r="G419" i="3"/>
  <c r="BA422" i="3"/>
  <c r="G429" i="3"/>
  <c r="G430" i="3"/>
  <c r="BL431" i="3"/>
  <c r="G433" i="3"/>
  <c r="BL434" i="3"/>
  <c r="G436" i="3"/>
  <c r="G437" i="3"/>
  <c r="BL438" i="3"/>
  <c r="BL439" i="3"/>
  <c r="BA441" i="3"/>
  <c r="BL445" i="3"/>
  <c r="BL446" i="3"/>
  <c r="BL449" i="3"/>
  <c r="BL450" i="3"/>
  <c r="BL452" i="3"/>
  <c r="G454" i="3"/>
  <c r="G455"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BA245" i="3"/>
  <c r="AZ245" i="3" s="1"/>
  <c r="BA246" i="3"/>
  <c r="F24" i="36"/>
  <c r="AB8" i="39"/>
  <c r="W31" i="40"/>
  <c r="AA9" i="40"/>
  <c r="S31" i="35"/>
  <c r="U31" i="36"/>
  <c r="F39" i="37"/>
  <c r="S39" i="37" s="1"/>
  <c r="J44" i="39"/>
  <c r="G587" i="3"/>
  <c r="J12" i="35"/>
  <c r="H12" i="36"/>
  <c r="F25" i="37"/>
  <c r="BA551" i="3"/>
  <c r="AZ551" i="3" s="1"/>
  <c r="BA550" i="3"/>
  <c r="BL548" i="3"/>
  <c r="AZ548" i="3" s="1"/>
  <c r="AZ458" i="3"/>
  <c r="AZ462" i="3"/>
  <c r="BA477" i="3"/>
  <c r="BA478" i="3"/>
  <c r="BA481" i="3"/>
  <c r="BA488" i="3"/>
  <c r="AZ488" i="3" s="1"/>
  <c r="BA491" i="3"/>
  <c r="AZ491" i="3" s="1"/>
  <c r="BL324" i="3"/>
  <c r="AZ324" i="3" s="1"/>
  <c r="BL328" i="3"/>
  <c r="AZ328" i="3" s="1"/>
  <c r="BA335" i="3"/>
  <c r="AZ335" i="3" s="1"/>
  <c r="BA339" i="3"/>
  <c r="AZ339" i="3" s="1"/>
  <c r="H24" i="36"/>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5" i="3"/>
  <c r="BL257" i="3"/>
  <c r="AZ257" i="3" s="1"/>
  <c r="BL258" i="3"/>
  <c r="BA283" i="3"/>
  <c r="AZ283" i="3" s="1"/>
  <c r="BL550"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AZ457" i="3" s="1"/>
  <c r="BA459" i="3"/>
  <c r="AZ459" i="3" s="1"/>
  <c r="BA460" i="3"/>
  <c r="AZ460" i="3" s="1"/>
  <c r="BA461" i="3"/>
  <c r="AZ461" i="3" s="1"/>
  <c r="BL464" i="3"/>
  <c r="BL466" i="3"/>
  <c r="AZ466" i="3" s="1"/>
  <c r="AZ483" i="3"/>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A254" i="3"/>
  <c r="AZ254" i="3" s="1"/>
  <c r="BL255" i="3"/>
  <c r="BA265" i="3"/>
  <c r="AZ265" i="3" s="1"/>
  <c r="D59" i="71"/>
  <c r="C60" i="71"/>
  <c r="D34" i="71"/>
  <c r="C35" i="71"/>
  <c r="C63" i="71"/>
  <c r="D62" i="71"/>
  <c r="AB26" i="71"/>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L161" i="3"/>
  <c r="G162" i="3"/>
  <c r="BL162" i="3"/>
  <c r="AZ162" i="3" s="1"/>
  <c r="BL165" i="3"/>
  <c r="G166" i="3"/>
  <c r="BL186" i="3"/>
  <c r="G187" i="3"/>
  <c r="BA190" i="3"/>
  <c r="G196" i="3"/>
  <c r="BA197" i="3"/>
  <c r="BL24" i="3"/>
  <c r="BL44" i="3"/>
  <c r="AZ52" i="3"/>
  <c r="BA65" i="3"/>
  <c r="AZ65" i="3" s="1"/>
  <c r="BA72" i="3"/>
  <c r="AZ72" i="3" s="1"/>
  <c r="BL93" i="3"/>
  <c r="AC21" i="33"/>
  <c r="D52" i="71"/>
  <c r="B38" i="71"/>
  <c r="B39" i="71" s="1"/>
  <c r="B40" i="71" s="1"/>
  <c r="S40" i="71" s="1"/>
  <c r="X36" i="71"/>
  <c r="AB38" i="71"/>
  <c r="AB34" i="71"/>
  <c r="AB35" i="71"/>
  <c r="S72" i="71"/>
  <c r="B71" i="71"/>
  <c r="B70" i="71" s="1"/>
  <c r="V72" i="71"/>
  <c r="F71" i="71"/>
  <c r="F70" i="71" s="1"/>
  <c r="BL264" i="3"/>
  <c r="BL266" i="3"/>
  <c r="BA268" i="3"/>
  <c r="BL273" i="3"/>
  <c r="AZ273" i="3" s="1"/>
  <c r="G274" i="3"/>
  <c r="BA277" i="3"/>
  <c r="AZ277" i="3" s="1"/>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BL167" i="3"/>
  <c r="AZ167" i="3" s="1"/>
  <c r="G172" i="3"/>
  <c r="BA173" i="3"/>
  <c r="AZ173" i="3" s="1"/>
  <c r="BA174" i="3"/>
  <c r="BL179" i="3"/>
  <c r="AZ179" i="3" s="1"/>
  <c r="G180" i="3"/>
  <c r="BA181" i="3"/>
  <c r="AZ181" i="3" s="1"/>
  <c r="BA182" i="3"/>
  <c r="AZ182" i="3" s="1"/>
  <c r="BL185" i="3"/>
  <c r="G186" i="3"/>
  <c r="BL191" i="3"/>
  <c r="AZ191" i="3" s="1"/>
  <c r="BA193" i="3"/>
  <c r="BA196" i="3"/>
  <c r="AZ196" i="3" s="1"/>
  <c r="BA207" i="3"/>
  <c r="BL23" i="3"/>
  <c r="G32" i="3"/>
  <c r="BL35" i="3"/>
  <c r="BA70" i="3"/>
  <c r="AZ70" i="3" s="1"/>
  <c r="F40" i="68"/>
  <c r="C21" i="68"/>
  <c r="D83" i="71"/>
  <c r="C82" i="71"/>
  <c r="D82" i="71" s="1"/>
  <c r="C70" i="71"/>
  <c r="D70" i="71" s="1"/>
  <c r="D71" i="7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69" i="3"/>
  <c r="BL170" i="3"/>
  <c r="G171" i="3"/>
  <c r="BL177" i="3"/>
  <c r="AZ177" i="3" s="1"/>
  <c r="G179" i="3"/>
  <c r="BL183" i="3"/>
  <c r="AZ183" i="3" s="1"/>
  <c r="BA186" i="3"/>
  <c r="AZ186" i="3" s="1"/>
  <c r="S18" i="35"/>
  <c r="AA18" i="35"/>
  <c r="E28" i="71"/>
  <c r="AA28" i="71"/>
  <c r="AA3" i="71"/>
  <c r="AA27" i="71"/>
  <c r="C40" i="71"/>
  <c r="D39" i="71"/>
  <c r="B28" i="71"/>
  <c r="X26" i="71"/>
  <c r="X25" i="71"/>
  <c r="Y29" i="71"/>
  <c r="Z29" i="71" s="1"/>
  <c r="C30" i="71"/>
  <c r="Y27" i="71"/>
  <c r="Z27" i="71" s="1"/>
  <c r="X28" i="71"/>
  <c r="X31" i="71"/>
  <c r="F34" i="71"/>
  <c r="F35" i="71" s="1"/>
  <c r="F36" i="71" s="1"/>
  <c r="V36" i="71" s="1"/>
  <c r="AB33" i="71"/>
  <c r="B66" i="71"/>
  <c r="N67" i="71"/>
  <c r="F79" i="71"/>
  <c r="F78" i="71" s="1"/>
  <c r="V80" i="7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BA32" i="3"/>
  <c r="G38" i="3"/>
  <c r="BA38" i="3"/>
  <c r="AZ38" i="3" s="1"/>
  <c r="BA41" i="3"/>
  <c r="BA42" i="3"/>
  <c r="G46" i="3"/>
  <c r="G47" i="3"/>
  <c r="BL48" i="3"/>
  <c r="BL54" i="3"/>
  <c r="BL55" i="3"/>
  <c r="AZ55" i="3" s="1"/>
  <c r="G57" i="3"/>
  <c r="G58" i="3"/>
  <c r="BA59" i="3"/>
  <c r="G61" i="3"/>
  <c r="BL61" i="3"/>
  <c r="G64" i="3"/>
  <c r="BA64" i="3"/>
  <c r="AZ64" i="3" s="1"/>
  <c r="G67" i="3"/>
  <c r="BL68" i="3"/>
  <c r="BA69" i="3"/>
  <c r="AZ69" i="3" s="1"/>
  <c r="G72" i="3"/>
  <c r="BL73" i="3"/>
  <c r="BA74" i="3"/>
  <c r="AZ74" i="3" s="1"/>
  <c r="BA75" i="3"/>
  <c r="AZ75" i="3" s="1"/>
  <c r="BA78" i="3"/>
  <c r="BA80" i="3"/>
  <c r="G84" i="3"/>
  <c r="BL84" i="3"/>
  <c r="AZ84" i="3" s="1"/>
  <c r="BA89" i="3"/>
  <c r="BL92" i="3"/>
  <c r="BL94" i="3"/>
  <c r="BL99" i="3"/>
  <c r="G101" i="3"/>
  <c r="BA101" i="3"/>
  <c r="BA102" i="3"/>
  <c r="BL110" i="3"/>
  <c r="BL111" i="3"/>
  <c r="AC21" i="37"/>
  <c r="AA18" i="36"/>
  <c r="S18" i="36"/>
  <c r="Y26" i="71"/>
  <c r="Z26" i="71" s="1"/>
  <c r="Y25" i="71"/>
  <c r="Z25" i="71" s="1"/>
  <c r="F27" i="71"/>
  <c r="F26" i="71" s="1"/>
  <c r="AB27" i="71"/>
  <c r="V24" i="71"/>
  <c r="E23" i="71"/>
  <c r="E22" i="71" s="1"/>
  <c r="E21" i="71" s="1"/>
  <c r="E20" i="71" s="1"/>
  <c r="BA198" i="3"/>
  <c r="AZ198" i="3" s="1"/>
  <c r="G204" i="3"/>
  <c r="BL206" i="3"/>
  <c r="BA19" i="3"/>
  <c r="AZ19" i="3" s="1"/>
  <c r="G22" i="3"/>
  <c r="G24" i="3"/>
  <c r="G25" i="3"/>
  <c r="BA27" i="3"/>
  <c r="G30" i="3"/>
  <c r="BL30" i="3"/>
  <c r="BL31" i="3"/>
  <c r="BL40" i="3"/>
  <c r="BL41" i="3"/>
  <c r="BL45" i="3"/>
  <c r="BA48" i="3"/>
  <c r="BA49" i="3"/>
  <c r="BA51" i="3"/>
  <c r="BL56" i="3"/>
  <c r="BA58" i="3"/>
  <c r="BL59" i="3"/>
  <c r="BL60" i="3"/>
  <c r="BA61" i="3"/>
  <c r="AZ61" i="3" s="1"/>
  <c r="BA68" i="3"/>
  <c r="BA73" i="3"/>
  <c r="BA105" i="3"/>
  <c r="AZ105" i="3" s="1"/>
  <c r="BA106" i="3"/>
  <c r="BL108" i="3"/>
  <c r="B100" i="43"/>
  <c r="B57" i="43"/>
  <c r="B77" i="43"/>
  <c r="D55" i="71"/>
  <c r="C28" i="71"/>
  <c r="X35" i="71"/>
  <c r="F66" i="71"/>
  <c r="Q67" i="71"/>
  <c r="U76" i="71"/>
  <c r="BL201" i="3"/>
  <c r="AZ201" i="3" s="1"/>
  <c r="BL203" i="3"/>
  <c r="AZ203" i="3" s="1"/>
  <c r="BA204" i="3"/>
  <c r="AZ204" i="3" s="1"/>
  <c r="BA18" i="3"/>
  <c r="G21" i="3"/>
  <c r="BL21" i="3"/>
  <c r="AZ21" i="3" s="1"/>
  <c r="G29" i="3"/>
  <c r="BL29" i="3"/>
  <c r="AZ29" i="3" s="1"/>
  <c r="G34" i="3"/>
  <c r="BA37" i="3"/>
  <c r="G39" i="3"/>
  <c r="BL39" i="3"/>
  <c r="AZ39" i="3" s="1"/>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L81" i="3"/>
  <c r="BA82" i="3"/>
  <c r="AZ82" i="3" s="1"/>
  <c r="BL83" i="3"/>
  <c r="G88" i="3"/>
  <c r="BA90" i="3"/>
  <c r="BA94" i="3"/>
  <c r="AZ94" i="3" s="1"/>
  <c r="BA100" i="3"/>
  <c r="AZ100" i="3" s="1"/>
  <c r="G102" i="3"/>
  <c r="BA103" i="3"/>
  <c r="AZ103" i="3" s="1"/>
  <c r="BA104" i="3"/>
  <c r="G108" i="3"/>
  <c r="G109" i="3"/>
  <c r="BA111" i="3"/>
  <c r="AZ111" i="3" s="1"/>
  <c r="K13" i="1"/>
  <c r="M13" i="1" s="1"/>
  <c r="O13" i="1" s="1"/>
  <c r="P13" i="1" s="1"/>
  <c r="C5" i="68"/>
  <c r="AC29" i="39"/>
  <c r="W29" i="39"/>
  <c r="T56" i="71"/>
  <c r="O65" i="71"/>
  <c r="D66" i="71"/>
  <c r="O66" i="71"/>
  <c r="AB28" i="71"/>
  <c r="AB32" i="71"/>
  <c r="E34" i="71"/>
  <c r="E35" i="71" s="1"/>
  <c r="E36" i="71" s="1"/>
  <c r="U36" i="71" s="1"/>
  <c r="AA30" i="71"/>
  <c r="AA34" i="71"/>
  <c r="D42" i="71"/>
  <c r="C43" i="71"/>
  <c r="D88" i="71"/>
  <c r="C87" i="71"/>
  <c r="G81" i="3"/>
  <c r="G85" i="3"/>
  <c r="BL85" i="3"/>
  <c r="BA86" i="3"/>
  <c r="AZ86" i="3" s="1"/>
  <c r="BA87" i="3"/>
  <c r="BA91" i="3"/>
  <c r="AZ91" i="3" s="1"/>
  <c r="G96" i="3"/>
  <c r="BL97" i="3"/>
  <c r="AZ97" i="3" s="1"/>
  <c r="BL101" i="3"/>
  <c r="BL102" i="3"/>
  <c r="G104" i="3"/>
  <c r="G105" i="3"/>
  <c r="BL106" i="3"/>
  <c r="BA108" i="3"/>
  <c r="AZ108" i="3" s="1"/>
  <c r="BA110" i="3"/>
  <c r="AZ110" i="3" s="1"/>
  <c r="F3" i="35"/>
  <c r="S21" i="37"/>
  <c r="S25" i="40"/>
  <c r="O67" i="71"/>
  <c r="E79" i="71"/>
  <c r="E78" i="71" s="1"/>
  <c r="AB25" i="71"/>
  <c r="N68" i="71"/>
  <c r="X33" i="71"/>
  <c r="AB37" i="71"/>
  <c r="B32" i="71"/>
  <c r="S32" i="71" s="1"/>
  <c r="AB31" i="71"/>
  <c r="AB36" i="71"/>
  <c r="AA36" i="71"/>
  <c r="B47" i="71"/>
  <c r="B48" i="71" s="1"/>
  <c r="S48" i="71" s="1"/>
  <c r="B55" i="71"/>
  <c r="B56" i="71" s="1"/>
  <c r="S56"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F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M7" i="15"/>
  <c r="J6" i="15" s="1"/>
  <c r="F50" i="15"/>
  <c r="F71" i="15"/>
  <c r="L59" i="15"/>
  <c r="N59" i="15"/>
  <c r="M59" i="15"/>
  <c r="F66" i="15"/>
  <c r="F65" i="15"/>
  <c r="B13" i="70"/>
  <c r="C36" i="68"/>
  <c r="D9" i="69"/>
  <c r="C36" i="69"/>
  <c r="D9" i="68"/>
  <c r="F13" i="67"/>
  <c r="M26" i="67"/>
  <c r="L48" i="67"/>
  <c r="C76" i="67"/>
  <c r="F43" i="67"/>
  <c r="M8" i="67"/>
  <c r="F36" i="67"/>
  <c r="F26" i="67"/>
  <c r="L47" i="67"/>
  <c r="F9" i="67"/>
  <c r="F38" i="67"/>
  <c r="M9" i="67"/>
  <c r="J15" i="67"/>
  <c r="F37" i="67"/>
  <c r="M28" i="67"/>
  <c r="M6" i="67"/>
  <c r="M29" i="67"/>
  <c r="F8" i="67"/>
  <c r="F42" i="67"/>
  <c r="F40" i="67"/>
  <c r="F16" i="15"/>
  <c r="L48" i="15"/>
  <c r="M28" i="15"/>
  <c r="D5" i="73"/>
  <c r="M23" i="67"/>
  <c r="M22" i="67"/>
  <c r="F26" i="15"/>
  <c r="F40" i="15"/>
  <c r="M22" i="15"/>
  <c r="D4" i="73"/>
  <c r="M24" i="67"/>
  <c r="F16" i="67"/>
  <c r="F9" i="15"/>
  <c r="M23" i="15"/>
  <c r="D3" i="73"/>
  <c r="D7" i="73"/>
  <c r="F6" i="67"/>
  <c r="F7" i="67"/>
  <c r="C76" i="15"/>
  <c r="F36" i="15"/>
  <c r="F8" i="15"/>
  <c r="J7" i="36" l="1"/>
  <c r="F48" i="9"/>
  <c r="O52" i="9" s="1"/>
  <c r="F30" i="11"/>
  <c r="M18" i="67"/>
  <c r="M18" i="15"/>
  <c r="J18" i="15" s="1"/>
  <c r="F28" i="67"/>
  <c r="C28" i="67" s="1"/>
  <c r="F32" i="67"/>
  <c r="F60" i="67" s="1"/>
  <c r="F28" i="15"/>
  <c r="C28" i="15" s="1"/>
  <c r="F30" i="68"/>
  <c r="F32" i="15"/>
  <c r="F60" i="15" s="1"/>
  <c r="F54" i="9"/>
  <c r="F31" i="12"/>
  <c r="C31" i="12" s="1"/>
  <c r="F30" i="69"/>
  <c r="D68" i="9"/>
  <c r="F52" i="9"/>
  <c r="F51" i="67"/>
  <c r="F65" i="67"/>
  <c r="F66" i="67"/>
  <c r="L58" i="67"/>
  <c r="Q73" i="67" s="1"/>
  <c r="N59" i="67"/>
  <c r="L59" i="67"/>
  <c r="Q74" i="67" s="1"/>
  <c r="M59" i="67"/>
  <c r="C27" i="67"/>
  <c r="F64" i="67"/>
  <c r="F71" i="67"/>
  <c r="Q71" i="67"/>
  <c r="J57" i="67"/>
  <c r="J55" i="67" s="1"/>
  <c r="J58" i="67" s="1"/>
  <c r="Q50" i="67" s="1"/>
  <c r="I54" i="67"/>
  <c r="J53" i="67"/>
  <c r="Q52" i="67" s="1"/>
  <c r="L56" i="67"/>
  <c r="J26" i="43"/>
  <c r="E26" i="43"/>
  <c r="H16" i="1"/>
  <c r="E59" i="40"/>
  <c r="E28" i="6"/>
  <c r="K14" i="1" s="1"/>
  <c r="K16" i="1" s="1"/>
  <c r="P6" i="1"/>
  <c r="C13" i="12" s="1"/>
  <c r="Q16" i="1"/>
  <c r="F27" i="69" s="1"/>
  <c r="C47" i="69" s="1"/>
  <c r="D45" i="69" s="1"/>
  <c r="F51" i="15"/>
  <c r="C49" i="15" s="1"/>
  <c r="F31" i="15"/>
  <c r="C6" i="15"/>
  <c r="C32" i="15" s="1"/>
  <c r="F64" i="15"/>
  <c r="Q71" i="15"/>
  <c r="F50" i="67"/>
  <c r="M7" i="67"/>
  <c r="J6" i="67" s="1"/>
  <c r="J18" i="67" s="1"/>
  <c r="F31" i="67"/>
  <c r="C6" i="67"/>
  <c r="C32" i="67" s="1"/>
  <c r="F68" i="15"/>
  <c r="C27" i="15"/>
  <c r="J57" i="15"/>
  <c r="J55" i="15" s="1"/>
  <c r="J58" i="15" s="1"/>
  <c r="Q50" i="15" s="1"/>
  <c r="I54" i="15"/>
  <c r="L58" i="15"/>
  <c r="Q73" i="15" s="1"/>
  <c r="J53" i="15"/>
  <c r="L56" i="15" s="1"/>
  <c r="F68" i="67"/>
  <c r="AZ41" i="3"/>
  <c r="AZ31" i="3"/>
  <c r="N66" i="71"/>
  <c r="N65" i="71"/>
  <c r="T40" i="71"/>
  <c r="D40" i="71"/>
  <c r="AZ271" i="3"/>
  <c r="AZ130" i="3"/>
  <c r="AZ190" i="3"/>
  <c r="AZ249" i="3"/>
  <c r="AZ223" i="3"/>
  <c r="AZ550" i="3"/>
  <c r="W12" i="35"/>
  <c r="AC12" i="35"/>
  <c r="AZ404" i="3"/>
  <c r="C86" i="71"/>
  <c r="D86" i="71" s="1"/>
  <c r="D87" i="71"/>
  <c r="AZ51" i="3"/>
  <c r="AZ102" i="3"/>
  <c r="D60" i="71"/>
  <c r="T60" i="71"/>
  <c r="AA24" i="36"/>
  <c r="S24" i="36"/>
  <c r="AZ422" i="3"/>
  <c r="AZ403" i="3"/>
  <c r="S26" i="33"/>
  <c r="AA26" i="33"/>
  <c r="T28" i="71"/>
  <c r="D28" i="71"/>
  <c r="U28" i="71" s="1"/>
  <c r="C27" i="71"/>
  <c r="AZ49" i="3"/>
  <c r="AZ101" i="3"/>
  <c r="AZ27" i="3"/>
  <c r="C31" i="71"/>
  <c r="D30" i="71"/>
  <c r="B27" i="71"/>
  <c r="B26" i="71" s="1"/>
  <c r="S28" i="71"/>
  <c r="AZ274" i="3"/>
  <c r="AZ297" i="3"/>
  <c r="AZ197" i="3"/>
  <c r="C64" i="71"/>
  <c r="D63" i="71"/>
  <c r="AB24" i="36"/>
  <c r="U24" i="36"/>
  <c r="AA25" i="37"/>
  <c r="S25" i="37"/>
  <c r="AC44" i="39"/>
  <c r="W44" i="39"/>
  <c r="AZ464" i="3"/>
  <c r="AZ401" i="3"/>
  <c r="AB12" i="34"/>
  <c r="U12" i="34"/>
  <c r="AC26" i="33"/>
  <c r="W26" i="33"/>
  <c r="G5" i="3"/>
  <c r="B3" i="3" s="1"/>
  <c r="E536" i="3" s="1"/>
  <c r="D43" i="71"/>
  <c r="C44" i="71"/>
  <c r="AZ58" i="3"/>
  <c r="AZ59" i="3"/>
  <c r="AZ121" i="3"/>
  <c r="C36" i="71"/>
  <c r="D35" i="71"/>
  <c r="U12" i="36"/>
  <c r="AB12" i="36"/>
  <c r="AZ441" i="3"/>
  <c r="AZ405" i="3"/>
  <c r="AC9" i="34"/>
  <c r="W9" i="34"/>
  <c r="G16" i="1"/>
  <c r="F10" i="39" s="1"/>
  <c r="S10" i="39" s="1"/>
  <c r="J7" i="37"/>
  <c r="K1" i="73"/>
  <c r="E255" i="3"/>
  <c r="E554" i="3"/>
  <c r="E292" i="3"/>
  <c r="E249" i="3"/>
  <c r="E310" i="3"/>
  <c r="E81" i="3"/>
  <c r="E96" i="3"/>
  <c r="E174" i="3"/>
  <c r="E102" i="3"/>
  <c r="E534" i="3"/>
  <c r="T6" i="3"/>
  <c r="E360" i="3"/>
  <c r="E104" i="3"/>
  <c r="E41" i="3"/>
  <c r="E78" i="3"/>
  <c r="E370" i="3"/>
  <c r="E80" i="3"/>
  <c r="E223" i="3"/>
  <c r="E486" i="3"/>
  <c r="E507" i="3"/>
  <c r="E498" i="3"/>
  <c r="E202" i="3"/>
  <c r="E226" i="3"/>
  <c r="E43" i="3"/>
  <c r="E137" i="3"/>
  <c r="E194" i="3"/>
  <c r="E52" i="3"/>
  <c r="E50" i="3"/>
  <c r="E20" i="3"/>
  <c r="E101" i="3"/>
  <c r="E155" i="3"/>
  <c r="E348" i="3"/>
  <c r="E51" i="3"/>
  <c r="E57" i="3"/>
  <c r="E110" i="3"/>
  <c r="E19" i="3"/>
  <c r="E47" i="3"/>
  <c r="E266" i="3"/>
  <c r="E259" i="3"/>
  <c r="E488" i="3"/>
  <c r="E195" i="3"/>
  <c r="E98" i="3"/>
  <c r="E306" i="3"/>
  <c r="E157" i="3"/>
  <c r="E288" i="3"/>
  <c r="E257" i="3"/>
  <c r="E357" i="3"/>
  <c r="E379" i="3"/>
  <c r="E546" i="3"/>
  <c r="E71" i="3"/>
  <c r="E29" i="3"/>
  <c r="E574" i="3"/>
  <c r="E359" i="3"/>
  <c r="E418" i="3"/>
  <c r="E213" i="3"/>
  <c r="E17" i="3"/>
  <c r="AN6" i="3"/>
  <c r="E262" i="3"/>
  <c r="E120" i="3"/>
  <c r="E344" i="3"/>
  <c r="E274" i="3"/>
  <c r="E394" i="3"/>
  <c r="E576" i="3"/>
  <c r="E581" i="3"/>
  <c r="E444" i="3"/>
  <c r="E121" i="3"/>
  <c r="E334" i="3"/>
  <c r="E30" i="3"/>
  <c r="E366" i="3"/>
  <c r="E239" i="3"/>
  <c r="E516" i="3"/>
  <c r="E229" i="3"/>
  <c r="E551" i="3"/>
  <c r="V6" i="3"/>
  <c r="E294" i="3"/>
  <c r="E415" i="3"/>
  <c r="E395" i="3"/>
  <c r="E117" i="3"/>
  <c r="E382" i="3"/>
  <c r="E578" i="3"/>
  <c r="E336" i="3"/>
  <c r="E85" i="3"/>
  <c r="E314" i="3"/>
  <c r="E45" i="3"/>
  <c r="E458" i="3"/>
  <c r="E527" i="3"/>
  <c r="E571" i="3"/>
  <c r="E111" i="3"/>
  <c r="E150" i="3"/>
  <c r="E351" i="3"/>
  <c r="E31" i="3"/>
  <c r="E567" i="3"/>
  <c r="E549" i="3"/>
  <c r="E271" i="3"/>
  <c r="E107" i="3"/>
  <c r="E585" i="3"/>
  <c r="E478" i="3"/>
  <c r="E414" i="3"/>
  <c r="E477" i="3"/>
  <c r="AS6" i="3"/>
  <c r="E476" i="3"/>
  <c r="E447" i="3"/>
  <c r="E162" i="3"/>
  <c r="E186" i="3"/>
  <c r="E210" i="3"/>
  <c r="E384" i="3"/>
  <c r="E44" i="3"/>
  <c r="E441" i="3"/>
  <c r="E530" i="3"/>
  <c r="E343" i="3"/>
  <c r="E305" i="3"/>
  <c r="E388" i="3"/>
  <c r="E555" i="3"/>
  <c r="E410" i="3"/>
  <c r="E143" i="3"/>
  <c r="E270" i="3"/>
  <c r="E533" i="3"/>
  <c r="E561" i="3"/>
  <c r="E538" i="3"/>
  <c r="E439" i="3"/>
  <c r="E231" i="3"/>
  <c r="E216" i="3"/>
  <c r="E185" i="3"/>
  <c r="E528" i="3"/>
  <c r="E183" i="3"/>
  <c r="E361" i="3"/>
  <c r="E180" i="3"/>
  <c r="E91" i="3"/>
  <c r="E134" i="3"/>
  <c r="E350" i="3"/>
  <c r="E586" i="3"/>
  <c r="E495" i="3"/>
  <c r="E399" i="3"/>
  <c r="E347" i="3"/>
  <c r="E77" i="3"/>
  <c r="E181" i="3"/>
  <c r="E545" i="3"/>
  <c r="AK6" i="3"/>
  <c r="E277" i="3"/>
  <c r="E133" i="3"/>
  <c r="K6" i="3"/>
  <c r="E472" i="3"/>
  <c r="E406" i="3"/>
  <c r="E465" i="3"/>
  <c r="E577" i="3"/>
  <c r="E468" i="3"/>
  <c r="E454" i="3"/>
  <c r="E146" i="3"/>
  <c r="E171" i="3"/>
  <c r="E214" i="3"/>
  <c r="E362" i="3"/>
  <c r="E74" i="3"/>
  <c r="E227" i="3"/>
  <c r="E89" i="3"/>
  <c r="E204" i="3"/>
  <c r="E327" i="3"/>
  <c r="AO6" i="3"/>
  <c r="E485" i="3"/>
  <c r="E400"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D5" i="43"/>
  <c r="D26" i="43"/>
  <c r="C25" i="43" s="1"/>
  <c r="C7" i="43"/>
  <c r="C5" i="43" s="1"/>
  <c r="D10" i="52"/>
  <c r="D125" i="9"/>
  <c r="D11" i="52" s="1"/>
  <c r="B7" i="74"/>
  <c r="C7" i="74" s="1"/>
  <c r="F67" i="39"/>
  <c r="F59" i="67"/>
  <c r="H7" i="37"/>
  <c r="AB7" i="37" s="1"/>
  <c r="T42" i="37" s="1"/>
  <c r="G42" i="37" s="1"/>
  <c r="H7" i="33"/>
  <c r="J7" i="33"/>
  <c r="D65" i="40"/>
  <c r="E63" i="40"/>
  <c r="F48" i="35"/>
  <c r="S7" i="36"/>
  <c r="AC7" i="37"/>
  <c r="W7" i="37"/>
  <c r="F7" i="33"/>
  <c r="E58" i="21"/>
  <c r="AC7" i="36"/>
  <c r="V36" i="36" s="1"/>
  <c r="I36" i="36" s="1"/>
  <c r="W7" i="36"/>
  <c r="F7" i="37"/>
  <c r="M17" i="15"/>
  <c r="F59" i="15"/>
  <c r="P28" i="43"/>
  <c r="B66" i="40" s="1"/>
  <c r="P25" i="43"/>
  <c r="P29" i="43"/>
  <c r="P27" i="43"/>
  <c r="B70" i="39" s="1"/>
  <c r="M11" i="67"/>
  <c r="J10" i="67" s="1"/>
  <c r="F11" i="15"/>
  <c r="M11" i="15"/>
  <c r="J10" i="15" s="1"/>
  <c r="J5" i="15" s="1"/>
  <c r="J24" i="15" s="1"/>
  <c r="F11" i="67"/>
  <c r="Q74" i="15"/>
  <c r="Q61" i="15"/>
  <c r="AE11" i="1"/>
  <c r="AE9" i="1"/>
  <c r="AE7" i="1"/>
  <c r="AE8" i="1"/>
  <c r="AE12" i="1"/>
  <c r="AE10" i="1"/>
  <c r="C16" i="15"/>
  <c r="F41" i="67"/>
  <c r="C16" i="67"/>
  <c r="G1" i="73"/>
  <c r="Q61" i="67" l="1"/>
  <c r="F1" i="67"/>
  <c r="F48" i="69"/>
  <c r="C48" i="69"/>
  <c r="C30" i="69"/>
  <c r="F48" i="68"/>
  <c r="C30" i="68"/>
  <c r="C48" i="68"/>
  <c r="C48" i="11"/>
  <c r="C30" i="11"/>
  <c r="J10" i="39"/>
  <c r="W10" i="39" s="1"/>
  <c r="F10" i="40"/>
  <c r="S10" i="40" s="1"/>
  <c r="C49" i="67"/>
  <c r="F1" i="15"/>
  <c r="J5" i="67"/>
  <c r="J24" i="67" s="1"/>
  <c r="AA10" i="39"/>
  <c r="J10" i="40"/>
  <c r="AC10" i="40" s="1"/>
  <c r="Q60" i="67"/>
  <c r="H10" i="40"/>
  <c r="AB10" i="40" s="1"/>
  <c r="Q60" i="15"/>
  <c r="M14" i="1"/>
  <c r="H10" i="39"/>
  <c r="U10" i="39" s="1"/>
  <c r="E345" i="3"/>
  <c r="Z6" i="3"/>
  <c r="E368" i="3"/>
  <c r="E315" i="3"/>
  <c r="E106" i="3"/>
  <c r="E587" i="3"/>
  <c r="E560" i="3"/>
  <c r="E228" i="3"/>
  <c r="E568" i="3"/>
  <c r="E124" i="3"/>
  <c r="E301" i="3"/>
  <c r="E503" i="3"/>
  <c r="E261" i="3"/>
  <c r="E380" i="3"/>
  <c r="AR6" i="3"/>
  <c r="E337" i="3"/>
  <c r="E508" i="3"/>
  <c r="E175" i="3"/>
  <c r="E331" i="3"/>
  <c r="E27" i="3"/>
  <c r="E505" i="3"/>
  <c r="E515" i="3"/>
  <c r="E269" i="3"/>
  <c r="E318" i="3"/>
  <c r="E450" i="3"/>
  <c r="E193" i="3"/>
  <c r="E583" i="3"/>
  <c r="E290" i="3"/>
  <c r="E230" i="3"/>
  <c r="E151" i="3"/>
  <c r="E553" i="3"/>
  <c r="E166" i="3"/>
  <c r="AG6" i="3"/>
  <c r="AE6" i="3"/>
  <c r="E353" i="3"/>
  <c r="E338" i="3"/>
  <c r="E53" i="3"/>
  <c r="U6" i="3"/>
  <c r="W6" i="3"/>
  <c r="E307" i="3"/>
  <c r="E462" i="3"/>
  <c r="E323" i="3"/>
  <c r="E222" i="3"/>
  <c r="E165" i="3"/>
  <c r="E36" i="3"/>
  <c r="E540" i="3"/>
  <c r="E419" i="3"/>
  <c r="E116" i="3"/>
  <c r="E190" i="3"/>
  <c r="E556" i="3"/>
  <c r="E113" i="3"/>
  <c r="E309" i="3"/>
  <c r="E389" i="3"/>
  <c r="F45" i="69"/>
  <c r="E510" i="3"/>
  <c r="E212" i="3"/>
  <c r="E466" i="3"/>
  <c r="E517" i="3"/>
  <c r="E152" i="3"/>
  <c r="E544" i="3"/>
  <c r="E46" i="3"/>
  <c r="E492" i="3"/>
  <c r="E355" i="3"/>
  <c r="E513" i="3"/>
  <c r="E42" i="3"/>
  <c r="E235" i="3"/>
  <c r="E206" i="3"/>
  <c r="E308"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75" i="3"/>
  <c r="E449" i="3"/>
  <c r="E417" i="3"/>
  <c r="E241" i="3"/>
  <c r="E409" i="3"/>
  <c r="E267" i="3"/>
  <c r="E67" i="3"/>
  <c r="E63" i="3"/>
  <c r="E198" i="3"/>
  <c r="E18" i="3"/>
  <c r="E383" i="3"/>
  <c r="AF6" i="3"/>
  <c r="E22"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C29" i="69"/>
  <c r="D27" i="69" s="1"/>
  <c r="E72" i="3"/>
  <c r="E562" i="3"/>
  <c r="E573" i="3"/>
  <c r="E99" i="3"/>
  <c r="E453" i="3"/>
  <c r="E293" i="3"/>
  <c r="E245" i="3"/>
  <c r="E550" i="3"/>
  <c r="E114" i="3"/>
  <c r="E320" i="3"/>
  <c r="E559" i="3"/>
  <c r="E396" i="3"/>
  <c r="N6" i="3"/>
  <c r="E125" i="3"/>
  <c r="E316" i="3"/>
  <c r="E88" i="3"/>
  <c r="E558" i="3"/>
  <c r="E236" i="3"/>
  <c r="E73" i="3"/>
  <c r="E437" i="3"/>
  <c r="E238" i="3"/>
  <c r="E159" i="3"/>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E34" i="3"/>
  <c r="AL6" i="3"/>
  <c r="E233" i="3"/>
  <c r="E64" i="3"/>
  <c r="E95" i="3"/>
  <c r="E442" i="3"/>
  <c r="E3" i="6"/>
  <c r="D3" i="21" s="1"/>
  <c r="F27" i="68"/>
  <c r="F45" i="68" s="1"/>
  <c r="F28" i="12"/>
  <c r="C29" i="12" s="1"/>
  <c r="D28" i="12" s="1"/>
  <c r="E279" i="3"/>
  <c r="E433" i="3"/>
  <c r="E457" i="3"/>
  <c r="E519" i="3"/>
  <c r="E511" i="3"/>
  <c r="E253" i="3"/>
  <c r="E518" i="3"/>
  <c r="E61" i="3"/>
  <c r="E260" i="3"/>
  <c r="E130" i="3"/>
  <c r="E407" i="3"/>
  <c r="E358" i="3"/>
  <c r="E569" i="3"/>
  <c r="E282" i="3"/>
  <c r="E480" i="3"/>
  <c r="E295" i="3"/>
  <c r="E404" i="3"/>
  <c r="E443" i="3"/>
  <c r="I6" i="3"/>
  <c r="E55" i="3"/>
  <c r="Q6" i="3"/>
  <c r="E156" i="3"/>
  <c r="E254" i="3"/>
  <c r="E169" i="3"/>
  <c r="E390" i="3"/>
  <c r="E153" i="3"/>
  <c r="E272" i="3"/>
  <c r="E432" i="3"/>
  <c r="E397" i="3"/>
  <c r="E475" i="3"/>
  <c r="E532" i="3"/>
  <c r="E122" i="3"/>
  <c r="E167" i="3"/>
  <c r="Y6" i="3"/>
  <c r="E373" i="3"/>
  <c r="E582" i="3"/>
  <c r="E209" i="3"/>
  <c r="E421" i="3"/>
  <c r="E65" i="3"/>
  <c r="E398" i="3"/>
  <c r="E218" i="3"/>
  <c r="E147" i="3"/>
  <c r="E339" i="3"/>
  <c r="E455" i="3"/>
  <c r="E333" i="3"/>
  <c r="E40" i="3"/>
  <c r="E490" i="3"/>
  <c r="E493" i="3"/>
  <c r="E83" i="3"/>
  <c r="E342" i="3"/>
  <c r="E243" i="3"/>
  <c r="E452" i="3"/>
  <c r="E469" i="3"/>
  <c r="E205" i="3"/>
  <c r="E86" i="3"/>
  <c r="E281" i="3"/>
  <c r="E33" i="3"/>
  <c r="E484" i="3"/>
  <c r="E479" i="3"/>
  <c r="E499" i="3"/>
  <c r="Q52" i="15"/>
  <c r="U7" i="36"/>
  <c r="M17" i="67"/>
  <c r="D31" i="71"/>
  <c r="C32" i="71"/>
  <c r="C26" i="71"/>
  <c r="D26" i="71" s="1"/>
  <c r="D27" i="71"/>
  <c r="E482" i="3"/>
  <c r="E391" i="3"/>
  <c r="E494" i="3"/>
  <c r="E283" i="3"/>
  <c r="E68" i="3"/>
  <c r="E184" i="3"/>
  <c r="E84" i="3"/>
  <c r="E371" i="3"/>
  <c r="E160" i="3"/>
  <c r="E467" i="3"/>
  <c r="E59" i="3"/>
  <c r="E349" i="3"/>
  <c r="E258" i="3"/>
  <c r="E37" i="3"/>
  <c r="E491" i="3"/>
  <c r="AP6" i="3"/>
  <c r="E430" i="3"/>
  <c r="E502" i="3"/>
  <c r="E286" i="3"/>
  <c r="E539" i="3"/>
  <c r="D36" i="71"/>
  <c r="T36" i="71"/>
  <c r="D44" i="71"/>
  <c r="T44" i="71"/>
  <c r="T64" i="71"/>
  <c r="D64" i="71"/>
  <c r="R36" i="36"/>
  <c r="R37" i="36" s="1"/>
  <c r="E140" i="3"/>
  <c r="E287" i="3"/>
  <c r="E251" i="3"/>
  <c r="E522" i="3"/>
  <c r="E129" i="3"/>
  <c r="E75" i="3"/>
  <c r="E332" i="3"/>
  <c r="E21" i="3"/>
  <c r="E264" i="3"/>
  <c r="E381" i="3"/>
  <c r="E144" i="3"/>
  <c r="E23" i="3"/>
  <c r="E300" i="3"/>
  <c r="E103" i="3"/>
  <c r="E425" i="3"/>
  <c r="E76" i="3"/>
  <c r="E363" i="3"/>
  <c r="E192" i="3"/>
  <c r="E56" i="3"/>
  <c r="E435" i="3"/>
  <c r="I3" i="6"/>
  <c r="E541" i="3"/>
  <c r="R6" i="3"/>
  <c r="E1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14" i="12"/>
  <c r="D19" i="11"/>
  <c r="C19" i="11" s="1"/>
  <c r="L18" i="9"/>
  <c r="D3" i="37"/>
  <c r="C39" i="43"/>
  <c r="C42" i="43"/>
  <c r="E42" i="43" s="1"/>
  <c r="C38" i="43"/>
  <c r="AC10" i="39"/>
  <c r="U7" i="37"/>
  <c r="G67" i="39"/>
  <c r="F69" i="39"/>
  <c r="I53" i="34"/>
  <c r="J53" i="34" s="1"/>
  <c r="F58" i="21"/>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AE6" i="1"/>
  <c r="M27" i="67"/>
  <c r="F41" i="15"/>
  <c r="M27" i="15"/>
  <c r="E36" i="36" l="1"/>
  <c r="AA10" i="40"/>
  <c r="C48" i="67"/>
  <c r="C60" i="67" s="1"/>
  <c r="F25" i="12"/>
  <c r="C26" i="12" s="1"/>
  <c r="D25" i="12" s="1"/>
  <c r="AB10" i="39"/>
  <c r="W10" i="40"/>
  <c r="C29" i="68"/>
  <c r="D27" i="68" s="1"/>
  <c r="C47" i="68"/>
  <c r="D45" i="68" s="1"/>
  <c r="U10" i="40"/>
  <c r="D3" i="33"/>
  <c r="E6" i="6"/>
  <c r="D116" i="43"/>
  <c r="AC6" i="3"/>
  <c r="E6" i="3" s="1"/>
  <c r="D3" i="34"/>
  <c r="C17" i="4"/>
  <c r="B4" i="52" s="1"/>
  <c r="B43" i="72" s="1"/>
  <c r="M18" i="9"/>
  <c r="B118" i="9" s="1"/>
  <c r="B1" i="74" s="1"/>
  <c r="H6" i="3"/>
  <c r="T32" i="71"/>
  <c r="D32" i="71"/>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7" i="15"/>
  <c r="C17" i="67"/>
  <c r="C14" i="67"/>
  <c r="C66" i="67" l="1"/>
  <c r="H24" i="6"/>
  <c r="F41" i="68"/>
  <c r="H22" i="6"/>
  <c r="H25" i="6"/>
  <c r="R25" i="6" s="1"/>
  <c r="R12" i="1" s="1"/>
  <c r="C26" i="68"/>
  <c r="D22" i="68" s="1"/>
  <c r="C23" i="68"/>
  <c r="C44" i="11"/>
  <c r="D41" i="11" s="1"/>
  <c r="E53" i="34"/>
  <c r="F53" i="34" s="1"/>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F35"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L51" i="15"/>
  <c r="D2" i="36"/>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9" i="1"/>
  <c r="AO7" i="1"/>
  <c r="AO12" i="1"/>
  <c r="AO10"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G19" i="9" l="1"/>
  <c r="D22" i="9"/>
  <c r="D10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G20" i="9"/>
  <c r="C32" i="9" s="1"/>
  <c r="D103" i="9"/>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12" i="9"/>
  <c r="D21" i="53" s="1"/>
  <c r="B39" i="72" s="1"/>
  <c r="H111" i="9"/>
  <c r="D19" i="53" s="1"/>
  <c r="B38" i="72" l="1"/>
  <c r="D20" i="53"/>
  <c r="B40" i="72" s="1"/>
  <c r="D126" i="9"/>
  <c r="C8" i="74"/>
  <c r="D12" i="52" l="1"/>
  <c r="D127" i="9"/>
  <c r="D13" i="52" s="1"/>
  <c r="B51" i="72"/>
  <c r="F4" i="52"/>
  <c r="E81" i="9"/>
  <c r="E80" i="9"/>
  <c r="C80" i="9"/>
  <c r="B21" i="72"/>
  <c r="D7" i="53"/>
  <c r="M68" i="9"/>
  <c r="L68" i="9"/>
  <c r="M54" i="9"/>
  <c r="D56" i="9"/>
  <c r="D58" i="9"/>
  <c r="C97" i="9"/>
  <c r="N58" i="9"/>
  <c r="D55" i="9"/>
  <c r="M53" i="9"/>
  <c r="N57" i="9"/>
  <c r="P57" i="9"/>
  <c r="M67" i="9"/>
  <c r="L67" i="9"/>
  <c r="B53" i="72"/>
  <c r="F5" i="52"/>
  <c r="F119" i="9"/>
  <c r="D8" i="52"/>
  <c r="D4" i="52"/>
  <c r="B47" i="72"/>
  <c r="D122" i="9"/>
  <c r="D123" i="9"/>
  <c r="D9" i="52"/>
  <c r="D59" i="9"/>
  <c r="M55" i="9"/>
  <c r="B31" i="72"/>
  <c r="D15" i="53"/>
  <c r="M64" i="9"/>
  <c r="L64" i="9"/>
  <c r="M66" i="9"/>
  <c r="L66" i="9"/>
  <c r="M48" i="9"/>
  <c r="H102" i="9"/>
  <c r="C5" i="74"/>
  <c r="C73" i="9"/>
  <c r="C78" i="9"/>
  <c r="C86" i="9"/>
  <c r="C93" i="9"/>
  <c r="M65" i="9"/>
  <c r="L65" i="9"/>
  <c r="E97" i="9"/>
  <c r="C85" i="9"/>
  <c r="C95" i="9"/>
  <c r="C96" i="9"/>
  <c r="E96" i="9"/>
  <c r="B30" i="72"/>
  <c r="B20" i="72"/>
  <c r="H108" i="9"/>
  <c r="C6" i="74"/>
  <c r="C72" i="9"/>
  <c r="C79" i="9"/>
  <c r="C81" i="9"/>
  <c r="C104" i="9"/>
  <c r="H4" i="52"/>
  <c r="D118" i="9"/>
  <c r="D119" i="9"/>
  <c r="D5" i="52"/>
  <c r="B49" i="72"/>
  <c r="I4" i="52"/>
  <c r="C105" i="9"/>
  <c r="N61" i="9"/>
  <c r="N59" i="9"/>
  <c r="N60" i="9"/>
  <c r="C64" i="9"/>
  <c r="C63" i="9"/>
  <c r="C67" i="9"/>
  <c r="C68" i="9"/>
  <c r="D54" i="9"/>
  <c r="D53" i="9"/>
  <c r="D45" i="9"/>
  <c r="D52" i="9"/>
  <c r="M49" i="9"/>
  <c r="L63" i="9"/>
  <c r="M63" i="9"/>
  <c r="M69" i="9"/>
  <c r="N69" i="9"/>
  <c r="F118" i="9"/>
  <c r="G118" i="9"/>
  <c r="G4" i="52"/>
  <c r="B52" i="72"/>
  <c r="E118" i="9"/>
  <c r="E4" i="52"/>
  <c r="B48" i="72"/>
  <c r="H119" i="9"/>
  <c r="H5" i="52"/>
  <c r="H107" i="9"/>
  <c r="D13" i="53"/>
  <c r="D14" i="53"/>
  <c r="B32" i="72"/>
  <c r="I118" i="9"/>
  <c r="H118" i="9"/>
  <c r="H101" i="9"/>
  <c r="D5" i="53"/>
  <c r="D6" i="53"/>
  <c r="B2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C3D19F41-F702-4992-85D3-DCBBAD3B933D}">
      <text>
        <r>
          <rPr>
            <b/>
            <sz val="9"/>
            <color indexed="81"/>
            <rFont val="宋体"/>
            <family val="3"/>
            <charset val="134"/>
          </rPr>
          <t>权重验证</t>
        </r>
        <r>
          <rPr>
            <sz val="9"/>
            <color indexed="81"/>
            <rFont val="宋体"/>
            <family val="3"/>
            <charset val="134"/>
          </rPr>
          <t xml:space="preserve">
</t>
        </r>
      </text>
    </comment>
    <comment ref="C58" authorId="1" shapeId="0" xr:uid="{A3BCC74F-CE71-4E82-B021-506894B3F4F8}">
      <text>
        <r>
          <rPr>
            <b/>
            <sz val="12"/>
            <color indexed="81"/>
            <rFont val="宋体"/>
            <family val="3"/>
            <charset val="134"/>
          </rPr>
          <t>价值时点所在月度</t>
        </r>
        <r>
          <rPr>
            <sz val="12"/>
            <color indexed="81"/>
            <rFont val="宋体"/>
            <family val="3"/>
            <charset val="134"/>
          </rPr>
          <t xml:space="preserve">
</t>
        </r>
      </text>
    </comment>
    <comment ref="B102" authorId="1" shapeId="0" xr:uid="{4109A1F8-5980-4C54-AF64-0F16F7C86B05}">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<sst xmlns="http://schemas.openxmlformats.org/spreadsheetml/2006/main" count="8720" uniqueCount="3686">
  <si>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</si>
  <si>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</si>
  <si>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</si>
  <si>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</si>
  <si>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</si>
  <si>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</si>
  <si>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</si>
  <si>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</si>
  <si>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</si>
  <si>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</si>
  <si>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</si>
  <si>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</si>
  <si>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</si>
  <si>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</si>
  <si>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</si>
  <si>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</si>
  <si>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</si>
  <si>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</si>
  <si>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</si>
  <si>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</si>
  <si>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</si>
  <si>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</si>
  <si>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</si>
  <si>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</si>
  <si>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</si>
  <si>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</si>
  <si>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</si>
  <si>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</si>
  <si>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</si>
  <si>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</si>
  <si>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</si>
  <si>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</si>
  <si>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</si>
  <si>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</si>
  <si>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</si>
  <si>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</si>
  <si>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</si>
  <si>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</si>
  <si>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</si>
  <si>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</si>
  <si>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</si>
  <si>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</si>
  <si>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</si>
  <si>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</si>
  <si>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</si>
  <si>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</si>
  <si>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</si>
  <si>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</si>
  <si>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</si>
  <si>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</si>
  <si>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</si>
  <si>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</si>
  <si>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</si>
  <si>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</si>
  <si>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</si>
  <si>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</si>
  <si>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</si>
  <si>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</si>
  <si>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</si>
  <si>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</si>
  <si>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</si>
  <si>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</si>
  <si>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</si>
  <si>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</si>
  <si>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</si>
  <si>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</si>
  <si>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</si>
  <si>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</si>
  <si>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</si>
  <si>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</si>
  <si>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</si>
  <si>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</si>
  <si>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</si>
  <si>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</si>
  <si>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</si>
  <si>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</si>
  <si>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</si>
  <si>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</si>
  <si>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</si>
  <si>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</si>
  <si>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</si>
  <si>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</si>
  <si>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</si>
  <si>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</si>
  <si>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</si>
  <si>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</si>
  <si>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</si>
  <si>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</si>
  <si>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</si>
  <si>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</si>
  <si>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</si>
  <si>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</si>
  <si>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</si>
  <si>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</si>
  <si>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</si>
  <si>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</si>
  <si>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</si>
  <si>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</si>
  <si>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</si>
  <si>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</si>
  <si>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</si>
  <si>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</si>
  <si>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</si>
  <si>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</si>
  <si>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</si>
  <si>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</si>
  <si>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</si>
  <si>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</si>
  <si>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</si>
  <si>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</si>
  <si>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</si>
  <si>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</si>
  <si>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</si>
  <si>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</si>
  <si>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</si>
  <si>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</si>
  <si>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</si>
  <si>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</si>
  <si>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</si>
  <si>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</si>
  <si>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</si>
  <si>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</si>
  <si>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</si>
  <si>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</si>
  <si>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</si>
  <si>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</si>
  <si>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</si>
  <si>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</si>
  <si>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</si>
  <si>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</si>
  <si>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</si>
  <si>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</si>
  <si>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</si>
  <si>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</si>
  <si>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</si>
  <si>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</si>
  <si>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</si>
  <si>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</si>
  <si>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</si>
  <si>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</si>
  <si>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</si>
  <si>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</si>
  <si>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</si>
  <si>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</si>
  <si>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</si>
  <si>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</si>
  <si>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</si>
  <si>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</si>
  <si>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</si>
  <si>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</si>
  <si>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</si>
  <si>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</si>
  <si>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</si>
  <si>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</si>
  <si>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</si>
  <si>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</si>
  <si>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</si>
  <si>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</si>
  <si>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</si>
  <si>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</si>
  <si>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</si>
  <si>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</si>
  <si>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</si>
  <si>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</si>
  <si>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</si>
  <si>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</si>
  <si>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</si>
  <si>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</si>
  <si>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</si>
  <si>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</si>
  <si>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</si>
  <si>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</si>
  <si>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</si>
  <si>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</si>
  <si>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</si>
  <si>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</si>
  <si>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</si>
  <si>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</si>
  <si>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</si>
  <si>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</si>
  <si>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</si>
  <si>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</si>
  <si>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</si>
  <si>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</si>
  <si>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</si>
  <si>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</si>
  <si>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</si>
  <si>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</si>
  <si>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</si>
  <si>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</si>
  <si>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</si>
  <si>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</si>
  <si>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</si>
  <si>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</si>
  <si>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</si>
  <si>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</si>
  <si>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</si>
  <si>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</si>
  <si>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</si>
  <si>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</si>
  <si>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</si>
  <si>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</si>
  <si>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</si>
  <si>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</si>
  <si>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</si>
  <si>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</si>
  <si>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</si>
  <si>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</si>
  <si>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</si>
  <si>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</si>
  <si>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</si>
  <si>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</si>
  <si>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</si>
  <si>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</si>
  <si>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</si>
  <si>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</si>
  <si>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</si>
  <si>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</si>
  <si>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</si>
  <si>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</si>
  <si>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</si>
  <si>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</si>
  <si>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</si>
  <si>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</si>
  <si>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</si>
  <si>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</si>
  <si>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</si>
  <si>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</si>
  <si>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</si>
  <si>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</si>
  <si>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</si>
  <si>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</si>
  <si>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</si>
  <si>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</si>
  <si>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</si>
  <si>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</si>
  <si>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</si>
  <si>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</si>
  <si>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</si>
  <si>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</si>
  <si>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</si>
  <si>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</si>
  <si>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</si>
  <si>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</si>
  <si>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</si>
  <si>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</si>
  <si>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</si>
  <si>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</si>
  <si>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</si>
  <si>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</si>
  <si>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</si>
  <si>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</si>
  <si>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</si>
  <si>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</si>
  <si>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</si>
  <si>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</si>
  <si>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</si>
  <si>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</si>
  <si>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</si>
  <si>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</si>
  <si>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</si>
  <si>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</si>
  <si>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</si>
  <si>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</si>
  <si>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</si>
  <si>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</si>
  <si>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</si>
  <si>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</si>
  <si>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</si>
  <si>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</si>
  <si>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</si>
  <si>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</si>
  <si>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</si>
  <si>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</si>
  <si>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</si>
  <si>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</si>
  <si>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</si>
  <si>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</si>
  <si>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</si>
  <si>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</si>
  <si>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</si>
  <si>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</si>
  <si>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</si>
  <si>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</si>
  <si>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</si>
  <si>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</si>
  <si>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</si>
  <si>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</si>
  <si>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</si>
  <si>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</si>
  <si>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</si>
  <si>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</si>
  <si>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</si>
  <si>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</si>
  <si>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</si>
  <si>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</si>
  <si>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</si>
  <si>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</si>
  <si>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</si>
  <si>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</si>
  <si>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</si>
  <si>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</si>
  <si>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</si>
  <si>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</si>
  <si>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</si>
  <si>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</si>
  <si>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</si>
  <si>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</si>
  <si>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</si>
  <si>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</si>
  <si>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</si>
  <si>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</si>
  <si>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</si>
  <si>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</si>
  <si>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</si>
  <si>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</si>
  <si>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</si>
  <si>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</si>
  <si>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</si>
  <si>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</si>
  <si>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</si>
  <si>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</si>
  <si>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</si>
  <si>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</si>
  <si>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</si>
  <si>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</si>
  <si>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</si>
  <si>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</si>
  <si>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</si>
  <si>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</si>
  <si>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</si>
  <si>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</si>
  <si>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</si>
  <si>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</si>
  <si>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</si>
  <si>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</si>
  <si>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</si>
  <si>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</si>
  <si>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</si>
  <si>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</si>
  <si>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</si>
  <si>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</si>
  <si>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</si>
  <si>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</si>
  <si>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</si>
  <si>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</si>
  <si>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</si>
  <si>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</si>
  <si>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</si>
  <si>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</si>
  <si>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</si>
  <si>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</si>
  <si>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</si>
  <si>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</si>
  <si>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</si>
  <si>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</si>
  <si>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</si>
  <si>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</si>
  <si>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</si>
  <si>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</si>
  <si>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</si>
  <si>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</si>
  <si>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</si>
  <si>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</si>
  <si>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</si>
  <si>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</si>
  <si>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</si>
  <si>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</si>
  <si>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</si>
  <si>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</si>
  <si>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</si>
  <si>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</si>
  <si>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</si>
  <si>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</si>
  <si>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</si>
  <si>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</si>
  <si>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</si>
  <si>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</si>
  <si>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</si>
  <si>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</si>
  <si>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</si>
  <si>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</si>
  <si>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</si>
  <si>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</si>
  <si>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</si>
  <si>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</si>
  <si>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</si>
  <si>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</si>
  <si>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</si>
  <si>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</si>
  <si>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</si>
  <si>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</si>
  <si>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</si>
  <si>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</si>
  <si>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</si>
  <si>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</si>
  <si>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</si>
  <si>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</si>
  <si>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</si>
  <si>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</si>
  <si>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</si>
  <si>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</si>
  <si>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</si>
  <si>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</si>
  <si>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</si>
  <si>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</si>
  <si>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</si>
  <si>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</si>
  <si>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</si>
  <si>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</si>
  <si>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</si>
  <si>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</si>
  <si>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</si>
  <si>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</si>
  <si>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</si>
  <si>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</si>
  <si>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</si>
  <si>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</si>
  <si>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</si>
  <si>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</si>
  <si>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</si>
  <si>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</si>
  <si>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</si>
  <si>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</si>
  <si>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</si>
  <si>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</si>
  <si>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</si>
  <si>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</si>
  <si>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</si>
  <si>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</si>
  <si>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</si>
  <si>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</si>
  <si>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</si>
  <si>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</si>
  <si>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</si>
  <si>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</si>
  <si>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</si>
  <si>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</si>
  <si>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</si>
  <si>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</si>
  <si>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</si>
  <si>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</si>
  <si>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</si>
  <si>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</si>
  <si>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</si>
  <si>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</si>
  <si>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</si>
  <si>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</si>
  <si>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</si>
  <si>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</si>
  <si>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</si>
  <si>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</si>
  <si>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</si>
  <si>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</si>
  <si>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</si>
  <si>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</si>
  <si>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</si>
  <si>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</si>
  <si>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</si>
  <si>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</si>
  <si>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</si>
  <si>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</si>
  <si>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</si>
  <si>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</si>
  <si>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</si>
  <si>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</si>
  <si>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</si>
  <si>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</si>
  <si>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</si>
  <si>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</si>
  <si>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</si>
  <si>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</si>
  <si>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</si>
  <si>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</si>
  <si>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</si>
  <si>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</si>
  <si>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</si>
  <si>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</si>
  <si>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</si>
  <si>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</si>
  <si>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</si>
  <si>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</si>
  <si>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</si>
  <si>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</si>
  <si>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</si>
  <si>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</si>
  <si>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</si>
  <si>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</si>
  <si>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</si>
  <si>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</si>
  <si>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</si>
  <si>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</si>
  <si>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</si>
  <si>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</si>
  <si>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</si>
  <si>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</si>
  <si>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</si>
  <si>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</si>
  <si>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</si>
  <si>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</si>
  <si>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</si>
  <si>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</si>
  <si>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</si>
  <si>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</si>
  <si>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</si>
  <si>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</si>
  <si>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</si>
  <si>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</si>
  <si>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</si>
  <si>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</si>
  <si>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</si>
  <si>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</si>
  <si>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</si>
  <si>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</si>
  <si>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</si>
  <si>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</si>
  <si>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</si>
  <si>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</si>
  <si>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</si>
  <si>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</si>
  <si>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</si>
  <si>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</si>
  <si>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</si>
  <si>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</si>
  <si>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</si>
  <si>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</si>
  <si>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</si>
  <si>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</si>
  <si>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</si>
  <si>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</si>
  <si>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</si>
  <si>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</si>
  <si>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</si>
  <si>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</si>
  <si>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</si>
  <si>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</si>
  <si>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</si>
  <si>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</si>
  <si>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</si>
  <si>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</si>
  <si>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</si>
  <si>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</si>
  <si>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</si>
  <si>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</si>
  <si>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</si>
  <si>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</si>
  <si>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</si>
  <si>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</si>
  <si>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</si>
  <si>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</si>
  <si>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</si>
  <si>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</si>
  <si>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</si>
  <si>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</si>
  <si>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</si>
  <si>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</si>
  <si>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</si>
  <si>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</si>
  <si>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</si>
  <si>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</si>
  <si>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</si>
  <si>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</si>
  <si>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</si>
  <si>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</si>
  <si>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</si>
  <si>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</si>
  <si>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</si>
  <si>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</si>
  <si>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</si>
  <si>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</si>
  <si>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</si>
  <si>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</si>
  <si>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</si>
  <si>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</si>
  <si>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</si>
  <si>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</si>
  <si>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</si>
  <si>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</si>
  <si>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</si>
  <si>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</si>
  <si>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</si>
  <si>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</si>
  <si>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</si>
  <si>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</si>
  <si>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</si>
  <si>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</si>
  <si>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</si>
  <si>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</si>
  <si>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</si>
  <si>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</si>
  <si>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</si>
  <si>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</si>
  <si>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</si>
  <si>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</si>
  <si>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</si>
  <si>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</si>
  <si>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</si>
  <si>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</si>
  <si>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</si>
  <si>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</si>
  <si>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</si>
  <si>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</si>
  <si>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</si>
  <si>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</si>
  <si>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</si>
  <si>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</si>
  <si>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</si>
  <si>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</si>
  <si>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</si>
  <si>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</si>
  <si>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</si>
  <si>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</si>
  <si>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</si>
  <si>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</si>
  <si>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</si>
  <si>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</si>
  <si>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</si>
  <si>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</si>
  <si>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</si>
  <si>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</si>
  <si>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</si>
  <si>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</si>
  <si>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</si>
  <si>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</si>
  <si>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</si>
  <si>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</si>
  <si>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</si>
  <si>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</si>
  <si>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</si>
  <si>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</si>
  <si>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</si>
  <si>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</si>
  <si>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</si>
  <si>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</si>
  <si>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</si>
  <si>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</si>
  <si>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</si>
  <si>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</si>
  <si>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</si>
  <si>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</si>
  <si>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</si>
  <si>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</si>
  <si>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</si>
  <si>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</si>
  <si>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</si>
  <si>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</si>
  <si>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</si>
  <si>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</si>
  <si>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</si>
  <si>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</si>
  <si>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</si>
  <si>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</si>
  <si>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</si>
  <si>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</si>
  <si>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</si>
  <si>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</si>
  <si>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</si>
  <si>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</si>
  <si>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</si>
  <si>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</si>
  <si>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</si>
  <si>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</si>
  <si>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</si>
  <si>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</si>
  <si>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</si>
  <si>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</si>
  <si>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</si>
  <si>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</si>
  <si>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</si>
  <si>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</si>
  <si>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</si>
  <si>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</si>
  <si>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</si>
  <si>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</si>
  <si>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</si>
  <si>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</si>
  <si>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</si>
  <si>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</si>
  <si>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</si>
  <si>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</si>
  <si>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</si>
  <si>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</si>
  <si>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</si>
  <si>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</si>
  <si>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</si>
  <si>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</si>
  <si>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</si>
  <si>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</si>
  <si>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</si>
  <si>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</si>
  <si>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</si>
  <si>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</si>
  <si>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</si>
  <si>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</si>
  <si>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</si>
  <si>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</si>
  <si>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</si>
  <si>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</si>
  <si>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</si>
  <si>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</si>
  <si>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</si>
  <si>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</si>
  <si>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</si>
  <si>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</si>
  <si>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</si>
  <si>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</si>
  <si>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</si>
  <si>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</si>
  <si>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</si>
  <si>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</si>
  <si>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</si>
  <si>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</si>
  <si>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</si>
  <si>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</si>
  <si>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</si>
  <si>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</si>
  <si>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</si>
  <si>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</si>
  <si>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</si>
  <si>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</si>
  <si>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</si>
  <si>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</si>
  <si>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</si>
  <si>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</si>
  <si>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</si>
  <si>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</si>
  <si>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</si>
  <si>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</si>
  <si>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</si>
  <si>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</si>
  <si>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</si>
  <si>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</si>
  <si>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</si>
  <si>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</si>
  <si>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</si>
  <si>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</si>
  <si>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</si>
  <si>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</si>
  <si>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</si>
  <si>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</si>
  <si>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</si>
  <si>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</si>
  <si>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</si>
  <si>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</si>
  <si>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</si>
  <si>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</si>
  <si>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</si>
  <si>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</si>
  <si>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</si>
  <si>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</si>
  <si>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</si>
  <si>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</si>
  <si>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</si>
  <si>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</si>
  <si>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</si>
  <si>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</si>
  <si>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</si>
  <si>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</si>
  <si>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</si>
  <si>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</si>
  <si>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</si>
  <si>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</si>
  <si>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</si>
  <si>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</si>
  <si>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</si>
  <si>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</si>
  <si>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</si>
  <si>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</si>
  <si>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</si>
  <si>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</si>
  <si>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</si>
  <si>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</si>
  <si>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</si>
  <si>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</si>
  <si>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</si>
  <si>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</si>
  <si>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</si>
  <si>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</si>
  <si>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</si>
  <si>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</si>
  <si>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</si>
  <si>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</si>
  <si>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</si>
  <si>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</si>
  <si>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</si>
  <si>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</si>
  <si>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</si>
  <si>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</si>
  <si>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</si>
  <si>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</si>
  <si>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</si>
  <si>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</si>
  <si>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</si>
  <si>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</si>
  <si>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</si>
  <si>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</si>
  <si>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</si>
  <si>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</si>
  <si>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</si>
  <si>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</si>
  <si>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</si>
  <si>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</si>
  <si>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</si>
  <si>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</si>
  <si>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</si>
  <si>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</si>
  <si>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</si>
  <si>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</si>
  <si>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</si>
  <si>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</si>
  <si>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</si>
  <si>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</si>
  <si>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</si>
  <si>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</si>
  <si>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</si>
  <si>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</si>
  <si>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</si>
  <si>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</si>
  <si>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</si>
  <si>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</si>
  <si>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</si>
  <si>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</si>
  <si>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</si>
  <si>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</si>
  <si>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</si>
  <si>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</si>
  <si>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</si>
  <si>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</si>
  <si>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</si>
  <si>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</si>
  <si>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</si>
  <si>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</si>
  <si>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</si>
  <si>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</si>
  <si>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</si>
  <si>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</si>
  <si>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</si>
  <si>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</si>
  <si>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</si>
  <si>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</si>
  <si>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</si>
  <si>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</si>
  <si>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</si>
  <si>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</si>
  <si>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</si>
  <si>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</si>
  <si>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</si>
  <si>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</si>
  <si>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</si>
  <si>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</si>
  <si>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</si>
  <si>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</si>
  <si>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</si>
  <si>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</si>
  <si>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</si>
  <si>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</si>
  <si>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</si>
  <si>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</si>
  <si>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</si>
  <si>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</si>
  <si>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</si>
  <si>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</si>
  <si>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</si>
  <si>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</si>
  <si>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</si>
  <si>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</si>
  <si>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</si>
  <si>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</si>
  <si>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</si>
  <si>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</si>
  <si>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</si>
  <si>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</si>
  <si>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</si>
  <si>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</si>
  <si>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</si>
  <si>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</si>
  <si>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</si>
  <si>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</si>
  <si>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</si>
  <si>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</si>
  <si>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</si>
  <si>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</si>
  <si>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</si>
  <si>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</si>
  <si>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</si>
  <si>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</si>
  <si>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</si>
  <si>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</si>
  <si>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</si>
  <si>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</si>
  <si>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</si>
  <si>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</si>
  <si>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</si>
  <si>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</si>
  <si>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</si>
  <si>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</si>
  <si>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</si>
  <si>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</si>
  <si>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</si>
  <si>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</si>
  <si>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</si>
  <si>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</si>
  <si>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</si>
  <si>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</si>
  <si>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</si>
  <si>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</si>
  <si>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</si>
  <si>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</si>
  <si>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</si>
  <si>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</si>
  <si>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</si>
  <si>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</si>
  <si>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</si>
  <si>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</si>
  <si>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</si>
  <si>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</si>
  <si>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</si>
  <si>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</si>
  <si>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</si>
  <si>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</si>
  <si>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</si>
  <si>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</si>
  <si>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</si>
  <si>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</si>
  <si>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</si>
  <si>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</si>
  <si>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</si>
  <si>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</si>
  <si>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</si>
  <si>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</si>
  <si>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</si>
  <si>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</si>
  <si>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</si>
  <si>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</si>
  <si>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</si>
  <si>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</si>
  <si>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</si>
  <si>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</si>
  <si>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</si>
  <si>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</si>
  <si>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</si>
  <si>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</si>
  <si>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</si>
  <si>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</si>
  <si>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</si>
  <si>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</si>
  <si>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</si>
  <si>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</si>
  <si>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</si>
  <si>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</si>
  <si>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</si>
  <si>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</si>
  <si>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</si>
  <si>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</si>
  <si>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</si>
  <si>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</si>
  <si>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</si>
  <si>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</si>
  <si>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</si>
  <si>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</si>
  <si>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</si>
  <si>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</si>
  <si>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</si>
  <si>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</si>
  <si>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</si>
  <si>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</si>
  <si>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</si>
  <si>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</si>
  <si>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</si>
  <si>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</si>
  <si>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</si>
  <si>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</si>
  <si>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</si>
  <si>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</si>
  <si>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</si>
  <si>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</si>
  <si>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</si>
  <si>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</si>
  <si>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</si>
  <si>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</si>
  <si>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</si>
  <si>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</si>
  <si>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</si>
  <si>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</si>
  <si>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</si>
  <si>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</si>
  <si>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</si>
  <si>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</si>
  <si>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</si>
  <si>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</si>
  <si>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</si>
  <si>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</si>
  <si>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</si>
  <si>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</si>
  <si>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</si>
  <si>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</si>
  <si>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</si>
  <si>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</si>
  <si>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</si>
  <si>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</si>
  <si>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</si>
  <si>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</si>
  <si>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</si>
  <si>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</si>
  <si>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</si>
  <si>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</si>
  <si>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</si>
  <si>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</si>
  <si>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</si>
  <si>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</si>
  <si>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</si>
  <si>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</si>
  <si>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</si>
  <si>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</si>
  <si>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</si>
  <si>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</si>
  <si>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</si>
  <si>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</si>
  <si>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</si>
  <si>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</si>
  <si>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</si>
  <si>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</si>
  <si>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</si>
  <si>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</si>
  <si>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</si>
  <si>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</si>
  <si>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</si>
  <si>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</si>
  <si>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</si>
  <si>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</si>
  <si>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</si>
  <si>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</si>
  <si>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</si>
  <si>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</si>
  <si>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</si>
  <si>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</si>
  <si>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</si>
  <si>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</si>
  <si>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</si>
  <si>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</si>
  <si>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</si>
  <si>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</si>
  <si>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</si>
  <si>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</si>
  <si>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</si>
  <si>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</si>
  <si>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</si>
  <si>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</si>
  <si>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</si>
  <si>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</si>
  <si>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</si>
  <si>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</si>
  <si>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</si>
  <si>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</si>
  <si>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</si>
  <si>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</si>
  <si>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</si>
  <si>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</si>
  <si>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</si>
  <si>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</si>
  <si>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</si>
  <si>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</si>
  <si>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</si>
  <si>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</si>
  <si>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</si>
  <si>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</si>
  <si>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</si>
  <si>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</si>
  <si>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</si>
  <si>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</si>
  <si>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</si>
  <si>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</si>
  <si>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</si>
  <si>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</si>
  <si>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</si>
  <si>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</si>
  <si>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</si>
  <si>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</si>
  <si>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</si>
  <si>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</si>
  <si>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</si>
  <si>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</si>
  <si>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</si>
  <si>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</si>
  <si>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</si>
  <si>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</si>
  <si>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</si>
  <si>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</si>
  <si>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</si>
  <si>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</si>
  <si>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</si>
  <si>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</si>
  <si>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</si>
  <si>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</si>
  <si>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</si>
  <si>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</si>
  <si>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</si>
  <si>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</si>
  <si>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</si>
  <si>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</si>
  <si>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</si>
  <si>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</si>
  <si>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</si>
  <si>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</si>
  <si>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</si>
  <si>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</si>
  <si>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</si>
  <si>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</si>
  <si>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</si>
  <si>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</si>
  <si>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</si>
  <si>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</si>
  <si>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</si>
  <si>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</si>
  <si>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</si>
  <si>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</si>
  <si>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</si>
  <si>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</si>
  <si>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</si>
  <si>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</si>
  <si>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</si>
  <si>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</si>
  <si>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</si>
  <si>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</si>
  <si>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</si>
  <si>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</si>
  <si>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</si>
  <si>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</si>
  <si>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</si>
  <si>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</si>
  <si>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</si>
  <si>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</si>
  <si>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</si>
  <si>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</si>
  <si>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</si>
  <si>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</si>
  <si>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</si>
  <si>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</si>
  <si>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</si>
  <si>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</si>
  <si>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</si>
  <si>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</si>
  <si>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</si>
  <si>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</si>
  <si>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</si>
  <si>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</si>
  <si>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</si>
  <si>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</si>
  <si>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</si>
  <si>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</si>
  <si>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</si>
  <si>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</si>
  <si>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</si>
  <si>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</si>
  <si>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</si>
  <si>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</si>
  <si>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</si>
  <si>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</si>
  <si>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</si>
  <si>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</si>
  <si>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</si>
  <si>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</si>
  <si>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</si>
  <si>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</si>
  <si>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</si>
  <si>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</si>
  <si>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</si>
  <si>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</si>
  <si>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</si>
  <si>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</si>
  <si>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</si>
  <si>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</si>
  <si>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</si>
  <si>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</si>
  <si>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</si>
  <si>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</si>
  <si>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</si>
  <si>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</si>
  <si>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</si>
  <si>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</si>
  <si>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</si>
  <si>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</si>
  <si>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</si>
  <si>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</si>
  <si>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</si>
  <si>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</si>
  <si>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</si>
  <si>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</si>
  <si>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</si>
  <si>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</si>
  <si>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</si>
  <si>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</si>
  <si>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</si>
  <si>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</si>
  <si>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</si>
  <si>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</si>
  <si>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</si>
  <si>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</si>
  <si>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</si>
  <si>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</si>
  <si>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</si>
  <si>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</si>
  <si>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</si>
  <si>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</si>
  <si>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</si>
  <si>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</si>
  <si>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</si>
  <si>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</si>
  <si>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</si>
  <si>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</si>
  <si>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</si>
  <si>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</si>
  <si>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</si>
  <si>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</si>
  <si>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</si>
  <si>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</si>
  <si>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</si>
  <si>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</si>
  <si>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</si>
  <si>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</si>
  <si>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</si>
  <si>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</si>
  <si>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</si>
  <si>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</si>
  <si>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</si>
  <si>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</si>
  <si>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</si>
  <si>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</si>
  <si>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</si>
  <si>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</si>
  <si>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</si>
  <si>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</si>
  <si>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</si>
  <si>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</si>
  <si>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</si>
  <si>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</si>
  <si>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</si>
  <si>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</si>
  <si>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</si>
  <si>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</si>
  <si>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</si>
  <si>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</si>
  <si>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</si>
  <si>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</si>
  <si>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</si>
  <si>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</si>
  <si>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</si>
  <si>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</si>
  <si>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</si>
  <si>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</si>
  <si>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</si>
  <si>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</si>
  <si>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</si>
  <si>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</si>
  <si>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</si>
  <si>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</si>
  <si>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</si>
  <si>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</si>
  <si>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</si>
  <si>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</si>
  <si>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</si>
  <si>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</si>
  <si>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</si>
  <si>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</si>
  <si>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</si>
  <si>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</si>
  <si>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</si>
  <si>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</si>
  <si>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</si>
  <si>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</si>
  <si>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</si>
  <si>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</si>
  <si>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</si>
  <si>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</si>
  <si>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</si>
  <si>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</si>
  <si>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</si>
  <si>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</si>
  <si>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</si>
  <si>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</si>
  <si>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</si>
  <si>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</si>
  <si>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</si>
  <si>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</si>
  <si>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</si>
  <si>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</si>
  <si>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</si>
  <si>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</si>
  <si>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</si>
  <si>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</si>
  <si>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</si>
  <si>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</si>
  <si>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</si>
  <si>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</si>
  <si>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</si>
  <si>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</si>
  <si>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</si>
  <si>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</si>
  <si>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</si>
  <si>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</si>
  <si>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</si>
  <si>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</si>
  <si>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</si>
  <si>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</si>
  <si>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</si>
  <si>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</si>
  <si>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</si>
  <si>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</si>
  <si>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</si>
  <si>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</si>
  <si>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</si>
  <si>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</si>
  <si>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</si>
  <si>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</si>
  <si>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</si>
  <si>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</si>
  <si>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</si>
  <si>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</si>
  <si>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</si>
  <si>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</si>
  <si>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</si>
  <si>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</si>
  <si>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</si>
  <si>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</si>
  <si>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</si>
  <si>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</si>
  <si>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</si>
  <si>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</si>
  <si>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</si>
  <si>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</si>
  <si>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</si>
  <si>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</si>
  <si>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</si>
  <si>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</si>
  <si>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</si>
  <si>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</si>
  <si>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</si>
  <si>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</si>
  <si>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</si>
  <si>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</si>
  <si>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</si>
  <si>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</si>
  <si>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</si>
  <si>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</si>
  <si>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</si>
  <si>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</si>
  <si>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</si>
  <si>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</si>
  <si>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</si>
  <si>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</si>
  <si>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</si>
  <si>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</si>
  <si>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</si>
  <si>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</si>
  <si>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</si>
  <si>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</si>
  <si>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</si>
  <si>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</si>
  <si>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</si>
  <si>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</si>
  <si>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</si>
  <si>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</si>
  <si>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</si>
  <si>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</si>
  <si>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</si>
  <si>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</si>
  <si>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</si>
  <si>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</si>
  <si>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</si>
  <si>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</si>
  <si>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</si>
  <si>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</si>
  <si>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</si>
  <si>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</si>
  <si>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</si>
  <si>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</si>
  <si>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</si>
  <si>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</si>
  <si>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</si>
  <si>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</si>
  <si>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</si>
  <si>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</si>
  <si>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</si>
  <si>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</si>
  <si>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</si>
  <si>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</si>
  <si>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</si>
  <si>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</si>
  <si>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</si>
  <si>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</si>
  <si>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</si>
  <si>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</si>
  <si>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</si>
  <si>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</si>
  <si>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</si>
  <si>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</si>
  <si>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</si>
  <si>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</si>
  <si>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</si>
  <si>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</si>
  <si>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</si>
  <si>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</si>
  <si>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</si>
  <si>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</si>
  <si>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</si>
  <si>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</si>
  <si>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</si>
  <si>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</si>
  <si>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</si>
  <si>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</si>
  <si>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</si>
  <si>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</si>
  <si>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</si>
  <si>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</si>
  <si>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</si>
  <si>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</si>
  <si>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</si>
  <si>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</si>
  <si>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</si>
  <si>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</si>
  <si>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</si>
  <si>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</si>
  <si>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</si>
  <si>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</si>
  <si>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</si>
  <si>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</si>
  <si>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</si>
  <si>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</si>
  <si>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</si>
  <si>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</si>
  <si>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</si>
  <si>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</si>
  <si>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</si>
  <si>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</si>
  <si>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</si>
  <si>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</si>
  <si>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</si>
  <si>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</si>
  <si>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</si>
  <si>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</si>
  <si>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</si>
  <si>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</si>
  <si>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</si>
  <si>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</si>
  <si>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</si>
  <si>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</si>
  <si>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</si>
  <si>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</si>
  <si>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</si>
  <si>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</si>
  <si>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</si>
  <si>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</si>
  <si>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</si>
  <si>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</si>
  <si>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</si>
  <si>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</si>
  <si>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</si>
  <si>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</si>
  <si>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</si>
  <si>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</si>
  <si>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</si>
  <si>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</si>
  <si>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</si>
  <si>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</si>
  <si>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</si>
  <si>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</si>
  <si>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</si>
  <si>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</si>
  <si>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</si>
  <si>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</si>
  <si>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</si>
  <si>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</si>
  <si>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</si>
  <si>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</si>
  <si>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</si>
  <si>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</si>
  <si>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</si>
  <si>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</si>
  <si>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</si>
  <si>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</si>
  <si>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</si>
  <si>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</si>
  <si>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</si>
  <si>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</si>
  <si>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</si>
  <si>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</si>
  <si>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</si>
  <si>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</si>
  <si>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</si>
  <si>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</si>
  <si>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</si>
  <si>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</si>
  <si>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</si>
  <si>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</si>
  <si>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</si>
  <si>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</si>
  <si>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</si>
  <si>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</si>
  <si>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</si>
  <si>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</si>
  <si>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</si>
  <si>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</si>
  <si>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</si>
  <si>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</si>
  <si>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</si>
  <si>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</si>
  <si>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</si>
  <si>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</si>
  <si>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</si>
  <si>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</si>
  <si>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</si>
  <si>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</si>
  <si>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</si>
  <si>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</si>
  <si>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</si>
  <si>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</si>
  <si>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</si>
  <si>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</si>
  <si>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</si>
  <si>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</si>
  <si>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</si>
  <si>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</si>
  <si>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</si>
  <si>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</si>
  <si>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</si>
  <si>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</si>
  <si>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</si>
  <si>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</si>
  <si>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</si>
  <si>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</si>
  <si>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</si>
  <si>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</si>
  <si>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</si>
  <si>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</si>
  <si>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</si>
  <si>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</si>
  <si>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</si>
  <si>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</si>
  <si>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</si>
  <si>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</si>
  <si>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</si>
  <si>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</si>
  <si>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</si>
  <si>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</si>
  <si>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</si>
  <si>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</si>
  <si>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</si>
  <si>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</si>
  <si>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</si>
  <si>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</si>
  <si>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</si>
  <si>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</si>
  <si>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</si>
  <si>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</si>
  <si>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</si>
  <si>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</si>
  <si>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</si>
  <si>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</si>
  <si>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</si>
  <si>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</si>
  <si>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</si>
  <si>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</si>
  <si>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</si>
  <si>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</si>
  <si>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</si>
  <si>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</si>
  <si>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</si>
  <si>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</si>
  <si>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</si>
  <si>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</si>
  <si>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</si>
  <si>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</si>
  <si>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</si>
  <si>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</si>
  <si>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</si>
  <si>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</si>
  <si>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</si>
  <si>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</si>
  <si>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</si>
  <si>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</si>
  <si>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</si>
  <si>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</si>
  <si>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</si>
  <si>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</si>
  <si>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</si>
  <si>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</si>
  <si>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</si>
  <si>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</si>
  <si>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</si>
  <si>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</si>
  <si>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</si>
  <si>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</si>
  <si>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</si>
  <si>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</si>
  <si>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</si>
  <si>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</si>
  <si>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</si>
  <si>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</si>
  <si>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</si>
  <si>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</si>
  <si>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</si>
  <si>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</si>
  <si>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</si>
  <si>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</si>
  <si>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</si>
  <si>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</si>
  <si>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</si>
  <si>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</si>
  <si>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</si>
  <si>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</si>
  <si>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</si>
  <si>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</si>
  <si>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</si>
  <si>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</si>
  <si>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</si>
  <si>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</si>
  <si>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</si>
  <si>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</si>
  <si>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</si>
  <si>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</si>
  <si>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</si>
  <si>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</si>
  <si>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</si>
  <si>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</si>
  <si>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</si>
  <si>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</si>
  <si>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</si>
  <si>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</si>
  <si>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</si>
  <si>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</si>
  <si>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</si>
  <si>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</si>
  <si>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</si>
  <si>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</si>
  <si>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</si>
  <si>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</si>
  <si>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</si>
  <si>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</si>
  <si>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</si>
  <si>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</si>
  <si>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</si>
  <si>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</si>
  <si>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</si>
  <si>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</si>
  <si>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</si>
  <si>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</si>
  <si>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</si>
  <si>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</si>
  <si>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</si>
  <si>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</si>
  <si>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</si>
  <si>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</si>
  <si>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</si>
  <si>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</si>
  <si>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</si>
  <si>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</si>
  <si>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</si>
  <si>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</si>
  <si>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</si>
  <si>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</si>
  <si>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</si>
  <si>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</si>
  <si>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</si>
  <si>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</si>
  <si>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</si>
  <si>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</si>
  <si>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</si>
  <si>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</si>
  <si>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</si>
  <si>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</si>
  <si>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</si>
  <si>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</si>
  <si>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</si>
  <si>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</si>
  <si>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</si>
  <si>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</si>
  <si>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</si>
  <si>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</si>
  <si>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</si>
  <si>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</si>
  <si>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</si>
  <si>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</si>
  <si>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</si>
  <si>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</si>
  <si>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</si>
  <si>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</si>
  <si>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</si>
  <si>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</si>
  <si>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</si>
  <si>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</si>
  <si>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</si>
  <si>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</si>
  <si>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</si>
  <si>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</si>
  <si>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</si>
  <si>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</si>
  <si>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</si>
  <si>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</si>
  <si>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</si>
  <si>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</si>
  <si>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</si>
  <si>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</si>
  <si>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</si>
  <si>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</si>
  <si>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</si>
  <si>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</si>
  <si>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</si>
  <si>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</si>
  <si>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</si>
  <si>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</si>
  <si>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</si>
  <si>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</si>
  <si>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</si>
  <si>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</si>
  <si>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</si>
  <si>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</si>
  <si>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</si>
  <si>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</si>
  <si>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</si>
  <si>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</si>
  <si>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</si>
  <si>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</si>
  <si>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</si>
  <si>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</si>
  <si>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</si>
  <si>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</si>
  <si>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</si>
  <si>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</si>
  <si>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</si>
  <si>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</si>
  <si>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</si>
  <si>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</si>
  <si>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</si>
  <si>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</si>
  <si>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</si>
  <si>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</si>
  <si>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</si>
  <si>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</si>
  <si>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</si>
  <si>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</si>
  <si>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</si>
  <si>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</si>
  <si>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</si>
  <si>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</si>
  <si>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</si>
  <si>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</si>
  <si>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</si>
  <si>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</si>
  <si>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</si>
  <si>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</si>
  <si>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</si>
  <si>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</si>
  <si>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</si>
  <si>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</si>
  <si>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</si>
  <si>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</si>
  <si>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</si>
  <si>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</si>
  <si>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</si>
  <si>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</si>
  <si>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</si>
  <si>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</si>
  <si>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</si>
  <si>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</si>
  <si>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</si>
  <si>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</si>
  <si>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</si>
  <si>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</si>
  <si>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</si>
  <si>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</si>
  <si>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</si>
  <si>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</si>
  <si>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</si>
  <si>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</si>
  <si>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</si>
  <si>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</si>
  <si>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</si>
  <si>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</si>
  <si>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</si>
  <si>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</si>
  <si>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</si>
  <si>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</si>
  <si>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</si>
  <si>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</si>
  <si>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</si>
  <si>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</si>
  <si>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</si>
  <si>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</si>
  <si>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</si>
  <si>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</si>
  <si>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</si>
  <si>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</si>
  <si>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</si>
  <si>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</si>
  <si>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</si>
  <si>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</si>
  <si>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</si>
  <si>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</si>
  <si>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</si>
  <si>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</si>
  <si>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</si>
  <si>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</si>
  <si>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</si>
  <si>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</si>
  <si>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</si>
  <si>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</si>
  <si>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</si>
  <si>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</si>
  <si>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</si>
  <si>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</si>
  <si>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</si>
  <si>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</si>
  <si>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</si>
  <si>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</si>
  <si>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</si>
  <si>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</si>
  <si>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</si>
  <si>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</si>
  <si>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</si>
  <si>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</si>
  <si>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</si>
  <si>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</si>
  <si>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</si>
  <si>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</si>
  <si>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</si>
  <si>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</si>
  <si>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</si>
  <si>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</si>
  <si>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</si>
  <si>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</si>
  <si>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</si>
  <si>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</si>
  <si>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</si>
  <si>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</si>
  <si>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</si>
  <si>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</si>
  <si>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</si>
  <si>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</si>
  <si>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</si>
  <si>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</si>
  <si>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</si>
  <si>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</si>
  <si>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</si>
  <si>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</si>
  <si>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</si>
  <si>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</si>
  <si>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</si>
  <si>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</si>
  <si>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</si>
  <si>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</si>
  <si>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</si>
  <si>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</si>
  <si>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</si>
  <si>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</si>
  <si>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</si>
  <si>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</si>
  <si>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</si>
  <si>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</si>
  <si>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</si>
  <si>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</si>
  <si>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</si>
  <si>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</si>
  <si>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</si>
  <si>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</si>
  <si>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</si>
  <si>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</si>
  <si>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</si>
  <si>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</si>
  <si>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</si>
  <si>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</si>
  <si>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</si>
  <si>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</si>
  <si>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</si>
  <si>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</si>
  <si>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</si>
  <si>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</si>
  <si>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</si>
  <si>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</si>
  <si>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</si>
  <si>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</si>
  <si>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</si>
  <si>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</si>
  <si>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</si>
  <si>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</si>
  <si>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</si>
  <si>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</si>
  <si>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</si>
  <si>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</si>
  <si>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</si>
  <si>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</si>
  <si>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</si>
  <si>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</si>
  <si>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</si>
  <si>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</si>
  <si>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</si>
  <si>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</si>
  <si>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</si>
  <si>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</si>
  <si>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</si>
  <si>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</si>
  <si>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</si>
  <si>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</si>
  <si>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</si>
  <si>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</si>
  <si>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</si>
  <si>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</si>
  <si>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</si>
  <si>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</si>
  <si>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</si>
  <si>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</si>
  <si>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</si>
  <si>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</si>
  <si>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</si>
  <si>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</si>
  <si>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</si>
  <si>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</si>
  <si>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</si>
  <si>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</si>
  <si>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</si>
  <si>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</si>
  <si>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</si>
  <si>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</si>
  <si>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</si>
  <si>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</si>
  <si>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</si>
  <si>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</si>
  <si>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</si>
  <si>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</si>
  <si>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</si>
  <si>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</si>
  <si>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</si>
  <si>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</si>
  <si>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</si>
  <si>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</si>
  <si>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</si>
  <si>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</si>
  <si>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</si>
  <si>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</si>
  <si>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</si>
  <si>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</si>
  <si>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</si>
  <si>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</si>
  <si>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</si>
  <si>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</si>
  <si>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</si>
  <si>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</si>
  <si>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</si>
  <si>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</si>
  <si>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</si>
  <si>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</si>
  <si>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</si>
  <si>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</si>
  <si>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</si>
  <si>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</si>
  <si>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</si>
  <si>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</si>
  <si>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</si>
  <si>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</si>
  <si>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</si>
  <si>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</si>
  <si>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</si>
  <si>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</si>
  <si>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</si>
  <si>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</si>
  <si>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</si>
  <si>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</si>
  <si>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</si>
  <si>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</si>
  <si>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</si>
  <si>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</si>
  <si>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</si>
  <si>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</si>
  <si>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</si>
  <si>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</si>
  <si>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</si>
  <si>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</si>
  <si>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</si>
  <si>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</si>
  <si>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</si>
  <si>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</si>
  <si>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</si>
  <si>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</si>
  <si>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</si>
  <si>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</si>
  <si>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</si>
  <si>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</si>
  <si>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</si>
  <si>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</si>
  <si>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</si>
  <si>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</si>
  <si>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</si>
  <si>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</si>
  <si>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</si>
  <si>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</si>
  <si>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</si>
  <si>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</si>
  <si>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</si>
  <si>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</si>
  <si>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</si>
  <si>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</si>
  <si>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</si>
  <si>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</si>
  <si>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</si>
  <si>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</si>
  <si>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</si>
  <si>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</si>
  <si>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</si>
  <si>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</si>
  <si>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</si>
  <si>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</si>
  <si>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</si>
  <si>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</si>
  <si>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</si>
  <si>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</si>
  <si>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</si>
  <si>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</si>
  <si>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</si>
  <si>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</si>
  <si>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</si>
  <si>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</si>
  <si>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</si>
  <si>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</si>
  <si>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</si>
  <si>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</si>
  <si>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</si>
  <si>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</si>
  <si>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</si>
  <si>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</si>
  <si>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</si>
  <si>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</si>
  <si>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</si>
  <si>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</si>
  <si>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</si>
  <si>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</si>
  <si>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</si>
  <si>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</si>
  <si>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</si>
  <si>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</si>
  <si>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</si>
  <si>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</si>
  <si>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</si>
  <si>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</si>
  <si>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</si>
  <si>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</si>
  <si>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</si>
  <si>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</si>
  <si>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</si>
  <si>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</si>
  <si>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</si>
  <si>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</si>
  <si>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</si>
  <si>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</si>
  <si>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</si>
  <si>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</si>
  <si>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</si>
  <si>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</si>
  <si>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</si>
  <si>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</si>
  <si>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</si>
  <si>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</si>
  <si>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</si>
  <si>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</si>
  <si>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</si>
  <si>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</si>
  <si>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</si>
  <si>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</si>
  <si>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</si>
  <si>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</si>
  <si>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</si>
  <si>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</si>
  <si>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</si>
  <si>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</si>
  <si>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</si>
  <si>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</si>
  <si>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</si>
  <si>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</si>
  <si>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</si>
  <si>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</si>
  <si>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</si>
  <si>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</si>
  <si>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</si>
  <si>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</si>
  <si>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</si>
  <si>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</si>
  <si>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</si>
  <si>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</si>
  <si>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</si>
  <si>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</si>
  <si>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</si>
  <si>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</si>
  <si>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</si>
  <si>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</si>
  <si>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</si>
  <si>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</si>
  <si>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</si>
  <si>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</si>
  <si>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</si>
  <si>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</si>
  <si>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</si>
  <si>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</si>
  <si>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</si>
  <si>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</si>
  <si>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</si>
  <si>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</si>
  <si>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</si>
  <si>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</si>
  <si>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</si>
  <si>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</si>
  <si>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</si>
  <si>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</si>
  <si>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</si>
  <si>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</si>
  <si>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</si>
  <si>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</si>
  <si>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</si>
  <si>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</si>
  <si>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</si>
  <si>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</si>
  <si>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</si>
  <si>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</si>
  <si>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</si>
  <si>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</si>
  <si>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</si>
  <si>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</si>
  <si>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</si>
  <si>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</si>
  <si>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</si>
  <si>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</si>
  <si>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</si>
  <si>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</si>
  <si>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</si>
  <si>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</si>
  <si>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</si>
  <si>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</si>
  <si>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</si>
  <si>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</si>
  <si>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</si>
  <si>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</si>
  <si>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</si>
  <si>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</si>
  <si>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</si>
  <si>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</si>
  <si>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</si>
  <si>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</si>
  <si>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</si>
  <si>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</si>
  <si>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</si>
  <si>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</si>
  <si>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</si>
  <si>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</si>
  <si>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</si>
  <si>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</si>
  <si>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</si>
  <si>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</si>
  <si>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</si>
  <si>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</si>
  <si>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</si>
  <si>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</si>
  <si>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</si>
  <si>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</si>
  <si>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</si>
  <si>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</si>
  <si>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</si>
  <si>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</si>
  <si>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</si>
  <si>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</si>
  <si>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</si>
  <si>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</si>
  <si>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</si>
  <si>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</si>
  <si>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</si>
  <si>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</si>
  <si>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</si>
  <si>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</si>
  <si>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</si>
  <si>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</si>
  <si>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</si>
  <si>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</si>
  <si>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</si>
  <si>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</si>
  <si>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</si>
  <si>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</si>
  <si>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</si>
  <si>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</si>
  <si>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</si>
  <si>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</si>
  <si>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</si>
  <si>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</si>
  <si>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</si>
  <si>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</si>
  <si>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</si>
  <si>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</si>
  <si>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</si>
  <si>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</si>
  <si>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</si>
  <si>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</si>
  <si>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</si>
  <si>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</si>
  <si>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</si>
  <si>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</si>
  <si>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</si>
  <si>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</si>
  <si>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</si>
  <si>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</si>
  <si>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</si>
  <si>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</si>
  <si>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</si>
  <si>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</si>
  <si>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</si>
  <si>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</si>
  <si>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</si>
  <si>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</si>
  <si>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</si>
  <si>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</si>
  <si>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</si>
  <si>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</si>
  <si>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</si>
  <si>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</si>
  <si>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</si>
  <si>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</si>
  <si>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</si>
  <si>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</si>
  <si>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</si>
  <si>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</si>
  <si>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</si>
  <si>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</si>
  <si>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</si>
  <si>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</si>
  <si>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</si>
  <si>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</si>
  <si>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</si>
  <si>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</si>
  <si>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</si>
  <si>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</si>
  <si>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</si>
  <si>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</si>
  <si>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</si>
  <si>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</si>
  <si>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</si>
  <si>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</si>
  <si>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</si>
  <si>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</si>
  <si>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</si>
  <si>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</si>
  <si>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</si>
  <si>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</si>
  <si>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</si>
  <si>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</si>
  <si>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</si>
  <si>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</si>
  <si>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</si>
  <si>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</si>
  <si>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</si>
  <si>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</si>
  <si>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</si>
  <si>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</si>
  <si>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</si>
  <si>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</si>
  <si>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</si>
  <si>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</si>
  <si>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</si>
  <si>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</si>
  <si>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</si>
  <si>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</si>
  <si>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</si>
  <si>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</si>
  <si>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</si>
  <si>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</si>
  <si>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</si>
  <si>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</si>
  <si>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</si>
  <si>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</si>
  <si>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</si>
  <si>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</si>
  <si>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</si>
  <si>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</si>
  <si>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</si>
  <si>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</si>
  <si>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</si>
  <si>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</si>
  <si>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</si>
  <si>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</si>
  <si>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</si>
  <si>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</si>
  <si>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</si>
  <si>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</si>
  <si>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</si>
  <si>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</si>
  <si>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</si>
  <si>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</si>
  <si>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</si>
  <si>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</si>
  <si>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</si>
  <si>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</si>
  <si>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</si>
  <si>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</si>
  <si>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</si>
  <si>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</si>
  <si>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</si>
  <si>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</si>
  <si>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</si>
  <si>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</si>
  <si>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</si>
  <si>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</si>
  <si>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</si>
  <si>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</si>
  <si>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</si>
  <si>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</si>
  <si>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</si>
  <si>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</si>
  <si>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</si>
  <si>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</si>
  <si>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</si>
  <si>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</si>
  <si>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</si>
  <si>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</si>
  <si>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</si>
  <si>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</si>
  <si>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</si>
  <si>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</si>
  <si>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</si>
  <si>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</si>
  <si>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</si>
  <si>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</si>
  <si>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</si>
  <si>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</si>
  <si>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</si>
  <si>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</si>
  <si>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</si>
  <si>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</si>
  <si>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</si>
  <si>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</si>
  <si>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</si>
  <si>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</si>
  <si>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</si>
  <si>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</si>
  <si>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</si>
  <si>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</si>
  <si>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</si>
  <si>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</si>
  <si>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</si>
  <si>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</si>
  <si>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</si>
  <si>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</si>
  <si>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</si>
  <si>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</si>
  <si>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</si>
  <si>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</si>
  <si>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</si>
  <si>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</si>
  <si>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</si>
  <si>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</si>
  <si>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</si>
  <si>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</si>
  <si>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</si>
  <si>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</si>
  <si>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</si>
  <si>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</si>
  <si>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</si>
  <si>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</si>
  <si>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</si>
  <si>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</si>
  <si>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</si>
  <si>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</si>
  <si>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</si>
  <si>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</si>
  <si>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</si>
  <si>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</si>
  <si>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</si>
  <si>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</si>
  <si>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</si>
  <si>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</si>
  <si>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</si>
  <si>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</si>
  <si>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</si>
  <si>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</si>
  <si>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</si>
  <si>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</si>
  <si>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</si>
  <si>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</si>
  <si>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</si>
  <si>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</si>
  <si>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</si>
  <si>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</si>
  <si>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</si>
  <si>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</si>
  <si>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</si>
  <si>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</si>
  <si>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</si>
  <si>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</si>
  <si>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</si>
  <si>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</si>
  <si>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</si>
  <si>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</si>
  <si>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</si>
  <si>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</si>
  <si>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</si>
  <si>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</si>
  <si>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</si>
  <si>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</si>
  <si>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</si>
  <si>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</si>
  <si>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</si>
  <si>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</si>
  <si>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</si>
  <si>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</si>
  <si>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</si>
  <si>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</si>
  <si>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</si>
  <si>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</si>
  <si>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</si>
  <si>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</si>
  <si>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</si>
  <si>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</si>
  <si>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</si>
  <si>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</si>
  <si>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</si>
  <si>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</si>
  <si>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</si>
  <si>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</si>
  <si>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</si>
  <si>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</si>
  <si>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</si>
  <si>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</si>
  <si>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</si>
  <si>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</si>
  <si>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</si>
  <si>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</si>
  <si>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</si>
  <si>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</si>
  <si>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</si>
  <si>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</si>
  <si>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</si>
  <si>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</si>
  <si>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</si>
  <si>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</si>
  <si>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</si>
  <si>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</si>
  <si>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</si>
  <si>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</si>
  <si>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</si>
  <si>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</si>
  <si>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</si>
  <si>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</si>
  <si>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</si>
  <si>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</si>
  <si>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</si>
  <si>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</si>
  <si>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</si>
  <si>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</si>
  <si>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</si>
  <si>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</si>
  <si>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</si>
  <si>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</si>
  <si>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</si>
  <si>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</si>
  <si>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</si>
  <si>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</si>
  <si>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</si>
  <si>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</si>
  <si>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</si>
  <si>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</si>
  <si>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</si>
  <si>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</si>
  <si>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</si>
  <si>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</si>
  <si>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</si>
  <si>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</si>
  <si>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</si>
  <si>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</si>
  <si>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</si>
  <si>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</si>
  <si>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</si>
  <si>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</si>
  <si>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</si>
  <si>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</si>
  <si>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</si>
  <si>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</si>
  <si>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</si>
  <si>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</si>
  <si>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</si>
  <si>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</si>
  <si>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</si>
  <si>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</si>
  <si>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</si>
  <si>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</si>
  <si>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</si>
  <si>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</si>
  <si>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</si>
  <si>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</si>
  <si>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</si>
  <si>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</si>
  <si>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</si>
  <si>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</si>
  <si>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</si>
  <si>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</si>
  <si>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</si>
  <si>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</si>
  <si>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</si>
  <si>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</si>
  <si>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</si>
  <si>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</si>
  <si>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</si>
  <si>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</si>
  <si>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</si>
  <si>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</si>
  <si>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</si>
  <si>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</si>
  <si>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</si>
  <si>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</si>
  <si>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</si>
  <si>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</si>
  <si>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</si>
  <si>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</si>
  <si>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</si>
  <si>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</si>
  <si>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</si>
  <si>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</si>
  <si>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</si>
  <si>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</si>
  <si>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</si>
  <si>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</si>
  <si>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</si>
  <si>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</si>
  <si>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</si>
  <si>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</si>
  <si>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</si>
  <si>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</si>
  <si>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</si>
  <si>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</si>
  <si>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</si>
  <si>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</si>
  <si>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</si>
  <si>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</si>
  <si>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</si>
  <si>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</si>
  <si>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</si>
  <si>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</si>
  <si>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</si>
  <si>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</si>
  <si>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</si>
  <si>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</si>
  <si>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</si>
  <si>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</si>
  <si>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</si>
  <si>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</si>
  <si>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</si>
  <si>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</si>
  <si>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</si>
  <si>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</si>
  <si>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</si>
  <si>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</si>
  <si>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</si>
  <si>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</si>
  <si>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</si>
  <si>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</si>
  <si>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</si>
  <si>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</si>
  <si>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</si>
  <si>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</si>
  <si>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</si>
  <si>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</si>
  <si>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</si>
  <si>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</si>
  <si>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</si>
  <si>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</si>
  <si>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</si>
  <si>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</si>
  <si>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</si>
  <si>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</si>
  <si>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</si>
  <si>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</si>
  <si>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</si>
  <si>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</si>
  <si>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</si>
  <si>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</si>
  <si>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</si>
  <si>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</si>
  <si>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</si>
  <si>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</si>
  <si>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</si>
  <si>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</si>
  <si>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</si>
  <si>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</si>
  <si>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</si>
  <si>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</si>
  <si>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</si>
  <si>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</si>
  <si>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</si>
  <si>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</si>
  <si>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</si>
  <si>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</si>
  <si>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</si>
  <si>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</si>
  <si>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</si>
  <si>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</si>
  <si>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</si>
  <si>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</si>
  <si>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</si>
  <si>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</si>
  <si>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</si>
  <si>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</si>
  <si>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</si>
  <si>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</si>
  <si>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</si>
  <si>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</si>
  <si>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</si>
  <si>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</si>
  <si>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</si>
  <si>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</si>
  <si>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</si>
  <si>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</si>
  <si>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</si>
  <si>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</si>
  <si>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</si>
  <si>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</si>
  <si>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</si>
  <si>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</si>
  <si>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</si>
  <si>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</si>
  <si>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</si>
  <si>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</si>
  <si>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</si>
  <si>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</si>
  <si>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</si>
  <si>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</si>
  <si>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</si>
  <si>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</si>
  <si>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</si>
  <si>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</si>
  <si>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</si>
  <si>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</si>
  <si>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</si>
  <si>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</si>
  <si>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</si>
  <si>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</si>
  <si>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</si>
  <si>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</si>
  <si>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</si>
  <si>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</si>
  <si>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</si>
  <si>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</si>
  <si>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</si>
  <si>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</si>
  <si>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</si>
  <si>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</si>
  <si>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</si>
  <si>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</si>
  <si>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</si>
  <si>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</si>
  <si>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</si>
  <si>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</si>
  <si>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</si>
  <si>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</si>
  <si>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</si>
  <si>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</si>
  <si>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</si>
  <si>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</si>
  <si>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</si>
  <si>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</si>
  <si>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</si>
  <si>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</si>
  <si>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</si>
  <si>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</si>
  <si>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</si>
  <si>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</si>
  <si>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</si>
  <si>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</si>
  <si>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</si>
  <si>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</si>
  <si>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</si>
  <si>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</si>
  <si>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</si>
  <si>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</si>
  <si>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</si>
  <si>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</si>
  <si>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</si>
  <si>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</si>
  <si>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</si>
  <si>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</si>
  <si>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</si>
  <si>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</si>
  <si>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</si>
  <si>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</si>
  <si>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</si>
  <si>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</si>
  <si>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</si>
  <si>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</si>
  <si>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</si>
  <si>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</si>
  <si>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</si>
  <si>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</si>
  <si>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</si>
  <si>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</si>
  <si>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</si>
  <si>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</si>
  <si>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</si>
  <si>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</si>
  <si>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</si>
  <si>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</si>
  <si>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</si>
  <si>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</si>
  <si>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</si>
  <si>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</si>
  <si>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</si>
  <si>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</si>
  <si>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</si>
  <si>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</si>
  <si>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</si>
  <si>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</si>
  <si>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</si>
  <si>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</si>
  <si>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</si>
  <si>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</si>
  <si>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</si>
  <si>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</si>
  <si>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</si>
  <si>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</si>
  <si>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</si>
  <si>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</si>
  <si>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</si>
  <si>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</si>
  <si>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</si>
  <si>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</si>
  <si>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</si>
  <si>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</si>
  <si>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</si>
  <si>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</si>
  <si>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</si>
  <si>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</si>
  <si>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</si>
  <si>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</si>
  <si>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</si>
  <si>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</si>
  <si>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</si>
  <si>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</si>
  <si>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</si>
  <si>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</si>
  <si>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</si>
  <si>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</si>
  <si>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</si>
  <si>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</si>
  <si>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</si>
  <si>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</si>
  <si>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</si>
  <si>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</si>
  <si>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</si>
  <si>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</si>
  <si>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</si>
  <si>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</si>
  <si>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</si>
  <si>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</si>
  <si>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</si>
  <si>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</si>
  <si>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</si>
  <si>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</si>
  <si>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</si>
  <si>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</si>
  <si>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</si>
  <si>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</si>
  <si>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</si>
  <si>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</si>
  <si>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</si>
  <si>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</si>
  <si>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</si>
  <si>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</si>
  <si>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</si>
  <si>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</si>
  <si>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</si>
  <si>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</si>
  <si>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</si>
  <si>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</si>
  <si>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</si>
  <si>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</si>
  <si>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</si>
  <si>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</si>
  <si>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</si>
  <si>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</si>
  <si>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</si>
  <si>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</si>
  <si>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</si>
  <si>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</si>
  <si>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</si>
  <si>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</si>
  <si>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</si>
  <si>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</si>
  <si>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</si>
  <si>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</si>
  <si>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</si>
  <si>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</si>
  <si>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</si>
  <si>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</si>
  <si>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</si>
  <si>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</si>
  <si>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</si>
  <si>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</si>
  <si>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</si>
  <si>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</si>
  <si>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</si>
  <si>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</si>
  <si>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</si>
  <si>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</si>
  <si>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</si>
  <si>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</si>
  <si>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</si>
  <si>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</si>
  <si>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</si>
  <si>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</si>
  <si>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</si>
  <si>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</si>
  <si>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</si>
  <si>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</si>
  <si>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</si>
  <si>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</si>
  <si>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</si>
  <si>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</si>
  <si>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</si>
  <si>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</si>
  <si>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</si>
  <si>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</si>
  <si>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</si>
  <si>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</si>
  <si>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</si>
  <si>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</si>
  <si>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</si>
  <si>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</si>
  <si>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</si>
  <si>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</si>
  <si>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</si>
  <si>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</si>
  <si>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</si>
  <si>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</si>
  <si>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</si>
  <si>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</si>
  <si>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</si>
  <si>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</si>
  <si>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</si>
  <si>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</si>
  <si>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</si>
  <si>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</si>
  <si>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</si>
  <si>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</si>
  <si>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</si>
  <si>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</si>
  <si>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</si>
  <si>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</si>
  <si>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</si>
  <si>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</si>
  <si>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</si>
  <si>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</si>
  <si>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</si>
  <si>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</si>
  <si>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</si>
  <si>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</si>
  <si>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</si>
  <si>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</si>
  <si>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</si>
  <si>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</si>
  <si>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</si>
  <si>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</si>
  <si>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</si>
  <si>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</si>
  <si>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</si>
  <si>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</si>
  <si>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</si>
  <si>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</si>
  <si>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</si>
  <si>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</si>
  <si>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</si>
  <si>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</si>
  <si>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</si>
  <si>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</si>
  <si>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</si>
  <si>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</si>
  <si>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</si>
  <si>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</si>
  <si>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</si>
  <si>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</si>
  <si>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</si>
  <si>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</si>
  <si>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</si>
  <si>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</si>
  <si>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</si>
  <si>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</si>
  <si>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</si>
  <si>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</si>
  <si>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</si>
  <si>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</si>
  <si>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</si>
  <si>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</si>
  <si>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</si>
  <si>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</si>
  <si>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</si>
  <si>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</si>
  <si>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</si>
  <si>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</si>
  <si>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</si>
  <si>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</si>
  <si>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</si>
  <si>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</si>
  <si>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</si>
  <si>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</si>
  <si>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</si>
  <si>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</si>
  <si>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</si>
  <si>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</si>
  <si>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</si>
  <si>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</si>
  <si>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</si>
  <si>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</si>
  <si>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</si>
  <si>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</si>
  <si>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</si>
  <si>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</si>
  <si>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</si>
  <si>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</si>
  <si>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</si>
  <si>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</si>
  <si>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</si>
  <si>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</si>
  <si>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</si>
  <si>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</si>
  <si>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</si>
  <si>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</si>
  <si>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</si>
  <si>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</si>
  <si>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</si>
  <si>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</si>
  <si>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</si>
  <si>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</si>
  <si>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</si>
  <si>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</si>
  <si>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</si>
  <si>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</si>
  <si>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</si>
  <si>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</si>
  <si>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</si>
  <si>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</si>
  <si>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</si>
  <si>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</si>
  <si>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</si>
  <si>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</si>
  <si>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</si>
  <si>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</si>
  <si>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</si>
  <si>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</si>
  <si>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</si>
  <si>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</si>
  <si>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</si>
  <si>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</si>
  <si>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</si>
  <si>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</si>
  <si>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</si>
  <si>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</si>
  <si>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</si>
  <si>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</si>
  <si>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</si>
  <si>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</si>
  <si>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</si>
  <si>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</si>
  <si>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</si>
  <si>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</si>
  <si>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</si>
  <si>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</si>
  <si>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</si>
  <si>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</si>
  <si>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</si>
  <si>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</si>
  <si>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</si>
  <si>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</si>
  <si>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</si>
  <si>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</si>
  <si>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</si>
  <si>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</si>
  <si>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</si>
  <si>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</si>
  <si>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</si>
  <si>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</si>
  <si>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</si>
  <si>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</si>
  <si>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</si>
  <si>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</si>
  <si>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</si>
  <si>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</si>
  <si>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</si>
  <si>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</si>
  <si>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</si>
  <si>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</si>
  <si>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</si>
  <si>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</si>
  <si>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</si>
  <si>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</si>
  <si>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</si>
  <si>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</si>
  <si>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</si>
  <si>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</si>
  <si>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</si>
  <si>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</si>
  <si>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</si>
  <si>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</si>
  <si>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</si>
  <si>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</si>
  <si>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</si>
  <si>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</si>
  <si>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</si>
  <si>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</si>
  <si>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</si>
  <si>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</si>
  <si>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</si>
  <si>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</si>
  <si>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</si>
  <si>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</si>
  <si>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</si>
  <si>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</si>
  <si>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</si>
  <si>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</si>
  <si>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</si>
  <si>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</si>
  <si>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</si>
  <si>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</si>
  <si>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</si>
  <si>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</si>
  <si>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</si>
  <si>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</si>
  <si>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</si>
  <si>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</si>
  <si>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</si>
  <si>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</si>
  <si>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</si>
  <si>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</si>
  <si>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</si>
  <si>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</si>
  <si>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</si>
  <si>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</si>
  <si>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</si>
  <si>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</si>
  <si>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</si>
  <si>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</si>
  <si>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</si>
  <si>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</si>
  <si>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</si>
  <si>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</si>
  <si>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</si>
  <si>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</si>
  <si>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</si>
  <si>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</si>
  <si>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</si>
  <si>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</si>
  <si>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</si>
  <si>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</si>
  <si>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</si>
  <si>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</si>
  <si>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</si>
  <si>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</si>
  <si>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</si>
  <si>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</si>
  <si>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</si>
  <si>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</si>
  <si>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</si>
  <si>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</si>
  <si>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</si>
  <si>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</si>
  <si>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</si>
  <si>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</si>
  <si>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</si>
  <si>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</si>
  <si>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</si>
  <si>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</si>
  <si>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</si>
  <si>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</si>
  <si>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</si>
  <si>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</si>
  <si>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</si>
  <si>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</si>
  <si>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</si>
  <si>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</si>
  <si>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</si>
  <si>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</si>
  <si>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</si>
  <si>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</si>
  <si>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</si>
  <si>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</si>
  <si>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</si>
  <si>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</si>
  <si>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</si>
  <si>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</si>
  <si>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</si>
  <si>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</si>
  <si>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</si>
  <si>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</si>
  <si>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</si>
  <si>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</si>
  <si>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</si>
  <si>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</si>
  <si>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</si>
  <si>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</si>
  <si>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</si>
  <si>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</si>
  <si>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</si>
  <si>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</si>
  <si>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</si>
  <si>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</si>
  <si>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</si>
  <si>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</si>
  <si>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</si>
  <si>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</si>
  <si>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</si>
  <si>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</si>
  <si>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</si>
  <si>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</si>
  <si>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</si>
  <si>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</si>
  <si>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</si>
  <si>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</si>
  <si>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</si>
  <si>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</si>
  <si>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</si>
  <si>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</si>
  <si>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</si>
  <si>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</si>
  <si>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</si>
  <si>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</si>
  <si>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</si>
  <si>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</si>
  <si>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</si>
  <si>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</si>
  <si>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</si>
  <si>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</si>
  <si>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</si>
  <si>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</si>
  <si>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</si>
  <si>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</si>
  <si>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</si>
  <si>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</si>
  <si>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</si>
  <si>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</si>
  <si>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</si>
  <si>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</si>
  <si>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</si>
  <si>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</si>
  <si>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</si>
  <si>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</si>
  <si>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</si>
  <si>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</si>
  <si>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</si>
  <si>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</si>
  <si>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</si>
  <si>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</si>
  <si>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</si>
  <si>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</si>
  <si>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</si>
  <si>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</si>
  <si>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</si>
  <si>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</si>
  <si>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</si>
  <si>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</si>
  <si>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</si>
  <si>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</si>
  <si>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</si>
  <si>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</si>
  <si>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</si>
  <si>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</si>
  <si>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</si>
  <si>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</si>
  <si>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</si>
  <si>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</si>
  <si>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</si>
  <si>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</si>
  <si>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</si>
  <si>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</si>
  <si>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</si>
  <si>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</si>
  <si>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</si>
  <si>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</si>
  <si>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</si>
  <si>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</si>
  <si>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</si>
  <si>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</si>
  <si>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</si>
  <si>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</si>
  <si>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</si>
  <si>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</si>
  <si>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</si>
  <si>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</si>
  <si>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</si>
  <si>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</si>
  <si>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</si>
  <si>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</si>
  <si>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</si>
  <si>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</si>
  <si>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</si>
  <si>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</si>
  <si>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</si>
  <si>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</si>
  <si>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</si>
  <si>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</si>
  <si>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</si>
  <si>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</si>
  <si>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</si>
  <si>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</si>
  <si>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</si>
  <si>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</si>
  <si>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</si>
  <si>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</si>
  <si>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</si>
  <si>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</si>
  <si>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</si>
  <si>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</si>
  <si>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</si>
  <si>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</si>
  <si>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</si>
  <si>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</si>
  <si>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</si>
  <si>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</si>
  <si>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</si>
  <si>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</si>
  <si>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</si>
  <si>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</si>
  <si>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</si>
  <si>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</si>
  <si>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</si>
  <si>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</si>
  <si>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</si>
  <si>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</si>
  <si>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</si>
  <si>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</si>
  <si>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</si>
  <si>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</si>
  <si>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</si>
  <si>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</si>
  <si>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</si>
  <si>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</si>
  <si>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</si>
  <si>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</si>
  <si>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</si>
  <si>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</si>
  <si>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</si>
  <si>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</si>
  <si>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</si>
  <si>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</si>
  <si>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</si>
  <si>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</si>
  <si>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</si>
  <si>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</si>
  <si>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</si>
  <si>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</si>
  <si>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</si>
  <si>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</si>
  <si>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</si>
  <si>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</si>
  <si>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</si>
  <si>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</si>
  <si>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</si>
  <si>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</si>
  <si>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</si>
  <si>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</si>
  <si>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</si>
  <si>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</si>
  <si>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</si>
  <si>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</si>
  <si>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</si>
  <si>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</si>
  <si>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</si>
  <si>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</si>
  <si>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</si>
  <si>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</si>
  <si>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</si>
  <si>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</si>
  <si>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</si>
  <si>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</si>
  <si>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</si>
  <si>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</si>
  <si>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</si>
  <si>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</si>
  <si>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</si>
  <si>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</si>
  <si>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</si>
  <si>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</si>
  <si>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</si>
  <si>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</si>
  <si>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</si>
  <si>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</si>
  <si>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</si>
  <si>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</si>
  <si>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</si>
  <si>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</si>
  <si>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</si>
  <si>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</si>
  <si>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</si>
  <si>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</si>
  <si>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</si>
  <si>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</si>
  <si>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</si>
  <si>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</si>
  <si>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</si>
  <si>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</si>
  <si>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</si>
  <si>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</si>
  <si>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</si>
  <si>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</si>
  <si>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</si>
  <si>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</si>
  <si>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</si>
  <si>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</si>
  <si>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</si>
  <si>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</si>
  <si>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</si>
  <si>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</si>
  <si>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</si>
  <si>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</si>
  <si>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</si>
  <si>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</si>
  <si>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</si>
  <si>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</si>
  <si>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</si>
  <si>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</si>
  <si>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</si>
  <si>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</si>
  <si>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</si>
  <si>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</si>
  <si>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</si>
  <si>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</si>
  <si>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</si>
  <si>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</si>
  <si>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</si>
  <si>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</si>
  <si>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</si>
  <si>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</si>
  <si>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</si>
  <si>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</si>
  <si>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</si>
  <si>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</si>
  <si>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</si>
  <si>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</si>
  <si>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</si>
  <si>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</si>
  <si>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</si>
  <si>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</si>
  <si>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</si>
  <si>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</si>
  <si>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</si>
  <si>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</si>
  <si>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</si>
  <si>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</si>
  <si>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</si>
  <si>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</si>
  <si>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</si>
  <si>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</si>
  <si>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</si>
  <si>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</si>
  <si>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</si>
  <si>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</si>
  <si>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</si>
  <si>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</si>
  <si>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</si>
  <si>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</si>
  <si>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</si>
  <si>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</si>
  <si>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</si>
  <si>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</si>
  <si>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</si>
  <si>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</si>
  <si>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</si>
  <si>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</si>
  <si>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</si>
  <si>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</si>
  <si>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</si>
  <si>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</si>
  <si>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</si>
  <si>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</si>
  <si>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</si>
  <si>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</si>
  <si>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</si>
  <si>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</si>
  <si>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</si>
  <si>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</si>
  <si>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</si>
  <si>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</si>
  <si>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</si>
  <si>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</si>
  <si>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</si>
  <si>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</si>
  <si>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</si>
  <si>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</si>
  <si>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</si>
  <si>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</si>
  <si>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</si>
  <si>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</si>
  <si>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</si>
  <si>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</si>
  <si>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</si>
  <si>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</si>
  <si>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</si>
  <si>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</si>
  <si>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</si>
  <si>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</si>
  <si>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</si>
  <si>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</si>
  <si>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</si>
  <si>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</si>
  <si>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</si>
  <si>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</si>
  <si>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</si>
  <si>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</si>
  <si>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</si>
  <si>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</si>
  <si>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</si>
  <si>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</si>
  <si>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</si>
  <si>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</si>
  <si>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其他：</t>
  </si>
  <si>
    <t>企业</t>
  </si>
  <si>
    <t>商业</t>
    <phoneticPr fontId="3" type="noConversion"/>
  </si>
  <si>
    <t>是</t>
  </si>
  <si>
    <t>地上</t>
  </si>
  <si>
    <t>商业</t>
    <phoneticPr fontId="7" type="noConversion"/>
  </si>
  <si>
    <t>楼层</t>
    <phoneticPr fontId="3" type="noConversion"/>
  </si>
  <si>
    <t>系数</t>
    <phoneticPr fontId="3" type="noConversion"/>
  </si>
  <si>
    <t>租金</t>
    <phoneticPr fontId="3" type="noConversion"/>
  </si>
  <si>
    <t>面积</t>
    <phoneticPr fontId="3" type="noConversion"/>
  </si>
  <si>
    <t>售价</t>
    <phoneticPr fontId="3" type="noConversion"/>
  </si>
  <si>
    <t>成新度</t>
  </si>
  <si>
    <t>http://pnr.sz.gov.cn/bmgkml/lyc/gggs/content/post_12349926.html</t>
  </si>
  <si>
    <t>http://pnr.sz.gov.cn/ywzy/qt/col_code/index.html</t>
  </si>
  <si>
    <t>标定地价成果</t>
    <phoneticPr fontId="134" type="noConversion"/>
  </si>
  <si>
    <r>
      <t>2</t>
    </r>
    <r>
      <rPr>
        <sz val="11"/>
        <color theme="1"/>
        <rFont val="宋体"/>
        <family val="3"/>
        <charset val="134"/>
        <scheme val="minor"/>
      </rPr>
      <t>025修订版</t>
    </r>
    <phoneticPr fontId="134" type="noConversion"/>
  </si>
  <si>
    <t>http://pnr.sz.gov.cn/ywzy/qt/col_code/col_code/content/post_8586273.html</t>
  </si>
  <si>
    <t>查询方法</t>
    <phoneticPr fontId="134" type="noConversion"/>
  </si>
  <si>
    <t>年期修正</t>
    <phoneticPr fontId="134" type="noConversion"/>
  </si>
  <si>
    <t>估价对象</t>
    <phoneticPr fontId="134" type="noConversion"/>
  </si>
  <si>
    <t>基准</t>
    <phoneticPr fontId="134" type="noConversion"/>
  </si>
  <si>
    <t>还原率</t>
    <phoneticPr fontId="134" type="noConversion"/>
  </si>
  <si>
    <t>产权条件修正</t>
    <phoneticPr fontId="134" type="noConversion"/>
  </si>
  <si>
    <t>楼层修正</t>
  </si>
  <si>
    <t>允许分割转让</t>
    <phoneticPr fontId="134" type="noConversion"/>
  </si>
  <si>
    <t>首层商业</t>
  </si>
  <si>
    <t>第二层商业</t>
  </si>
  <si>
    <t>第三层商业</t>
  </si>
  <si>
    <t>第四层及以上商业</t>
  </si>
  <si>
    <t>标准宗地价</t>
    <phoneticPr fontId="134" type="noConversion"/>
  </si>
  <si>
    <t>未包含在土地购买价格中</t>
  </si>
  <si>
    <t>全部缴纳</t>
  </si>
  <si>
    <t>已包含在土地取得成本中</t>
  </si>
  <si>
    <t>收益法</t>
  </si>
  <si>
    <t>押一</t>
  </si>
  <si>
    <t>钢混</t>
  </si>
  <si>
    <t>非生产用房</t>
  </si>
  <si>
    <t>否</t>
  </si>
  <si>
    <t>直线</t>
    <phoneticPr fontId="3" type="noConversion"/>
  </si>
  <si>
    <t>观察</t>
    <phoneticPr fontId="3" type="noConversion"/>
  </si>
  <si>
    <t>挂牌</t>
    <phoneticPr fontId="3" type="noConversion"/>
  </si>
  <si>
    <r>
      <t>35-40</t>
    </r>
    <r>
      <rPr>
        <sz val="11"/>
        <rFont val="宋体"/>
        <family val="3"/>
        <charset val="134"/>
      </rPr>
      <t>年</t>
    </r>
    <phoneticPr fontId="3" type="noConversion"/>
  </si>
  <si>
    <r>
      <t>30-35</t>
    </r>
    <r>
      <rPr>
        <sz val="11"/>
        <rFont val="宋体"/>
        <family val="3"/>
        <charset val="134"/>
      </rPr>
      <t>年</t>
    </r>
    <phoneticPr fontId="3" type="noConversion"/>
  </si>
  <si>
    <r>
      <t>25-30</t>
    </r>
    <r>
      <rPr>
        <sz val="11"/>
        <rFont val="宋体"/>
        <family val="3"/>
        <charset val="134"/>
      </rPr>
      <t>年</t>
    </r>
    <phoneticPr fontId="3" type="noConversion"/>
  </si>
  <si>
    <r>
      <t>20-25</t>
    </r>
    <r>
      <rPr>
        <sz val="11"/>
        <rFont val="宋体"/>
        <family val="3"/>
        <charset val="134"/>
      </rPr>
      <t>年</t>
    </r>
    <phoneticPr fontId="3" type="noConversion"/>
  </si>
  <si>
    <r>
      <t>15-20</t>
    </r>
    <r>
      <rPr>
        <sz val="11"/>
        <rFont val="宋体"/>
        <family val="3"/>
        <charset val="134"/>
      </rPr>
      <t>年</t>
    </r>
    <phoneticPr fontId="3" type="noConversion"/>
  </si>
  <si>
    <r>
      <t>10-15</t>
    </r>
    <r>
      <rPr>
        <sz val="11"/>
        <rFont val="宋体"/>
        <family val="3"/>
        <charset val="134"/>
      </rPr>
      <t>年</t>
    </r>
    <phoneticPr fontId="3" type="noConversion"/>
  </si>
  <si>
    <t>街角地</t>
  </si>
  <si>
    <t>多面临街</t>
  </si>
  <si>
    <t>双面临街</t>
  </si>
  <si>
    <t>单面临街</t>
  </si>
  <si>
    <t>不临街</t>
  </si>
  <si>
    <t>外铺</t>
    <phoneticPr fontId="3" type="noConversion"/>
  </si>
  <si>
    <t>内铺</t>
    <phoneticPr fontId="3" type="noConversion"/>
  </si>
  <si>
    <t>大</t>
  </si>
  <si>
    <t>较大</t>
  </si>
  <si>
    <t>一般</t>
  </si>
  <si>
    <t>较小</t>
  </si>
  <si>
    <t>小</t>
  </si>
  <si>
    <t>一层</t>
  </si>
  <si>
    <t>二层</t>
  </si>
  <si>
    <t>砖混</t>
    <phoneticPr fontId="3" type="noConversion"/>
  </si>
  <si>
    <t>精装修</t>
  </si>
  <si>
    <t>普通装修</t>
  </si>
  <si>
    <t>七通</t>
  </si>
  <si>
    <t>六通</t>
  </si>
  <si>
    <t>五通</t>
  </si>
  <si>
    <t>可餐饮</t>
  </si>
  <si>
    <t>不可餐饮</t>
  </si>
  <si>
    <t>5米</t>
  </si>
  <si>
    <r>
      <rPr>
        <sz val="11"/>
        <color indexed="8"/>
        <rFont val="Arial"/>
        <family val="2"/>
      </rPr>
      <t>3</t>
    </r>
    <r>
      <rPr>
        <sz val="11"/>
        <color indexed="8"/>
        <rFont val="宋体"/>
        <family val="3"/>
        <charset val="134"/>
      </rPr>
      <t>米</t>
    </r>
  </si>
  <si>
    <t>较适宜</t>
  </si>
  <si>
    <t>简单装修</t>
  </si>
  <si>
    <t>毛坯</t>
  </si>
  <si>
    <t>德意名居</t>
    <phoneticPr fontId="3" type="noConversion"/>
  </si>
  <si>
    <t>龙都花园</t>
    <phoneticPr fontId="3" type="noConversion"/>
  </si>
  <si>
    <t>香榭峰景苑</t>
    <phoneticPr fontId="3" type="noConversion"/>
  </si>
  <si>
    <t>正常</t>
  </si>
  <si>
    <t>挂牌</t>
  </si>
  <si>
    <r>
      <t>5-10</t>
    </r>
    <r>
      <rPr>
        <sz val="11"/>
        <color indexed="8"/>
        <rFont val="宋体"/>
        <family val="3"/>
        <charset val="134"/>
      </rPr>
      <t>年</t>
    </r>
    <phoneticPr fontId="30" type="noConversion"/>
  </si>
  <si>
    <r>
      <t>15-20</t>
    </r>
    <r>
      <rPr>
        <sz val="11"/>
        <color indexed="8"/>
        <rFont val="宋体"/>
        <family val="3"/>
        <charset val="134"/>
      </rPr>
      <t>年</t>
    </r>
    <phoneticPr fontId="30" type="noConversion"/>
  </si>
  <si>
    <r>
      <t>5-10</t>
    </r>
    <r>
      <rPr>
        <sz val="11"/>
        <rFont val="宋体"/>
        <family val="3"/>
        <charset val="134"/>
      </rPr>
      <t>年</t>
    </r>
    <phoneticPr fontId="30" type="noConversion"/>
  </si>
  <si>
    <t>项目模式</t>
  </si>
  <si>
    <t>售价</t>
  </si>
  <si>
    <t>三层</t>
  </si>
  <si>
    <t>三层</t>
    <phoneticPr fontId="3" type="noConversion"/>
  </si>
  <si>
    <t>四层</t>
    <phoneticPr fontId="30" type="noConversion"/>
  </si>
  <si>
    <r>
      <t>1-4</t>
    </r>
    <r>
      <rPr>
        <sz val="11"/>
        <color indexed="8"/>
        <rFont val="宋体"/>
        <family val="3"/>
        <charset val="134"/>
      </rPr>
      <t>层</t>
    </r>
    <phoneticPr fontId="30" type="noConversion"/>
  </si>
  <si>
    <t>1-4层</t>
  </si>
  <si>
    <t>比较法-商业</t>
  </si>
  <si>
    <t/>
  </si>
  <si>
    <t>南头</t>
  </si>
  <si>
    <t>南山区</t>
  </si>
  <si>
    <t>同乐公馆</t>
  </si>
  <si>
    <t>南山中心区</t>
  </si>
  <si>
    <t>万科瑧山海家园</t>
  </si>
  <si>
    <t>前海</t>
  </si>
  <si>
    <t>天健悦湾府</t>
  </si>
  <si>
    <t>前海中集国际商务中心</t>
  </si>
  <si>
    <t>蛇口</t>
  </si>
  <si>
    <t>水湾1979</t>
  </si>
  <si>
    <t>华侨城</t>
  </si>
  <si>
    <t>京基御景东方</t>
  </si>
  <si>
    <t>后海中心区</t>
  </si>
  <si>
    <t>信和自由广场</t>
  </si>
  <si>
    <t>阳光海滨花园</t>
  </si>
  <si>
    <t>恒裕深圳湾</t>
  </si>
  <si>
    <t>大学城</t>
  </si>
  <si>
    <t>深铁阅山境花园</t>
  </si>
  <si>
    <t>赤湾</t>
  </si>
  <si>
    <t>金众·云山海公馆</t>
  </si>
  <si>
    <t>天健悦桂府</t>
  </si>
  <si>
    <t>金众·麒麟公馆</t>
  </si>
  <si>
    <t>太子湾逸海大厦</t>
  </si>
  <si>
    <t>招商前海瑧玺</t>
  </si>
  <si>
    <t>正东名苑</t>
  </si>
  <si>
    <t>桃源村</t>
  </si>
  <si>
    <t>深铁懿府</t>
  </si>
  <si>
    <t>山海津</t>
  </si>
  <si>
    <t>弘基·朗寓</t>
  </si>
  <si>
    <t>前海润峯府</t>
  </si>
  <si>
    <t>汉园茗院</t>
  </si>
  <si>
    <t>当页汇总</t>
  </si>
  <si>
    <t>认购金额(万元)</t>
  </si>
  <si>
    <t>认购价格</t>
  </si>
  <si>
    <t>认购面积(㎡)</t>
  </si>
  <si>
    <t>认购套数</t>
  </si>
  <si>
    <t>批准上市面积(㎡)</t>
  </si>
  <si>
    <t>批准上市套数</t>
  </si>
  <si>
    <t>成交金额(万元)</t>
  </si>
  <si>
    <t>成交价格</t>
  </si>
  <si>
    <t>成交面积(㎡)</t>
  </si>
  <si>
    <t>成交套数</t>
  </si>
  <si>
    <t>板块</t>
  </si>
  <si>
    <t>区县</t>
  </si>
  <si>
    <t>项目名称</t>
  </si>
  <si>
    <t>区县：南山区；分析周期：2024年08月 至 2025年08月；物业类型：商业</t>
  </si>
  <si>
    <t>深圳市朗贤投资有限公司</t>
  </si>
  <si>
    <t>深圳乃卓尔迪文化创意有限公司</t>
  </si>
  <si>
    <t>刘炽平</t>
  </si>
  <si>
    <t>深圳市邦和投资发展有限公司</t>
  </si>
  <si>
    <t>卖家</t>
  </si>
  <si>
    <t>许超锋</t>
  </si>
  <si>
    <t>周松桥</t>
  </si>
  <si>
    <t>蔡宝林</t>
  </si>
  <si>
    <t>买家(买家类型)</t>
  </si>
  <si>
    <t>1593.86㎡</t>
  </si>
  <si>
    <t>1593.85㎡</t>
  </si>
  <si>
    <t>1334.11㎡</t>
  </si>
  <si>
    <t>1339.15㎡</t>
  </si>
  <si>
    <t>2210.09㎡</t>
  </si>
  <si>
    <t>963.23㎡</t>
  </si>
  <si>
    <t>成交面积</t>
  </si>
  <si>
    <t>6836元/㎡</t>
  </si>
  <si>
    <t>7655元/㎡</t>
  </si>
  <si>
    <t>25322元/㎡</t>
  </si>
  <si>
    <t>9891元/㎡</t>
  </si>
  <si>
    <t>7776元/㎡</t>
  </si>
  <si>
    <t>11215元/㎡</t>
  </si>
  <si>
    <t>成交单价</t>
  </si>
  <si>
    <t>1089.48万元</t>
  </si>
  <si>
    <t>1220.12万元</t>
  </si>
  <si>
    <t>3378.22万元</t>
  </si>
  <si>
    <t>1324.59万元</t>
  </si>
  <si>
    <t>1718.58万元</t>
  </si>
  <si>
    <t>1080.29万元</t>
  </si>
  <si>
    <t>成交总价</t>
  </si>
  <si>
    <t>法拍</t>
  </si>
  <si>
    <t>交易类型</t>
  </si>
  <si>
    <t>成交</t>
  </si>
  <si>
    <t>交易状态</t>
  </si>
  <si>
    <t>2025-06-29</t>
  </si>
  <si>
    <t>2025-07-28</t>
  </si>
  <si>
    <t>2025-06-12</t>
  </si>
  <si>
    <t>2025-07-19</t>
  </si>
  <si>
    <t>成交时间</t>
  </si>
  <si>
    <t>乙级</t>
  </si>
  <si>
    <t>甲级</t>
  </si>
  <si>
    <t>等级</t>
  </si>
  <si>
    <t>配套商业</t>
  </si>
  <si>
    <t>写字楼</t>
  </si>
  <si>
    <t>购物中心/百货商场</t>
  </si>
  <si>
    <t>其他</t>
  </si>
  <si>
    <t>二级物业类型</t>
  </si>
  <si>
    <t>一级物业类型</t>
  </si>
  <si>
    <t>南油</t>
  </si>
  <si>
    <t>后海</t>
  </si>
  <si>
    <t>商务区</t>
  </si>
  <si>
    <t>西乡</t>
  </si>
  <si>
    <t>商圈</t>
  </si>
  <si>
    <t>南山</t>
  </si>
  <si>
    <t>宝安</t>
  </si>
  <si>
    <t>怡海广场写字楼</t>
  </si>
  <si>
    <t>天利中央广场</t>
  </si>
  <si>
    <t>锦新明铭邸</t>
  </si>
  <si>
    <t>大益广场</t>
  </si>
  <si>
    <t>贤基大厦</t>
  </si>
  <si>
    <t>标的名称</t>
  </si>
  <si>
    <t>深圳市南山区创业路北怡海广场裙楼4B房产</t>
  </si>
  <si>
    <t>深圳市南山区创业路北怡海广场裙楼4A房产</t>
  </si>
  <si>
    <t>关于拍卖深圳市南山商业文化中心区天利中央商务广场天利中央商务广场(二期)B-1901房、1902房、1903房、1904房、1905房、1906房</t>
  </si>
  <si>
    <t>深圳市宝安区西乡街道银田路锦明花园1栋A2、A3座201房</t>
  </si>
  <si>
    <t>广东省深圳市宝安区西乡街道西乡大道西侧大益广场1栋3层</t>
  </si>
  <si>
    <t>深圳市宝安区西乡镇宝民路西侧贤基大厦一栋101、102、103、104、105、106、107、108、109、120</t>
  </si>
  <si>
    <t>宏桥投资控股(深圳)有限公司</t>
  </si>
  <si>
    <t>已成交</t>
  </si>
  <si>
    <t>2022-09-13</t>
  </si>
  <si>
    <t>8.00</t>
  </si>
  <si>
    <t>商业用地</t>
  </si>
  <si>
    <t>商业/办公用地</t>
  </si>
  <si>
    <t>A002-0086</t>
  </si>
  <si>
    <t>宝安区</t>
  </si>
  <si>
    <t>深圳市</t>
  </si>
  <si>
    <t>宝安区新安街道</t>
  </si>
  <si>
    <t>紫荆文化股份有限公司</t>
  </si>
  <si>
    <t>2023-01-10</t>
  </si>
  <si>
    <t>A004-0180</t>
  </si>
  <si>
    <t>中国石化销售股份有限公司广东石油分公司</t>
  </si>
  <si>
    <t>2023-02-07</t>
  </si>
  <si>
    <t>0.90</t>
  </si>
  <si>
    <t>公共加油加气站用地</t>
  </si>
  <si>
    <t>T204-0145</t>
  </si>
  <si>
    <t>南山区粤海街道</t>
  </si>
  <si>
    <t>中国国际海运集装箱(集团)股份有限公司</t>
  </si>
  <si>
    <t>2023-06-12</t>
  </si>
  <si>
    <t>20.62</t>
  </si>
  <si>
    <t>T102-0438</t>
  </si>
  <si>
    <t>前湾片区九单元04街坊</t>
  </si>
  <si>
    <t>深圳市地铁集团有限公司 、深圳市百硕迎海投资有限公司</t>
  </si>
  <si>
    <t>2024-05-27</t>
  </si>
  <si>
    <t>≤8.61</t>
  </si>
  <si>
    <t>商业服务业用地+道路用地</t>
  </si>
  <si>
    <t>T208-0053</t>
  </si>
  <si>
    <t>深湾三路路东面白石四路路南面</t>
  </si>
  <si>
    <t>迪阿股份有限公司</t>
  </si>
  <si>
    <t>2024-11-14</t>
  </si>
  <si>
    <t>7.97</t>
  </si>
  <si>
    <t>K602-0014</t>
  </si>
  <si>
    <t>中国华西企业有限公司</t>
  </si>
  <si>
    <t>2024-12-09</t>
  </si>
  <si>
    <t>8</t>
  </si>
  <si>
    <t>A002-0096</t>
  </si>
  <si>
    <t>深圳传音控股股份有限公司</t>
  </si>
  <si>
    <t>2025-03-24</t>
  </si>
  <si>
    <t>7</t>
  </si>
  <si>
    <t>T208-0071</t>
  </si>
  <si>
    <t>沙河街道深湾三路和白石支四街交叉口东南角</t>
  </si>
  <si>
    <t>深圳市大疆创新科技有限公司</t>
  </si>
  <si>
    <t>2025-05-28</t>
  </si>
  <si>
    <t>≤12.010</t>
  </si>
  <si>
    <t>T207-0066</t>
  </si>
  <si>
    <t>深湾二路和白石支一街交叉口东南角</t>
  </si>
  <si>
    <t>深圳市福田文旅城服有限公司</t>
  </si>
  <si>
    <t>2025-08-18</t>
  </si>
  <si>
    <t>≤3.250</t>
  </si>
  <si>
    <t>A301-0608</t>
  </si>
  <si>
    <t>沙井街道</t>
  </si>
  <si>
    <t>受让单位</t>
  </si>
  <si>
    <t>限售价(元/㎡)</t>
  </si>
  <si>
    <t>政府指导价(元/㎡)</t>
  </si>
  <si>
    <t>触达限地价</t>
  </si>
  <si>
    <t>溢价率(%)</t>
  </si>
  <si>
    <t>成交楼面价(元/㎡)</t>
  </si>
  <si>
    <t>成交每亩价(万元/亩)</t>
  </si>
  <si>
    <t>成交总价(万元)</t>
  </si>
  <si>
    <t>起始价(万元)</t>
  </si>
  <si>
    <t>集中供地</t>
  </si>
  <si>
    <t>出让方式</t>
  </si>
  <si>
    <t>容积率</t>
  </si>
  <si>
    <t>详细规划</t>
  </si>
  <si>
    <t>用地性质</t>
  </si>
  <si>
    <t>规划建筑面积(㎡)</t>
  </si>
  <si>
    <t>建设用地面积(㎡)</t>
  </si>
  <si>
    <t>地块编号</t>
  </si>
  <si>
    <t>城市</t>
  </si>
  <si>
    <t>地块名称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</si>
</sst>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12"/>
      <color theme="1"/>
      <name val="宋体"/>
      <family val="2"/>
      <scheme val="minor"/>
    </font>
    <font>
      <sz val="11"/>
      <color indexed="8"/>
      <name val="宋体"/>
      <family val="2"/>
      <scheme val="minor"/>
    </font>
    <font>
      <sz val="11"/>
      <color rgb="FFFF0000"/>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xf numFmtId="0" fontId="273" fillId="0" borderId="0">
      <alignment vertical="center"/>
    </xf>
  </cellStyleXfs>
  <cellXfs count="35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77" fillId="0" borderId="1" xfId="0" applyFont="1" applyBorder="1" applyAlignment="1" applyProtection="1">
      <alignment horizontal="center" vertical="center" wrapText="1"/>
      <protection locked="0"/>
    </xf>
    <xf numFmtId="0" fontId="77" fillId="12" borderId="1" xfId="10" applyFont="1" applyFill="1" applyBorder="1" applyAlignment="1" applyProtection="1">
      <alignment horizontal="left" vertical="center"/>
      <protection locked="0"/>
    </xf>
    <xf numFmtId="0" fontId="47" fillId="12" borderId="1" xfId="10" applyFont="1" applyFill="1" applyBorder="1" applyAlignment="1" applyProtection="1">
      <alignment horizontal="left" vertical="center"/>
      <protection locked="0"/>
    </xf>
    <xf numFmtId="0" fontId="47" fillId="0" borderId="0" xfId="0" applyFont="1" applyAlignment="1" applyProtection="1">
      <alignment horizontal="left" vertical="center"/>
      <protection locked="0"/>
    </xf>
    <xf numFmtId="0" fontId="113" fillId="12" borderId="1" xfId="10" applyFont="1" applyFill="1" applyBorder="1" applyAlignment="1" applyProtection="1">
      <alignment horizontal="left" vertical="center"/>
      <protection locked="0"/>
    </xf>
    <xf numFmtId="10" fontId="44" fillId="12" borderId="0" xfId="0" applyNumberFormat="1" applyFont="1" applyFill="1" applyAlignment="1" applyProtection="1">
      <alignment horizontal="center" vertical="center"/>
      <protection locked="0"/>
    </xf>
    <xf numFmtId="10" fontId="0" fillId="0" borderId="0" xfId="0" applyNumberFormat="1" applyAlignment="1">
      <alignment horizontal="left" vertical="center"/>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44" fillId="0" borderId="44"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44" fillId="0" borderId="83" xfId="10" applyFont="1" applyBorder="1" applyAlignment="1" applyProtection="1">
      <alignment horizontal="center" vertical="center"/>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72" fillId="0" borderId="0" xfId="19" applyAlignment="1">
      <alignment horizontal="left" vertical="center"/>
    </xf>
    <xf numFmtId="0" fontId="272" fillId="0" borderId="0" xfId="19" applyAlignment="1">
      <alignment horizontal="left" vertical="center"/>
    </xf>
    <xf numFmtId="0" fontId="273" fillId="0" borderId="0" xfId="20">
      <alignment vertical="center"/>
    </xf>
    <xf numFmtId="0" fontId="273" fillId="0" borderId="1" xfId="20" applyBorder="1" applyAlignment="1">
      <alignment horizontal="left" vertical="center" wrapText="1"/>
    </xf>
    <xf numFmtId="0" fontId="271" fillId="0" borderId="1" xfId="20" applyFont="1" applyBorder="1" applyAlignment="1">
      <alignment horizontal="left" vertical="center" wrapText="1"/>
    </xf>
    <xf numFmtId="0" fontId="274" fillId="0" borderId="1" xfId="20" applyFont="1" applyBorder="1" applyAlignment="1">
      <alignment horizontal="left" vertical="center" wrapText="1"/>
    </xf>
    <xf numFmtId="0" fontId="273" fillId="0" borderId="1" xfId="20" applyBorder="1" applyAlignment="1">
      <alignment horizontal="left" vertical="center" wrapText="1"/>
    </xf>
    <xf numFmtId="0" fontId="273" fillId="5" borderId="1" xfId="20" applyFill="1" applyBorder="1" applyAlignment="1">
      <alignment horizontal="left" vertical="center" wrapText="1"/>
    </xf>
  </cellXfs>
  <cellStyles count="21">
    <cellStyle name="百分比" xfId="17" builtinId="5"/>
    <cellStyle name="百分比 2" xfId="14" xr:uid="{00000000-0005-0000-0000-000001000000}"/>
    <cellStyle name="常规" xfId="0" builtinId="0"/>
    <cellStyle name="常规 10" xfId="19" xr:uid="{83E27C5C-60DE-4820-AA73-113B1FA5725A}"/>
    <cellStyle name="常规 11" xfId="18" xr:uid="{00000000-0005-0000-0000-000003000000}"/>
    <cellStyle name="常规 12" xfId="20" xr:uid="{693F4377-30DC-487A-9E83-5A035292F4D8}"/>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12</xdr:col>
      <xdr:colOff>647701</xdr:colOff>
      <xdr:row>26</xdr:row>
      <xdr:rowOff>161925</xdr:rowOff>
    </xdr:to>
    <xdr:pic>
      <xdr:nvPicPr>
        <xdr:cNvPr id="2" name="图片 1">
          <a:extLst>
            <a:ext uri="{FF2B5EF4-FFF2-40B4-BE49-F238E27FC236}">
              <a16:creationId xmlns:a16="http://schemas.microsoft.com/office/drawing/2014/main" id="{BCB5C7F3-2FC2-E742-6473-A3AC03087E5A}"/>
            </a:ext>
          </a:extLst>
        </xdr:cNvPr>
        <xdr:cNvPicPr>
          <a:picLocks noChangeAspect="1"/>
        </xdr:cNvPicPr>
      </xdr:nvPicPr>
      <xdr:blipFill>
        <a:blip xmlns:r="http://schemas.openxmlformats.org/officeDocument/2006/relationships" r:embed="rId1"/>
        <a:stretch>
          <a:fillRect/>
        </a:stretch>
      </xdr:blipFill>
      <xdr:spPr>
        <a:xfrm>
          <a:off x="1" y="1"/>
          <a:ext cx="8877300" cy="4619624"/>
        </a:xfrm>
        <a:prstGeom prst="rect">
          <a:avLst/>
        </a:prstGeom>
      </xdr:spPr>
    </xdr:pic>
    <xdr:clientData/>
  </xdr:twoCellAnchor>
  <xdr:twoCellAnchor editAs="oneCell">
    <xdr:from>
      <xdr:col>0</xdr:col>
      <xdr:colOff>0</xdr:colOff>
      <xdr:row>28</xdr:row>
      <xdr:rowOff>28575</xdr:rowOff>
    </xdr:from>
    <xdr:to>
      <xdr:col>12</xdr:col>
      <xdr:colOff>677590</xdr:colOff>
      <xdr:row>54</xdr:row>
      <xdr:rowOff>141995</xdr:rowOff>
    </xdr:to>
    <xdr:pic>
      <xdr:nvPicPr>
        <xdr:cNvPr id="3" name="图片 2">
          <a:extLst>
            <a:ext uri="{FF2B5EF4-FFF2-40B4-BE49-F238E27FC236}">
              <a16:creationId xmlns:a16="http://schemas.microsoft.com/office/drawing/2014/main" id="{969A2549-5FD2-BDF0-D1EA-24A5166B4906}"/>
            </a:ext>
          </a:extLst>
        </xdr:cNvPr>
        <xdr:cNvPicPr>
          <a:picLocks noChangeAspect="1"/>
        </xdr:cNvPicPr>
      </xdr:nvPicPr>
      <xdr:blipFill>
        <a:blip xmlns:r="http://schemas.openxmlformats.org/officeDocument/2006/relationships" r:embed="rId2"/>
        <a:stretch>
          <a:fillRect/>
        </a:stretch>
      </xdr:blipFill>
      <xdr:spPr>
        <a:xfrm>
          <a:off x="0" y="4657725"/>
          <a:ext cx="8907190" cy="45711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18</xdr:row>
      <xdr:rowOff>114299</xdr:rowOff>
    </xdr:from>
    <xdr:ext cx="11184912" cy="6105525"/>
    <xdr:pic>
      <xdr:nvPicPr>
        <xdr:cNvPr id="2" name="图片 1">
          <a:extLst>
            <a:ext uri="{FF2B5EF4-FFF2-40B4-BE49-F238E27FC236}">
              <a16:creationId xmlns:a16="http://schemas.microsoft.com/office/drawing/2014/main" id="{79CEB2AD-92CD-4D6E-A162-357302B6CC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371849"/>
          <a:ext cx="11184912" cy="6105525"/>
        </a:xfrm>
        <a:prstGeom prst="rect">
          <a:avLst/>
        </a:prstGeom>
      </xdr:spPr>
    </xdr:pic>
    <xdr:clientData/>
  </xdr:oneCellAnchor>
  <xdr:twoCellAnchor>
    <xdr:from>
      <xdr:col>4</xdr:col>
      <xdr:colOff>600075</xdr:colOff>
      <xdr:row>32</xdr:row>
      <xdr:rowOff>76200</xdr:rowOff>
    </xdr:from>
    <xdr:to>
      <xdr:col>4</xdr:col>
      <xdr:colOff>981075</xdr:colOff>
      <xdr:row>34</xdr:row>
      <xdr:rowOff>57150</xdr:rowOff>
    </xdr:to>
    <xdr:sp macro="" textlink="">
      <xdr:nvSpPr>
        <xdr:cNvPr id="3" name="星形: 五角 2">
          <a:extLst>
            <a:ext uri="{FF2B5EF4-FFF2-40B4-BE49-F238E27FC236}">
              <a16:creationId xmlns:a16="http://schemas.microsoft.com/office/drawing/2014/main" id="{25C82584-3639-4743-B2B6-13BBAC93D643}"/>
            </a:ext>
          </a:extLst>
        </xdr:cNvPr>
        <xdr:cNvSpPr/>
      </xdr:nvSpPr>
      <xdr:spPr>
        <a:xfrm>
          <a:off x="3343275" y="5867400"/>
          <a:ext cx="85725" cy="342900"/>
        </a:xfrm>
        <a:prstGeom prst="star5">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16</xdr:row>
      <xdr:rowOff>0</xdr:rowOff>
    </xdr:from>
    <xdr:to>
      <xdr:col>9</xdr:col>
      <xdr:colOff>265898</xdr:colOff>
      <xdr:row>36</xdr:row>
      <xdr:rowOff>47190</xdr:rowOff>
    </xdr:to>
    <xdr:pic>
      <xdr:nvPicPr>
        <xdr:cNvPr id="2" name="图片 1">
          <a:extLst>
            <a:ext uri="{FF2B5EF4-FFF2-40B4-BE49-F238E27FC236}">
              <a16:creationId xmlns:a16="http://schemas.microsoft.com/office/drawing/2014/main" id="{55FCD82C-9592-6DC3-2E0D-E54FE83E55E8}"/>
            </a:ext>
          </a:extLst>
        </xdr:cNvPr>
        <xdr:cNvPicPr>
          <a:picLocks noChangeAspect="1"/>
        </xdr:cNvPicPr>
      </xdr:nvPicPr>
      <xdr:blipFill>
        <a:blip xmlns:r="http://schemas.openxmlformats.org/officeDocument/2006/relationships" r:embed="rId1"/>
        <a:stretch>
          <a:fillRect/>
        </a:stretch>
      </xdr:blipFill>
      <xdr:spPr>
        <a:xfrm>
          <a:off x="19050" y="2743200"/>
          <a:ext cx="6419048" cy="3476190"/>
        </a:xfrm>
        <a:prstGeom prst="rect">
          <a:avLst/>
        </a:prstGeom>
      </xdr:spPr>
    </xdr:pic>
    <xdr:clientData/>
  </xdr:twoCellAnchor>
  <xdr:twoCellAnchor editAs="oneCell">
    <xdr:from>
      <xdr:col>0</xdr:col>
      <xdr:colOff>0</xdr:colOff>
      <xdr:row>0</xdr:row>
      <xdr:rowOff>1</xdr:rowOff>
    </xdr:from>
    <xdr:to>
      <xdr:col>9</xdr:col>
      <xdr:colOff>295275</xdr:colOff>
      <xdr:row>14</xdr:row>
      <xdr:rowOff>142141</xdr:rowOff>
    </xdr:to>
    <xdr:pic>
      <xdr:nvPicPr>
        <xdr:cNvPr id="3" name="图片 2">
          <a:extLst>
            <a:ext uri="{FF2B5EF4-FFF2-40B4-BE49-F238E27FC236}">
              <a16:creationId xmlns:a16="http://schemas.microsoft.com/office/drawing/2014/main" id="{8DB1C65D-DD78-D101-C826-32EEBC4549EC}"/>
            </a:ext>
          </a:extLst>
        </xdr:cNvPr>
        <xdr:cNvPicPr>
          <a:picLocks noChangeAspect="1"/>
        </xdr:cNvPicPr>
      </xdr:nvPicPr>
      <xdr:blipFill>
        <a:blip xmlns:r="http://schemas.openxmlformats.org/officeDocument/2006/relationships" r:embed="rId2"/>
        <a:stretch>
          <a:fillRect/>
        </a:stretch>
      </xdr:blipFill>
      <xdr:spPr>
        <a:xfrm>
          <a:off x="0" y="1"/>
          <a:ext cx="6467475" cy="2542440"/>
        </a:xfrm>
        <a:prstGeom prst="rect">
          <a:avLst/>
        </a:prstGeom>
      </xdr:spPr>
    </xdr:pic>
    <xdr:clientData/>
  </xdr:twoCellAnchor>
  <xdr:twoCellAnchor editAs="oneCell">
    <xdr:from>
      <xdr:col>9</xdr:col>
      <xdr:colOff>342900</xdr:colOff>
      <xdr:row>16</xdr:row>
      <xdr:rowOff>66675</xdr:rowOff>
    </xdr:from>
    <xdr:to>
      <xdr:col>19</xdr:col>
      <xdr:colOff>351567</xdr:colOff>
      <xdr:row>30</xdr:row>
      <xdr:rowOff>171137</xdr:rowOff>
    </xdr:to>
    <xdr:pic>
      <xdr:nvPicPr>
        <xdr:cNvPr id="4" name="图片 3">
          <a:extLst>
            <a:ext uri="{FF2B5EF4-FFF2-40B4-BE49-F238E27FC236}">
              <a16:creationId xmlns:a16="http://schemas.microsoft.com/office/drawing/2014/main" id="{EB24F41B-C62B-DFA7-F915-82435908A62A}"/>
            </a:ext>
          </a:extLst>
        </xdr:cNvPr>
        <xdr:cNvPicPr>
          <a:picLocks noChangeAspect="1"/>
        </xdr:cNvPicPr>
      </xdr:nvPicPr>
      <xdr:blipFill>
        <a:blip xmlns:r="http://schemas.openxmlformats.org/officeDocument/2006/relationships" r:embed="rId3"/>
        <a:stretch>
          <a:fillRect/>
        </a:stretch>
      </xdr:blipFill>
      <xdr:spPr>
        <a:xfrm>
          <a:off x="6515100" y="2809875"/>
          <a:ext cx="6866667" cy="25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684086</xdr:colOff>
      <xdr:row>22</xdr:row>
      <xdr:rowOff>18576</xdr:rowOff>
    </xdr:to>
    <xdr:pic>
      <xdr:nvPicPr>
        <xdr:cNvPr id="2" name="图片 1">
          <a:extLst>
            <a:ext uri="{FF2B5EF4-FFF2-40B4-BE49-F238E27FC236}">
              <a16:creationId xmlns:a16="http://schemas.microsoft.com/office/drawing/2014/main" id="{E8DD1213-0473-A8B2-748E-7FF55277D213}"/>
            </a:ext>
          </a:extLst>
        </xdr:cNvPr>
        <xdr:cNvPicPr>
          <a:picLocks noChangeAspect="1"/>
        </xdr:cNvPicPr>
      </xdr:nvPicPr>
      <xdr:blipFill>
        <a:blip xmlns:r="http://schemas.openxmlformats.org/officeDocument/2006/relationships" r:embed="rId1"/>
        <a:stretch>
          <a:fillRect/>
        </a:stretch>
      </xdr:blipFill>
      <xdr:spPr>
        <a:xfrm>
          <a:off x="0" y="0"/>
          <a:ext cx="13714286" cy="3790476"/>
        </a:xfrm>
        <a:prstGeom prst="rect">
          <a:avLst/>
        </a:prstGeom>
      </xdr:spPr>
    </xdr:pic>
    <xdr:clientData/>
  </xdr:twoCellAnchor>
  <xdr:twoCellAnchor editAs="oneCell">
    <xdr:from>
      <xdr:col>0</xdr:col>
      <xdr:colOff>0</xdr:colOff>
      <xdr:row>0</xdr:row>
      <xdr:rowOff>0</xdr:rowOff>
    </xdr:from>
    <xdr:to>
      <xdr:col>5</xdr:col>
      <xdr:colOff>542429</xdr:colOff>
      <xdr:row>6</xdr:row>
      <xdr:rowOff>47490</xdr:rowOff>
    </xdr:to>
    <xdr:pic>
      <xdr:nvPicPr>
        <xdr:cNvPr id="3" name="图片 2">
          <a:extLst>
            <a:ext uri="{FF2B5EF4-FFF2-40B4-BE49-F238E27FC236}">
              <a16:creationId xmlns:a16="http://schemas.microsoft.com/office/drawing/2014/main" id="{210AFEC0-0031-CDDD-660A-721E82FAAC80}"/>
            </a:ext>
          </a:extLst>
        </xdr:cNvPr>
        <xdr:cNvPicPr>
          <a:picLocks noChangeAspect="1"/>
        </xdr:cNvPicPr>
      </xdr:nvPicPr>
      <xdr:blipFill>
        <a:blip xmlns:r="http://schemas.openxmlformats.org/officeDocument/2006/relationships" r:embed="rId2"/>
        <a:stretch>
          <a:fillRect/>
        </a:stretch>
      </xdr:blipFill>
      <xdr:spPr>
        <a:xfrm>
          <a:off x="0" y="0"/>
          <a:ext cx="3971429" cy="1076190"/>
        </a:xfrm>
        <a:prstGeom prst="rect">
          <a:avLst/>
        </a:prstGeom>
      </xdr:spPr>
    </xdr:pic>
    <xdr:clientData/>
  </xdr:twoCellAnchor>
  <xdr:twoCellAnchor editAs="oneCell">
    <xdr:from>
      <xdr:col>0</xdr:col>
      <xdr:colOff>0</xdr:colOff>
      <xdr:row>43</xdr:row>
      <xdr:rowOff>152399</xdr:rowOff>
    </xdr:from>
    <xdr:to>
      <xdr:col>12</xdr:col>
      <xdr:colOff>544976</xdr:colOff>
      <xdr:row>67</xdr:row>
      <xdr:rowOff>142174</xdr:rowOff>
    </xdr:to>
    <xdr:pic>
      <xdr:nvPicPr>
        <xdr:cNvPr id="4" name="图片 3">
          <a:extLst>
            <a:ext uri="{FF2B5EF4-FFF2-40B4-BE49-F238E27FC236}">
              <a16:creationId xmlns:a16="http://schemas.microsoft.com/office/drawing/2014/main" id="{F0DB6569-B586-F0D1-76D0-57A45E256B51}"/>
            </a:ext>
          </a:extLst>
        </xdr:cNvPr>
        <xdr:cNvPicPr>
          <a:picLocks noChangeAspect="1"/>
        </xdr:cNvPicPr>
      </xdr:nvPicPr>
      <xdr:blipFill>
        <a:blip xmlns:r="http://schemas.openxmlformats.org/officeDocument/2006/relationships" r:embed="rId3"/>
        <a:stretch>
          <a:fillRect/>
        </a:stretch>
      </xdr:blipFill>
      <xdr:spPr>
        <a:xfrm>
          <a:off x="0" y="7524749"/>
          <a:ext cx="8774576" cy="4104575"/>
        </a:xfrm>
        <a:prstGeom prst="rect">
          <a:avLst/>
        </a:prstGeom>
      </xdr:spPr>
    </xdr:pic>
    <xdr:clientData/>
  </xdr:twoCellAnchor>
  <xdr:twoCellAnchor editAs="oneCell">
    <xdr:from>
      <xdr:col>0</xdr:col>
      <xdr:colOff>0</xdr:colOff>
      <xdr:row>67</xdr:row>
      <xdr:rowOff>111618</xdr:rowOff>
    </xdr:from>
    <xdr:to>
      <xdr:col>12</xdr:col>
      <xdr:colOff>200025</xdr:colOff>
      <xdr:row>88</xdr:row>
      <xdr:rowOff>75547</xdr:rowOff>
    </xdr:to>
    <xdr:pic>
      <xdr:nvPicPr>
        <xdr:cNvPr id="5" name="图片 4">
          <a:extLst>
            <a:ext uri="{FF2B5EF4-FFF2-40B4-BE49-F238E27FC236}">
              <a16:creationId xmlns:a16="http://schemas.microsoft.com/office/drawing/2014/main" id="{5069FCDF-D07B-5BC2-AFBA-3D5B3946EB7C}"/>
            </a:ext>
          </a:extLst>
        </xdr:cNvPr>
        <xdr:cNvPicPr>
          <a:picLocks noChangeAspect="1"/>
        </xdr:cNvPicPr>
      </xdr:nvPicPr>
      <xdr:blipFill>
        <a:blip xmlns:r="http://schemas.openxmlformats.org/officeDocument/2006/relationships" r:embed="rId4"/>
        <a:stretch>
          <a:fillRect/>
        </a:stretch>
      </xdr:blipFill>
      <xdr:spPr>
        <a:xfrm>
          <a:off x="0" y="11598768"/>
          <a:ext cx="8429625" cy="3564379"/>
        </a:xfrm>
        <a:prstGeom prst="rect">
          <a:avLst/>
        </a:prstGeom>
      </xdr:spPr>
    </xdr:pic>
    <xdr:clientData/>
  </xdr:twoCellAnchor>
  <xdr:twoCellAnchor editAs="oneCell">
    <xdr:from>
      <xdr:col>0</xdr:col>
      <xdr:colOff>0</xdr:colOff>
      <xdr:row>22</xdr:row>
      <xdr:rowOff>47625</xdr:rowOff>
    </xdr:from>
    <xdr:to>
      <xdr:col>12</xdr:col>
      <xdr:colOff>497821</xdr:colOff>
      <xdr:row>44</xdr:row>
      <xdr:rowOff>47625</xdr:rowOff>
    </xdr:to>
    <xdr:pic>
      <xdr:nvPicPr>
        <xdr:cNvPr id="6" name="图片 5">
          <a:extLst>
            <a:ext uri="{FF2B5EF4-FFF2-40B4-BE49-F238E27FC236}">
              <a16:creationId xmlns:a16="http://schemas.microsoft.com/office/drawing/2014/main" id="{43B78EAF-5D75-1570-8ECE-0A5538AC96DC}"/>
            </a:ext>
          </a:extLst>
        </xdr:cNvPr>
        <xdr:cNvPicPr>
          <a:picLocks noChangeAspect="1"/>
        </xdr:cNvPicPr>
      </xdr:nvPicPr>
      <xdr:blipFill>
        <a:blip xmlns:r="http://schemas.openxmlformats.org/officeDocument/2006/relationships" r:embed="rId5"/>
        <a:stretch>
          <a:fillRect/>
        </a:stretch>
      </xdr:blipFill>
      <xdr:spPr>
        <a:xfrm>
          <a:off x="0" y="3819525"/>
          <a:ext cx="8727421" cy="377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受贵公司委托，我公司对房地产抵押价值进行了预评估。</v>
      </c>
    </row>
    <row r="7" spans="1:2">
      <c r="A7" s="1119" t="s">
        <v>566</v>
      </c>
      <c r="B7" s="1120" t="str">
        <f>'预评函-1'!A7</f>
        <v>估价对象为房地产，为所有。根据《国有土地使用证》[]，估价对象（分摊）出让国有建设用地使用权面积为0平方米，建筑面积为13013.62平方米。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估价对象为房地产,属开发建设的，该项目尚在开发建设中。根据《国有土地使用证》[]，估价对象（分摊）出让国有建设用地使用权面积为0平方米，规划建筑面积为13013.62平方米。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2025年9月2日</v>
      </c>
    </row>
    <row r="13" spans="1:2">
      <c r="A13" s="1119" t="s">
        <v>529</v>
      </c>
      <c r="B13" s="1120" t="str">
        <f>'预评函-1'!A18</f>
        <v>本次估价的“房地产价值”是指在正常市场情况下，在价值时点2025年9月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13013.62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3396</v>
      </c>
      <c r="AA1" s="1438" t="s">
        <v>3395</v>
      </c>
      <c r="AB1" s="1438" t="s">
        <v>3</v>
      </c>
    </row>
    <row r="2" spans="1:28">
      <c r="A2" s="1441" t="s">
        <v>19</v>
      </c>
      <c r="B2" s="1441" t="s">
        <v>993</v>
      </c>
      <c r="C2" s="1442" t="s">
        <v>315</v>
      </c>
      <c r="D2" s="1443" t="s">
        <v>994</v>
      </c>
      <c r="E2" s="1443" t="s">
        <v>995</v>
      </c>
      <c r="F2" s="1443" t="s">
        <v>996</v>
      </c>
      <c r="G2" s="1443">
        <v>20</v>
      </c>
      <c r="H2" s="1443" t="s">
        <v>996</v>
      </c>
      <c r="I2" s="1443" t="s">
        <v>3326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2430</v>
      </c>
      <c r="Y2" s="1445" t="s">
        <v>3403</v>
      </c>
      <c r="Z2" s="1445" t="s">
        <v>2443</v>
      </c>
      <c r="AA2" s="1445" t="s">
        <v>3404</v>
      </c>
      <c r="AB2" s="1445" t="s">
        <v>2470</v>
      </c>
    </row>
    <row r="3" spans="1:28">
      <c r="A3" s="1441" t="s">
        <v>1001</v>
      </c>
      <c r="B3" s="1444" t="s">
        <v>448</v>
      </c>
      <c r="C3" s="1442" t="s">
        <v>316</v>
      </c>
      <c r="D3" s="1443" t="s">
        <v>1002</v>
      </c>
      <c r="E3" s="1443" t="s">
        <v>13</v>
      </c>
      <c r="F3" s="1443" t="s">
        <v>1003</v>
      </c>
      <c r="G3" s="1443">
        <v>40</v>
      </c>
      <c r="H3" s="1443" t="s">
        <v>1003</v>
      </c>
      <c r="I3" s="1443" t="s">
        <v>3327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2432</v>
      </c>
      <c r="Z3" s="1445" t="s">
        <v>2445</v>
      </c>
      <c r="AB3" s="1445" t="s">
        <v>2472</v>
      </c>
    </row>
    <row r="4" spans="1:28">
      <c r="A4" s="1441" t="s">
        <v>1008</v>
      </c>
      <c r="B4" s="1441" t="s">
        <v>1009</v>
      </c>
      <c r="C4" s="1442" t="s">
        <v>317</v>
      </c>
      <c r="D4" s="1443" t="s">
        <v>389</v>
      </c>
      <c r="E4" s="1443" t="s">
        <v>1010</v>
      </c>
      <c r="F4" s="1443" t="s">
        <v>1011</v>
      </c>
      <c r="G4" s="1443">
        <v>50</v>
      </c>
      <c r="H4" s="1443" t="s">
        <v>1011</v>
      </c>
      <c r="I4" s="1443" t="s">
        <v>3328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2434</v>
      </c>
      <c r="Z4" s="1445" t="s">
        <v>2447</v>
      </c>
      <c r="AB4" s="1445" t="s">
        <v>2474</v>
      </c>
    </row>
    <row r="5" spans="1:28">
      <c r="A5" s="1441" t="s">
        <v>1014</v>
      </c>
      <c r="B5" s="1441" t="s">
        <v>1015</v>
      </c>
      <c r="C5" s="1442" t="s">
        <v>318</v>
      </c>
      <c r="F5" s="1443" t="s">
        <v>1016</v>
      </c>
      <c r="G5" s="1443">
        <v>70</v>
      </c>
      <c r="H5" s="1443" t="s">
        <v>1017</v>
      </c>
      <c r="I5" s="1443" t="s">
        <v>3329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2436</v>
      </c>
      <c r="Z5" s="1445" t="s">
        <v>2449</v>
      </c>
      <c r="AB5" s="1445" t="s">
        <v>3405</v>
      </c>
    </row>
    <row r="6" spans="1:28">
      <c r="A6" s="1441" t="s">
        <v>1020</v>
      </c>
      <c r="B6" s="1444" t="s">
        <v>449</v>
      </c>
      <c r="C6" s="1446" t="s">
        <v>24</v>
      </c>
      <c r="F6" s="1443" t="s">
        <v>1017</v>
      </c>
      <c r="H6" s="1443" t="s">
        <v>1021</v>
      </c>
      <c r="I6" s="1443" t="s">
        <v>3330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2438</v>
      </c>
      <c r="Z6" s="1445" t="s">
        <v>2451</v>
      </c>
      <c r="AB6" s="1445" t="s">
        <v>2477</v>
      </c>
    </row>
    <row r="7" spans="1:28">
      <c r="A7" s="1441" t="s">
        <v>1023</v>
      </c>
      <c r="B7" s="1444" t="s">
        <v>450</v>
      </c>
      <c r="C7" s="1442" t="s">
        <v>25</v>
      </c>
      <c r="F7" s="1443" t="s">
        <v>1024</v>
      </c>
      <c r="H7" s="1443" t="s">
        <v>1025</v>
      </c>
      <c r="I7" s="1443" t="s">
        <v>3331</v>
      </c>
      <c r="X7" s="1445" t="s">
        <v>2440</v>
      </c>
      <c r="Z7" s="1445" t="s">
        <v>2453</v>
      </c>
      <c r="AB7" s="1445" t="s">
        <v>2479</v>
      </c>
    </row>
    <row r="8" spans="1:28">
      <c r="A8" s="1441" t="s">
        <v>1026</v>
      </c>
      <c r="B8" s="1441" t="s">
        <v>1027</v>
      </c>
      <c r="C8" s="1442" t="s">
        <v>319</v>
      </c>
      <c r="F8" s="1443" t="s">
        <v>1028</v>
      </c>
      <c r="H8" s="1443" t="s">
        <v>2568</v>
      </c>
      <c r="I8" s="1443" t="s">
        <v>3332</v>
      </c>
      <c r="X8" s="1445" t="s">
        <v>3406</v>
      </c>
      <c r="Z8" s="1445" t="s">
        <v>2455</v>
      </c>
      <c r="AB8" s="1445" t="s">
        <v>2481</v>
      </c>
    </row>
    <row r="9" spans="1:28">
      <c r="A9" s="1441" t="s">
        <v>1029</v>
      </c>
      <c r="B9" s="1441" t="s">
        <v>1030</v>
      </c>
      <c r="C9" s="1442" t="s">
        <v>320</v>
      </c>
      <c r="F9" s="1443" t="s">
        <v>1031</v>
      </c>
      <c r="H9" s="1443"/>
      <c r="I9" s="1445" t="s">
        <v>3333</v>
      </c>
      <c r="X9" s="1445" t="s">
        <v>3407</v>
      </c>
      <c r="Z9" s="1445" t="s">
        <v>2457</v>
      </c>
      <c r="AB9" s="1445" t="s">
        <v>2483</v>
      </c>
    </row>
    <row r="10" spans="1:28">
      <c r="A10" s="1441" t="s">
        <v>1032</v>
      </c>
      <c r="B10" s="1441" t="s">
        <v>1033</v>
      </c>
      <c r="C10" s="1442" t="s">
        <v>321</v>
      </c>
      <c r="F10" s="1443" t="s">
        <v>2569</v>
      </c>
      <c r="I10" s="1445" t="s">
        <v>3334</v>
      </c>
      <c r="Z10" s="1445" t="s">
        <v>2459</v>
      </c>
      <c r="AB10" s="1445" t="s">
        <v>2485</v>
      </c>
    </row>
    <row r="11" spans="1:28">
      <c r="A11" s="1441" t="s">
        <v>1034</v>
      </c>
      <c r="B11" s="1441" t="s">
        <v>1035</v>
      </c>
      <c r="C11" s="1442" t="s">
        <v>322</v>
      </c>
      <c r="F11" s="1443" t="s">
        <v>13</v>
      </c>
      <c r="I11" s="1445" t="s">
        <v>3335</v>
      </c>
      <c r="Z11" s="1445" t="s">
        <v>2461</v>
      </c>
      <c r="AB11" s="1445" t="s">
        <v>2487</v>
      </c>
    </row>
    <row r="12" spans="1:28">
      <c r="A12" s="1441" t="s">
        <v>1036</v>
      </c>
      <c r="B12" s="1441" t="s">
        <v>1037</v>
      </c>
      <c r="C12" s="1442" t="s">
        <v>323</v>
      </c>
      <c r="I12" s="1445" t="s">
        <v>3336</v>
      </c>
      <c r="Z12" s="1445" t="s">
        <v>2463</v>
      </c>
      <c r="AB12" s="1445" t="s">
        <v>2489</v>
      </c>
    </row>
    <row r="13" spans="1:28">
      <c r="A13" s="1441" t="s">
        <v>1038</v>
      </c>
      <c r="B13" s="1441" t="s">
        <v>1039</v>
      </c>
      <c r="C13" s="1442" t="s">
        <v>324</v>
      </c>
      <c r="I13" s="1445" t="s">
        <v>3337</v>
      </c>
      <c r="Z13" s="1445" t="s">
        <v>2465</v>
      </c>
    </row>
    <row r="14" spans="1:28">
      <c r="A14" s="1441" t="s">
        <v>1040</v>
      </c>
      <c r="B14" s="1441" t="s">
        <v>1041</v>
      </c>
      <c r="C14" s="1443" t="s">
        <v>13</v>
      </c>
      <c r="I14" s="1445" t="s">
        <v>3338</v>
      </c>
      <c r="Z14" s="1445" t="s">
        <v>2467</v>
      </c>
    </row>
    <row r="15" spans="1:28">
      <c r="A15" s="1441" t="s">
        <v>1042</v>
      </c>
      <c r="B15" s="1441" t="s">
        <v>1043</v>
      </c>
      <c r="C15" s="1442"/>
      <c r="I15" s="1445" t="s">
        <v>3339</v>
      </c>
    </row>
    <row r="16" spans="1:28">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447" t="s">
        <v>385</v>
      </c>
      <c r="C54" s="1445" t="s">
        <v>583</v>
      </c>
    </row>
    <row r="55" spans="1:4">
      <c r="A55" s="3210"/>
      <c r="B55" s="1447" t="s">
        <v>386</v>
      </c>
      <c r="C55" s="1445" t="s">
        <v>584</v>
      </c>
    </row>
    <row r="56" spans="1:4">
      <c r="A56" s="3210"/>
      <c r="B56" s="1447" t="s">
        <v>387</v>
      </c>
      <c r="C56" s="1445" t="s">
        <v>588</v>
      </c>
    </row>
    <row r="57" spans="1:4">
      <c r="A57" s="321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11" t="s">
        <v>2571</v>
      </c>
      <c r="J2" s="3211"/>
      <c r="K2" s="3211"/>
      <c r="L2" s="3211"/>
      <c r="M2" s="3211"/>
      <c r="N2" s="3211"/>
      <c r="O2" s="3211"/>
      <c r="P2" s="3211"/>
      <c r="Q2" s="3211"/>
      <c r="R2" s="3211"/>
    </row>
    <row r="3" spans="1:18">
      <c r="A3" s="2763" t="s">
        <v>2492</v>
      </c>
      <c r="B3" s="2764">
        <f>项目基本情况!D3</f>
        <v>45902</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1.29</v>
      </c>
      <c r="D5" s="2768">
        <f>IF(ISERROR(ROUND(POWER(1+E5,A5-C5)*(POWER(1+E5,C5)-1)/(POWER(1+E5,A5)-1),3)),0,ROUND(POWER(1+E5,A5-C5)*(POWER(1+E5,C5)-1)/(POWER(1+E5,A5)-1),4))</f>
        <v>6.2300000000000001E-2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11.3</v>
      </c>
      <c r="D6" s="2768">
        <f>IF(ISERROR(ROUND(POWER(1+E6,A6-C6)*(POWER(1+E6,C6)-1)/(POWER(1+E6,A6)-1),3)),0,ROUND(POWER(1+E6,A6-C6)*(POWER(1+E6,C6)-1)/(POWER(1+E6,A6)-1),4))</f>
        <v>0.41660000000000003</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31.31</v>
      </c>
      <c r="D7" s="2768">
        <f>IF(ISERROR(ROUND(POWER(1+E7,A7-C7)*(POWER(1+E7,C7)-1)/(POWER(1+E7,A7)-1),3)),0,ROUND(POWER(1+E7,A7-C7)*(POWER(1+E7,C7)-1)/(POWER(1+E7,A7)-1),4))</f>
        <v>0.75560000000000005</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3376</v>
      </c>
    </row>
    <row r="50" spans="1:4">
      <c r="A50" s="3145" t="s">
        <v>3377</v>
      </c>
      <c r="B50" s="3145" t="s">
        <v>3378</v>
      </c>
      <c r="C50" s="3145" t="s">
        <v>3379</v>
      </c>
      <c r="D50" s="3145" t="s">
        <v>3380</v>
      </c>
    </row>
    <row r="51" spans="1:4">
      <c r="A51" s="3145" t="s">
        <v>3381</v>
      </c>
      <c r="B51" s="2765">
        <f>B52+B53</f>
        <v>15000</v>
      </c>
      <c r="C51" s="3146">
        <f>D51/B51</f>
        <v>2666.6666666666665</v>
      </c>
      <c r="D51" s="2765">
        <f>D52+D53</f>
        <v>40000000</v>
      </c>
    </row>
    <row r="52" spans="1:4">
      <c r="A52" s="3147" t="s">
        <v>3382</v>
      </c>
      <c r="B52" s="3148">
        <v>10000</v>
      </c>
      <c r="C52" s="3148">
        <v>1500</v>
      </c>
      <c r="D52" s="3149">
        <f>C52*B52</f>
        <v>15000000</v>
      </c>
    </row>
    <row r="53" spans="1:4">
      <c r="A53" s="3147" t="s">
        <v>3383</v>
      </c>
      <c r="B53" s="3148">
        <v>5000</v>
      </c>
      <c r="C53" s="3148">
        <v>5000</v>
      </c>
      <c r="D53" s="3149">
        <f>C53*B53</f>
        <v>25000000</v>
      </c>
    </row>
    <row r="54" spans="1:4">
      <c r="A54" s="3145" t="s">
        <v>3384</v>
      </c>
      <c r="B54" s="2765">
        <f>B51</f>
        <v>15000</v>
      </c>
      <c r="C54" s="2771">
        <v>700</v>
      </c>
      <c r="D54" s="2765">
        <f t="shared" ref="D54:D55" si="5">C54*B54</f>
        <v>10500000</v>
      </c>
    </row>
    <row r="55" spans="1:4">
      <c r="A55" s="3145" t="s">
        <v>3385</v>
      </c>
      <c r="B55" s="2765">
        <f>B51</f>
        <v>15000</v>
      </c>
      <c r="C55" s="2771">
        <v>1500</v>
      </c>
      <c r="D55" s="2765">
        <f t="shared" si="5"/>
        <v>22500000</v>
      </c>
    </row>
    <row r="56" spans="1:4">
      <c r="A56" s="3145" t="s">
        <v>3386</v>
      </c>
      <c r="B56" s="2765">
        <f>B51</f>
        <v>15000</v>
      </c>
      <c r="C56" s="3150">
        <f>C51+C54+C55</f>
        <v>4866.6666666666661</v>
      </c>
      <c r="D56" s="2765">
        <f>D51+D54+D55</f>
        <v>73000000</v>
      </c>
    </row>
    <row r="58" spans="1:4">
      <c r="A58" s="3145" t="s">
        <v>3387</v>
      </c>
      <c r="B58" s="3151">
        <v>0.05</v>
      </c>
      <c r="C58" s="2765">
        <f>C56*(1+B58)</f>
        <v>5110</v>
      </c>
      <c r="D58" s="2765">
        <f>D56*B58</f>
        <v>3650000</v>
      </c>
    </row>
    <row r="60" spans="1:4">
      <c r="A60" s="3145" t="s">
        <v>3388</v>
      </c>
      <c r="B60" s="2771">
        <v>3500</v>
      </c>
      <c r="C60" s="2771">
        <f>C53</f>
        <v>5000</v>
      </c>
      <c r="D60" s="2765">
        <f>C60*B60</f>
        <v>17500000</v>
      </c>
    </row>
    <row r="62" spans="1:4">
      <c r="A62" s="3145" t="s">
        <v>3389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23" sqref="G2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9" t="str">
        <f>IF(B10="北京市","北京市",C10)&amp;F10&amp;IF(结果表!G1="在建","出让国有建设用地使用权及在建建筑物",IF(结果表!G1="土地","出让国有建设用地使用权",))&amp;B9&amp;"预评估"</f>
        <v>房地产抵押价值预评估</v>
      </c>
      <c r="C1" s="3220"/>
      <c r="D1" s="3220"/>
      <c r="E1" s="3220"/>
      <c r="F1" s="3220"/>
      <c r="G1" s="3220"/>
      <c r="H1" s="3220"/>
      <c r="I1" s="322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c r="C3" s="2186" t="s">
        <v>2171</v>
      </c>
      <c r="D3" s="2185">
        <v>45902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3408</v>
      </c>
      <c r="C8" s="2201"/>
      <c r="D8" s="3222" t="s">
        <v>2177</v>
      </c>
      <c r="E8" s="2202" t="s">
        <v>3409</v>
      </c>
      <c r="F8" s="2203"/>
      <c r="G8" s="2442"/>
      <c r="H8" s="2442"/>
      <c r="I8" s="2442"/>
      <c r="J8" s="2245"/>
      <c r="K8" s="2400"/>
      <c r="L8" s="2399"/>
      <c r="M8" s="2399"/>
      <c r="N8" s="2245"/>
      <c r="O8" s="1670"/>
      <c r="P8" s="2245"/>
      <c r="Q8" s="2245"/>
      <c r="R8" s="2245"/>
    </row>
    <row r="9" spans="1:30" ht="13.5" thickBot="1">
      <c r="A9" s="2204" t="s">
        <v>2178</v>
      </c>
      <c r="B9" s="2205" t="s">
        <v>3409</v>
      </c>
      <c r="C9" s="2206"/>
      <c r="D9" s="3223"/>
      <c r="E9" s="2205" t="s">
        <v>43</v>
      </c>
      <c r="F9" s="2207"/>
      <c r="G9" s="2443"/>
      <c r="H9" s="2443"/>
      <c r="I9" s="2443"/>
      <c r="J9" s="2245"/>
      <c r="K9" s="2402"/>
      <c r="L9" s="2399"/>
      <c r="M9" s="2399"/>
      <c r="N9" s="2245"/>
      <c r="O9" s="1670"/>
      <c r="P9" s="2245"/>
      <c r="Q9" s="2245"/>
      <c r="R9" s="2245"/>
    </row>
    <row r="10" spans="1:30" ht="13.5" thickTop="1">
      <c r="A10" s="2208" t="s">
        <v>2179</v>
      </c>
      <c r="B10" s="2209" t="s">
        <v>3410</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3411</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3321</v>
      </c>
      <c r="B13" s="2218" t="s">
        <v>2190</v>
      </c>
      <c r="C13" s="803"/>
      <c r="D13" s="803">
        <v>48747</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7.79</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9"/>
      <c r="C16" s="3230"/>
      <c r="D16" s="3231"/>
      <c r="E16" s="2222" t="s">
        <v>2194</v>
      </c>
      <c r="F16" s="3232"/>
      <c r="G16" s="3233"/>
      <c r="H16" s="3233"/>
      <c r="I16" s="3234"/>
      <c r="J16" s="2245"/>
      <c r="K16" s="2403"/>
      <c r="L16" s="1670"/>
      <c r="M16" s="1670"/>
      <c r="N16" s="2245"/>
      <c r="O16" s="1670"/>
      <c r="P16" s="2245"/>
      <c r="Q16" s="2245"/>
      <c r="R16" s="2245"/>
    </row>
    <row r="17" spans="1:28">
      <c r="A17" s="305" t="s">
        <v>2195</v>
      </c>
      <c r="B17" s="294" t="s">
        <v>2196</v>
      </c>
      <c r="C17" s="8">
        <f>'数据-汇总表'!E3</f>
        <v>13013.62</v>
      </c>
      <c r="D17" s="1256" t="s">
        <v>2197</v>
      </c>
      <c r="E17" s="3235" t="s">
        <v>2198</v>
      </c>
      <c r="F17" s="3236"/>
      <c r="G17" s="3236"/>
      <c r="H17" s="3236"/>
      <c r="I17" s="3237"/>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38" t="s">
        <v>2202</v>
      </c>
      <c r="F18" s="3239"/>
      <c r="G18" s="3239"/>
      <c r="H18" s="3239"/>
      <c r="I18" s="3240"/>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5" t="s">
        <v>2206</v>
      </c>
      <c r="C20" s="3226"/>
      <c r="D20" s="3227" t="s">
        <v>2207</v>
      </c>
      <c r="E20" s="3228"/>
      <c r="F20" s="2430" t="s">
        <v>1056</v>
      </c>
      <c r="G20" s="2442"/>
      <c r="H20" s="2442"/>
      <c r="I20" s="2442"/>
      <c r="J20" s="2245"/>
      <c r="K20" s="322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3"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3"/>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3"/>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4"/>
      <c r="B30" s="294" t="s">
        <v>2218</v>
      </c>
      <c r="C30" s="3215"/>
      <c r="D30" s="3216"/>
      <c r="E30" s="2442"/>
      <c r="F30" s="2442"/>
      <c r="G30" s="2442"/>
      <c r="H30" s="2442"/>
      <c r="I30" s="2442"/>
      <c r="J30" s="2245"/>
      <c r="K30" s="2402"/>
      <c r="L30" s="2399"/>
      <c r="M30" s="2399"/>
      <c r="N30" s="2245"/>
      <c r="O30" s="1670"/>
      <c r="P30" s="2245"/>
      <c r="Q30" s="2245"/>
      <c r="R30" s="2245"/>
      <c r="S30" s="2245"/>
      <c r="T30" s="2245"/>
      <c r="U30" s="2245"/>
      <c r="V30" s="2245"/>
    </row>
    <row r="31" spans="1:28">
      <c r="A31" s="3217"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2" t="s">
        <v>2228</v>
      </c>
      <c r="T34" s="315" t="str">
        <f>NUMBERSTRING(7-K34,1)&amp;"通"</f>
        <v>七通</v>
      </c>
      <c r="U34" s="2245"/>
      <c r="V34" s="2245"/>
    </row>
    <row r="35" spans="1:30">
      <c r="A35" s="2236"/>
      <c r="B35" s="3212" t="s">
        <v>2229</v>
      </c>
      <c r="C35" s="3212"/>
      <c r="D35" s="3212"/>
      <c r="E35" s="321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2"/>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13013.62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13013.62</v>
      </c>
      <c r="H5" s="13">
        <f t="shared" ref="H5:AT5" si="0">SUM(H13:H656)</f>
        <v>13013.62</v>
      </c>
      <c r="I5" s="13">
        <f t="shared" si="0"/>
        <v>13013.62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13013.62</v>
      </c>
      <c r="BA5" s="15">
        <f t="shared" si="1"/>
        <v>13013.62</v>
      </c>
      <c r="BB5" s="15">
        <f t="shared" si="1"/>
        <v>13013.62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507" t="s">
        <v>3412</v>
      </c>
      <c r="D13" s="1513" t="s">
        <v>3413</v>
      </c>
      <c r="E13" s="13">
        <f>IF($C$3="是",ROUND($A$3*G13/$B$3,2),ROUND($A$3*(G13-AT13)/$B$3,2))</f>
        <v>0</v>
      </c>
      <c r="F13" s="29"/>
      <c r="G13" s="30">
        <f>H13+AC13+AT13</f>
        <v>13013.62</v>
      </c>
      <c r="H13" s="17">
        <f>SUMIF(I$12:AB$12,"总值",I13:AB13)</f>
        <v>13013.62</v>
      </c>
      <c r="I13" s="1514">
        <v>13013.62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v>
      </c>
      <c r="AY13" s="1260">
        <f>ROUND($AY$6*AZ13/$AZ$5,2)</f>
        <v>0</v>
      </c>
      <c r="AZ13" s="13">
        <f>BA13+BL13</f>
        <v>13013.62</v>
      </c>
      <c r="BA13" s="13">
        <f>SUM(BB13:BK13)</f>
        <v>13013.62</v>
      </c>
      <c r="BB13" s="13">
        <f>IF($D13="是",I13-J13,0)</f>
        <v>13013.62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L35" sqref="L35"/>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0" t="s">
        <v>1131</v>
      </c>
      <c r="B2" s="3250"/>
      <c r="C2" s="3250"/>
      <c r="D2" s="748" t="s">
        <v>1107</v>
      </c>
      <c r="E2" s="1523" t="s">
        <v>1108</v>
      </c>
      <c r="F2" s="2439"/>
      <c r="G2" s="2432"/>
      <c r="H2" s="2433"/>
      <c r="I2" s="2146" t="s">
        <v>1132</v>
      </c>
      <c r="J2" s="2439"/>
      <c r="K2" s="2439"/>
      <c r="L2" s="2439"/>
      <c r="M2" s="2439"/>
      <c r="N2" s="2440"/>
      <c r="O2" s="2439"/>
      <c r="P2" s="2439"/>
    </row>
    <row r="3" spans="1:16" ht="15.75" thickBot="1">
      <c r="A3" s="3251" t="s">
        <v>1105</v>
      </c>
      <c r="B3" s="3251"/>
      <c r="C3" s="3251"/>
      <c r="D3" s="41">
        <f>'数据-基础表'!AY6</f>
        <v>0</v>
      </c>
      <c r="E3" s="41">
        <f>'数据-基础表'!AZ5</f>
        <v>13013.62</v>
      </c>
      <c r="F3" s="2439"/>
      <c r="G3" s="42"/>
      <c r="H3" s="43" t="s">
        <v>1106</v>
      </c>
      <c r="I3" s="802" t="e">
        <f>ROUND('数据-基础表'!B3/'数据-基础表'!A3,2)</f>
        <v>#DIV/0!</v>
      </c>
      <c r="J3" s="2439"/>
      <c r="K3" s="2439"/>
      <c r="L3" s="2439"/>
      <c r="M3" s="2439"/>
      <c r="N3" s="2440"/>
      <c r="O3" s="2439"/>
      <c r="P3" s="2439"/>
    </row>
    <row r="4" spans="1:16" ht="15">
      <c r="A4" s="3252"/>
      <c r="B4" s="3253"/>
      <c r="C4" s="3254"/>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5" t="s">
        <v>1110</v>
      </c>
      <c r="C5" s="3255"/>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5" t="s">
        <v>1111</v>
      </c>
      <c r="C6" s="3255"/>
      <c r="D6" s="43">
        <f>ROUND($D$3*E6/$E$3,2)</f>
        <v>0</v>
      </c>
      <c r="E6" s="44">
        <f>E3-E5</f>
        <v>13013.62</v>
      </c>
      <c r="F6" s="2439"/>
      <c r="G6" s="1529" t="s">
        <v>1112</v>
      </c>
      <c r="H6" s="45" t="s">
        <v>1113</v>
      </c>
      <c r="I6" s="2435" t="e">
        <f>ROUND(F31/D31,2)</f>
        <v>#DIV/0!</v>
      </c>
      <c r="J6" s="2439"/>
      <c r="K6" s="2439"/>
      <c r="L6" s="2439"/>
      <c r="M6" s="2439"/>
      <c r="N6" s="2439"/>
      <c r="O6" s="2439"/>
      <c r="P6" s="2439"/>
    </row>
    <row r="7" spans="1:16" ht="15.75" thickBot="1">
      <c r="A7" s="3247"/>
      <c r="B7" s="3248"/>
      <c r="C7" s="3249"/>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13013.62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13013.62</v>
      </c>
      <c r="F16" s="2439"/>
      <c r="G16" s="2439"/>
      <c r="H16" s="1531" t="s">
        <v>1135</v>
      </c>
      <c r="I16" s="1532"/>
      <c r="J16" s="1071"/>
      <c r="K16" s="3244" t="s">
        <v>1135</v>
      </c>
      <c r="L16" s="3245"/>
      <c r="M16" s="3245"/>
      <c r="N16" s="3245"/>
      <c r="O16" s="3245"/>
      <c r="P16" s="3246"/>
    </row>
    <row r="17" spans="1:19" ht="15">
      <c r="A17" s="1533" t="s">
        <v>1136</v>
      </c>
      <c r="B17" s="1534" t="s">
        <v>1137</v>
      </c>
      <c r="C17" s="1535" t="s">
        <v>1138</v>
      </c>
      <c r="D17" s="1536" t="s">
        <v>1126</v>
      </c>
      <c r="E17" s="1537" t="s">
        <v>1127</v>
      </c>
      <c r="F17" s="1538"/>
      <c r="G17" s="1539"/>
      <c r="H17" s="1540" t="s">
        <v>1139</v>
      </c>
      <c r="I17" s="1541" t="s">
        <v>1124</v>
      </c>
      <c r="J17" s="1071"/>
      <c r="K17" s="3241" t="s">
        <v>1140</v>
      </c>
      <c r="L17" s="3242"/>
      <c r="M17" s="3243"/>
      <c r="N17" s="3241" t="s">
        <v>1141</v>
      </c>
      <c r="O17" s="3242"/>
      <c r="P17" s="324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3415</v>
      </c>
      <c r="D19" s="43">
        <f>ROUND($D$3*E19/$E$3,2)</f>
        <v>0</v>
      </c>
      <c r="E19" s="51">
        <f t="shared" ref="E19:E26" si="1">SUM(F19:G19)</f>
        <v>13013.62</v>
      </c>
      <c r="F19" s="2558">
        <f>'数据-基础表'!I13</f>
        <v>13013.62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13013.62</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13013.62</v>
      </c>
      <c r="F27" s="1072">
        <f>IF(SUM(F19:F26)=E8,SUM(F19:F26),"地上面积有误")</f>
        <v>13013.62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13013.62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13013.62</v>
      </c>
      <c r="F31" s="644">
        <f>F27+F30</f>
        <v>13013.62</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N6" activePane="bottomRight" state="frozen"/>
      <selection activeCell="C50" sqref="C50"/>
      <selection pane="topRight" activeCell="C50" sqref="C50"/>
      <selection pane="bottomLeft" activeCell="C50" sqref="C50"/>
      <selection pane="bottomRight" activeCell="Y21" sqref="Y2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45902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48747</v>
      </c>
      <c r="F6" s="61">
        <f>SUMIF(项目基本情况!C$12:I$12,C6,项目基本情况!C$15:I$15)</f>
        <v>7.79</v>
      </c>
      <c r="G6" s="62">
        <f>IF(ISERROR(ROUND(POWER(1+H6,D6-F6)*(POWER(1+H6,F6)-1)/(POWER(1+H6,D6)-1),3)),0,ROUND(POWER(1+H6,D6-F6)*(POWER(1+H6,F6)-1)/(POWER(1+H6,D6)-1),3))</f>
        <v>0.36899999999999999</v>
      </c>
      <c r="H6" s="691">
        <v>0.05</v>
      </c>
      <c r="I6" s="691">
        <v>5.5E-2</v>
      </c>
      <c r="J6" s="63">
        <v>7.0000000000000007E-2</v>
      </c>
      <c r="K6" s="970">
        <f>SUMIF('数据-汇总表'!C$19:C$33,A6,'数据-汇总表'!E$19:E$33)</f>
        <v>13013.62</v>
      </c>
      <c r="L6" s="692">
        <v>3500</v>
      </c>
      <c r="M6" s="64">
        <f t="shared" ref="M6:M14" si="0">ROUND(K6*L6/10000,0)</f>
        <v>4555</v>
      </c>
      <c r="N6" s="690">
        <f>N21</f>
        <v>0.7</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f>W26</f>
        <v>2.5</v>
      </c>
      <c r="V6" s="67">
        <v>0.02</v>
      </c>
      <c r="W6" s="67">
        <v>0.1</v>
      </c>
      <c r="X6" s="979"/>
      <c r="Y6" s="68">
        <f>N6</f>
        <v>0.7</v>
      </c>
      <c r="Z6" s="69"/>
      <c r="AA6" s="63"/>
      <c r="AB6" s="63"/>
      <c r="AC6" s="979"/>
      <c r="AD6" s="70"/>
      <c r="AE6" s="980">
        <f ca="1">IF(AN6="",0,SUMIF(INDIRECT("'"&amp;AN6&amp;"'"&amp;"!E:E"),$AE$5,INDIRECT("'"&amp;AN6&amp;"'"&amp;"!F:F")))</f>
        <v>7.79</v>
      </c>
      <c r="AF6" s="74"/>
      <c r="AG6" s="130">
        <f>IF(AF6="",0,AE6-AF6)</f>
        <v>0</v>
      </c>
      <c r="AH6" s="71"/>
      <c r="AI6" s="73">
        <v>365</v>
      </c>
      <c r="AJ6" s="74"/>
      <c r="AK6" s="75">
        <v>2E-3</v>
      </c>
      <c r="AL6" s="76">
        <v>1E-3</v>
      </c>
      <c r="AM6" s="77">
        <v>0.01</v>
      </c>
      <c r="AN6" s="1589" t="s">
        <v>3443</v>
      </c>
      <c r="AO6" s="50">
        <f ca="1">SUMIF(INDIRECT("'"&amp;AN6&amp;"'"&amp;"!A:A"),"总价",INDIRECT("'"&amp;AN6&amp;"'"&amp;"!B:B"))</f>
        <v>7504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0.36899999999999999</v>
      </c>
      <c r="H16" s="84">
        <f>ROUND(SUMPRODUCT(H6:H13,K6:K13)/SUMPRODUCT((H6:H13&gt;0)*(K6:K13)),3)</f>
        <v>0.05</v>
      </c>
      <c r="I16" s="85"/>
      <c r="J16" s="85"/>
      <c r="K16" s="86">
        <f>SUM(K6:K15)</f>
        <v>13013.62</v>
      </c>
      <c r="L16" s="87">
        <f>ROUND(M16*10000/SUM(K6:K14),0)</f>
        <v>3500</v>
      </c>
      <c r="M16" s="87">
        <f>SUM(M6:M14)</f>
        <v>4555</v>
      </c>
      <c r="N16" s="88">
        <f>ROUND(SUMPRODUCT(M6:M14,N6:N14)/M16,3)</f>
        <v>0.7</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49"/>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49"/>
      <c r="M19" s="3514" t="s">
        <v>3448</v>
      </c>
      <c r="N19" s="2449">
        <f>ROUND(1-(1-0%)*(2025-2001)/60,2)</f>
        <v>0.6</v>
      </c>
      <c r="O19" s="2449"/>
      <c r="P19" s="2449"/>
      <c r="Q19" s="2449"/>
      <c r="R19" s="2449"/>
      <c r="S19" s="2449"/>
      <c r="T19" s="2449"/>
      <c r="U19" s="3508" t="s">
        <v>3416</v>
      </c>
      <c r="V19" s="3509" t="s">
        <v>3417</v>
      </c>
      <c r="W19" s="3509" t="s">
        <v>3418</v>
      </c>
      <c r="X19" s="3509" t="s">
        <v>3419</v>
      </c>
      <c r="Y19" s="3508" t="s">
        <v>3420</v>
      </c>
      <c r="Z19" s="3509"/>
      <c r="AA19" s="350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2.5</v>
      </c>
      <c r="C20" s="2562" t="s">
        <v>2291</v>
      </c>
      <c r="D20" s="2452"/>
      <c r="E20" s="2439"/>
      <c r="F20" s="2439"/>
      <c r="G20" s="2439"/>
      <c r="H20" s="2439"/>
      <c r="I20" s="2439"/>
      <c r="J20" s="2439"/>
      <c r="K20" s="2450"/>
      <c r="L20" s="2449"/>
      <c r="M20" s="3514" t="s">
        <v>3449</v>
      </c>
      <c r="N20" s="2449">
        <v>0.8</v>
      </c>
      <c r="O20" s="2449"/>
      <c r="P20" s="2449"/>
      <c r="Q20" s="2449"/>
      <c r="R20" s="2449"/>
      <c r="S20" s="2449"/>
      <c r="T20" s="2449"/>
      <c r="U20" s="3509">
        <v>1</v>
      </c>
      <c r="V20" s="3509"/>
      <c r="W20" s="3509">
        <v>4</v>
      </c>
      <c r="X20" s="3509">
        <f>ROUND(K16/4,3)</f>
        <v>3253.4050000000002</v>
      </c>
      <c r="Y20" s="3510">
        <v>50000</v>
      </c>
      <c r="Z20" s="3509">
        <f>W20*X20</f>
        <v>13013.62</v>
      </c>
      <c r="AA20" s="3509">
        <f>X20*Y20</f>
        <v>162670250</v>
      </c>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2.5</v>
      </c>
      <c r="C21" s="2439"/>
      <c r="D21" s="2452"/>
      <c r="E21" s="2439"/>
      <c r="F21" s="2439"/>
      <c r="G21" s="2439"/>
      <c r="H21" s="2439"/>
      <c r="I21" s="2439"/>
      <c r="J21" s="2439"/>
      <c r="K21" s="2450"/>
      <c r="L21" s="2449"/>
      <c r="M21" s="2449"/>
      <c r="N21" s="2449">
        <f>(N19+N20)/2</f>
        <v>0.7</v>
      </c>
      <c r="O21" s="2449"/>
      <c r="P21" s="2449"/>
      <c r="Q21" s="2449"/>
      <c r="R21" s="2449"/>
      <c r="S21" s="2449"/>
      <c r="T21" s="2449"/>
      <c r="U21" s="3509">
        <v>2</v>
      </c>
      <c r="V21" s="3509">
        <v>0.6</v>
      </c>
      <c r="W21" s="3509">
        <f>$W$20*V21</f>
        <v>2.4</v>
      </c>
      <c r="X21" s="3509">
        <f>X20</f>
        <v>3253.4050000000002</v>
      </c>
      <c r="Y21" s="3509">
        <f>$Y$20*V21</f>
        <v>30000</v>
      </c>
      <c r="Z21" s="3509">
        <f t="shared" ref="Z21:AA23" si="12">W21*X21</f>
        <v>7808.1720000000005</v>
      </c>
      <c r="AA21" s="3509">
        <f t="shared" si="12"/>
        <v>97602150</v>
      </c>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2.5</v>
      </c>
      <c r="C22" s="2439"/>
      <c r="D22" s="2452"/>
      <c r="E22" s="2439"/>
      <c r="F22" s="2439"/>
      <c r="G22" s="2439"/>
      <c r="H22" s="2439"/>
      <c r="I22" s="2439"/>
      <c r="J22" s="2439"/>
      <c r="K22" s="2450"/>
      <c r="L22" s="2449"/>
      <c r="M22" s="2449"/>
      <c r="N22" s="2449"/>
      <c r="O22" s="2449"/>
      <c r="P22" s="2449"/>
      <c r="Q22" s="2449"/>
      <c r="R22" s="2449"/>
      <c r="S22" s="2449"/>
      <c r="T22" s="2449"/>
      <c r="U22" s="3509">
        <v>3</v>
      </c>
      <c r="V22" s="3509">
        <v>0.5</v>
      </c>
      <c r="W22" s="3509">
        <f>$W$20*V22</f>
        <v>2</v>
      </c>
      <c r="X22" s="3509">
        <f>X20</f>
        <v>3253.4050000000002</v>
      </c>
      <c r="Y22" s="3509">
        <f t="shared" ref="Y22:Y23" si="13">$Y$20*V22</f>
        <v>25000</v>
      </c>
      <c r="Z22" s="3509">
        <f t="shared" si="12"/>
        <v>6506.81</v>
      </c>
      <c r="AA22" s="3509">
        <f t="shared" si="12"/>
        <v>81335125</v>
      </c>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2.5</v>
      </c>
      <c r="C23" s="2439"/>
      <c r="D23" s="2452"/>
      <c r="E23" s="2439"/>
      <c r="F23" s="2439"/>
      <c r="G23" s="2439"/>
      <c r="H23" s="2439"/>
      <c r="I23" s="2439"/>
      <c r="J23" s="2439"/>
      <c r="K23" s="2450"/>
      <c r="L23" s="2449"/>
      <c r="M23" s="2449"/>
      <c r="N23" s="2449"/>
      <c r="O23" s="2449"/>
      <c r="P23" s="2449"/>
      <c r="Q23" s="2449"/>
      <c r="R23" s="2449"/>
      <c r="S23" s="2449"/>
      <c r="T23" s="2449"/>
      <c r="U23" s="3509">
        <v>4</v>
      </c>
      <c r="V23" s="3509">
        <v>0.4</v>
      </c>
      <c r="W23" s="3509">
        <f>$W$20*V23</f>
        <v>1.6</v>
      </c>
      <c r="X23" s="3509">
        <f>X20</f>
        <v>3253.4050000000002</v>
      </c>
      <c r="Y23" s="3509">
        <f t="shared" si="13"/>
        <v>20000</v>
      </c>
      <c r="Z23" s="3509">
        <f t="shared" si="12"/>
        <v>5205.4480000000003</v>
      </c>
      <c r="AA23" s="3509">
        <f t="shared" si="12"/>
        <v>65068100.000000007</v>
      </c>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49"/>
      <c r="M24" s="2449"/>
      <c r="N24" s="2449"/>
      <c r="O24" s="2449"/>
      <c r="P24" s="2449"/>
      <c r="Q24" s="2449"/>
      <c r="R24" s="2449"/>
      <c r="S24" s="2449"/>
      <c r="T24" s="2449"/>
      <c r="U24" s="3509"/>
      <c r="V24" s="3509"/>
      <c r="W24" s="3509"/>
      <c r="X24" s="3509"/>
      <c r="Y24" s="3509"/>
      <c r="Z24" s="3509"/>
      <c r="AA24" s="350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49"/>
      <c r="M25" s="2449"/>
      <c r="N25" s="2449"/>
      <c r="O25" s="2449"/>
      <c r="P25" s="2449"/>
      <c r="Q25" s="2449"/>
      <c r="R25" s="2449"/>
      <c r="S25" s="2449"/>
      <c r="T25" s="2449"/>
      <c r="U25" s="3509"/>
      <c r="V25" s="3509"/>
      <c r="W25" s="3509"/>
      <c r="X25" s="3509"/>
      <c r="Y25" s="3509"/>
      <c r="Z25" s="3509"/>
      <c r="AA25" s="350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49"/>
      <c r="M26" s="2449"/>
      <c r="N26" s="2449"/>
      <c r="O26" s="2449"/>
      <c r="P26" s="2449"/>
      <c r="Q26" s="2449"/>
      <c r="R26" s="2449"/>
      <c r="S26" s="2449"/>
      <c r="T26" s="2449"/>
      <c r="U26" s="3508" t="s">
        <v>2801</v>
      </c>
      <c r="V26" s="3509"/>
      <c r="W26" s="3511">
        <f>ROUND(Z26/X26,2)</f>
        <v>2.5</v>
      </c>
      <c r="X26" s="3509">
        <f>SUM(X20:X25)</f>
        <v>13013.62</v>
      </c>
      <c r="Y26" s="3511">
        <f>ROUND(AA26/X26,0)</f>
        <v>31250</v>
      </c>
      <c r="Z26" s="3509">
        <f>SUM(Z20:Z25)</f>
        <v>32534.050000000003</v>
      </c>
      <c r="AA26" s="3509">
        <f>SUM(AA20:AA25)</f>
        <v>406675625</v>
      </c>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2295</v>
      </c>
      <c r="D27" s="2455"/>
      <c r="E27" s="2440"/>
      <c r="F27" s="2440"/>
      <c r="G27" s="2439"/>
      <c r="H27" s="2439"/>
      <c r="I27" s="2439"/>
      <c r="J27" s="2439"/>
      <c r="K27" s="2450"/>
      <c r="L27" s="2449"/>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f>G28</f>
        <v>204.97499999999999</v>
      </c>
      <c r="C28" s="2456"/>
      <c r="D28" s="2455"/>
      <c r="E28" s="3512">
        <v>4.4999999999999998E-2</v>
      </c>
      <c r="F28" s="2440">
        <f>M16</f>
        <v>4555</v>
      </c>
      <c r="G28" s="2439">
        <f>E28*F28</f>
        <v>204.97499999999999</v>
      </c>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3.1899999999999998E-2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6" t="s">
        <v>2277</v>
      </c>
      <c r="B1" s="3257"/>
      <c r="C1" s="3257"/>
      <c r="D1" s="3257"/>
      <c r="E1" s="3257"/>
      <c r="F1" s="3257"/>
      <c r="G1" s="325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51">
      <c r="A15" s="2250" t="s">
        <v>2265</v>
      </c>
      <c r="B15" s="2288" t="s">
        <v>2252</v>
      </c>
      <c r="C15" s="2289">
        <f>C3</f>
        <v>0</v>
      </c>
      <c r="D15" s="2266"/>
      <c r="E15" s="2251" t="s">
        <v>2266</v>
      </c>
      <c r="F15" s="2288" t="s">
        <v>2267</v>
      </c>
      <c r="G15" s="2290">
        <f>G3</f>
        <v>0</v>
      </c>
    </row>
    <row r="16" spans="1:29" ht="38.25">
      <c r="A16" s="2252"/>
      <c r="B16" s="2291" t="s">
        <v>2254</v>
      </c>
      <c r="C16" s="2292">
        <f>C4</f>
        <v>0</v>
      </c>
      <c r="D16" s="2266"/>
      <c r="E16" s="2253"/>
      <c r="F16" s="2293" t="s">
        <v>2255</v>
      </c>
      <c r="G16" s="2294">
        <f>G4</f>
        <v>0</v>
      </c>
    </row>
    <row r="17" spans="1:17" ht="38.25">
      <c r="A17" s="2252"/>
      <c r="B17" s="2291" t="s">
        <v>2256</v>
      </c>
      <c r="C17" s="2292">
        <f>C5</f>
        <v>0</v>
      </c>
      <c r="D17" s="2245"/>
      <c r="E17" s="2253"/>
      <c r="F17" s="2293" t="s">
        <v>2268</v>
      </c>
      <c r="G17" s="2295"/>
    </row>
    <row r="18" spans="1:17" ht="38.25">
      <c r="A18" s="2252"/>
      <c r="B18" s="2293" t="s">
        <v>2258</v>
      </c>
      <c r="C18" s="2294">
        <f>C6</f>
        <v>0</v>
      </c>
      <c r="D18" s="2245"/>
      <c r="E18" s="2253"/>
      <c r="F18" s="2293" t="s">
        <v>2260</v>
      </c>
      <c r="G18" s="2294">
        <f>G7</f>
        <v>0</v>
      </c>
    </row>
    <row r="19" spans="1:17" ht="25.5">
      <c r="A19" s="2252"/>
      <c r="B19" s="2293" t="s">
        <v>2269</v>
      </c>
      <c r="C19" s="2295"/>
      <c r="D19" s="2266"/>
      <c r="E19" s="2253"/>
      <c r="F19" s="315" t="s">
        <v>2257</v>
      </c>
      <c r="G19" s="2294">
        <f>G5</f>
        <v>0</v>
      </c>
    </row>
    <row r="20" spans="1:17" ht="25.5">
      <c r="A20" s="2252"/>
      <c r="B20" s="2293" t="s">
        <v>2270</v>
      </c>
      <c r="C20" s="2292">
        <f>C9</f>
        <v>0</v>
      </c>
      <c r="D20" s="2245"/>
      <c r="E20" s="2253"/>
      <c r="F20" s="315" t="s">
        <v>2259</v>
      </c>
      <c r="G20" s="2294">
        <f>G6</f>
        <v>0</v>
      </c>
    </row>
    <row r="21" spans="1:17" ht="25.5">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13013.62</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45902</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30698</v>
      </c>
      <c r="C5" s="2300">
        <f ca="1">IF(B5=D14,结果表!H102,ROUND(B5*10000/$B$1,0))</f>
        <v>0</v>
      </c>
      <c r="D5" s="2300" t="e">
        <f ca="1">ROUND(B5*10000/$B$2,0)</f>
        <v>#DIV/0!</v>
      </c>
      <c r="E5" s="2462"/>
      <c r="F5" s="2463"/>
      <c r="G5" s="2463"/>
      <c r="H5" s="2463"/>
      <c r="I5" s="2463"/>
      <c r="J5" s="2463"/>
      <c r="K5" s="2463"/>
    </row>
    <row r="6" spans="1:11" ht="16.5">
      <c r="A6" s="2300" t="s">
        <v>656</v>
      </c>
      <c r="B6" s="2300">
        <f ca="1">SUM(G14:G23)</f>
        <v>30698</v>
      </c>
      <c r="C6" s="2300">
        <f ca="1">IF(B6=G14,结果表!H108,ROUND(B6*10000/$B$1,0))</f>
        <v>0</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3345</v>
      </c>
      <c r="D10" s="2300" t="s">
        <v>3346</v>
      </c>
      <c r="E10" s="3137"/>
      <c r="F10" s="3141" t="s">
        <v>3347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13013.62</v>
      </c>
      <c r="C14" s="2306"/>
      <c r="D14" s="2306">
        <f ca="1">结果表!G19</f>
        <v>30698</v>
      </c>
      <c r="E14" s="2306">
        <f ca="1">ROUND(D14*10000/B14,0)</f>
        <v>23589</v>
      </c>
      <c r="F14" s="2306" t="e">
        <f ca="1">ROUND(D14*10000/C14,0)</f>
        <v>#DIV/0!</v>
      </c>
      <c r="G14" s="2306">
        <f ca="1">D14</f>
        <v>30698</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3" zoomScale="85" zoomScaleNormal="100" zoomScaleSheetLayoutView="85" zoomScalePageLayoutView="80" workbookViewId="0">
      <selection activeCell="L24" sqref="L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2" t="str">
        <f>项目基本情况!S2</f>
        <v>房地产</v>
      </c>
      <c r="B2" s="3293"/>
      <c r="C2" s="3293"/>
      <c r="D2" s="3293"/>
      <c r="E2" s="3293"/>
      <c r="F2" s="3293"/>
      <c r="G2" s="3293"/>
      <c r="H2" s="3293"/>
      <c r="I2" s="3294"/>
    </row>
    <row r="3" spans="1:12" ht="12.75">
      <c r="A3" s="3296" t="s">
        <v>1264</v>
      </c>
      <c r="B3" s="3297"/>
      <c r="C3" s="3297"/>
      <c r="D3" s="3297"/>
      <c r="E3" s="3297"/>
      <c r="F3" s="3297"/>
      <c r="G3" s="3297"/>
      <c r="H3" s="3297"/>
      <c r="I3" s="3297"/>
    </row>
    <row r="4" spans="1:12" ht="14.25">
      <c r="A4" s="1624" t="s">
        <v>1265</v>
      </c>
      <c r="B4" s="1625" t="s">
        <v>1266</v>
      </c>
      <c r="C4" s="1626" t="s">
        <v>3499</v>
      </c>
      <c r="D4" s="1626" t="s">
        <v>3443</v>
      </c>
      <c r="E4" s="3298" t="s">
        <v>1267</v>
      </c>
      <c r="F4" s="3299"/>
      <c r="G4" s="3299"/>
      <c r="H4" s="3299"/>
      <c r="I4" s="330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2" t="s">
        <v>1268</v>
      </c>
      <c r="B5" s="3259">
        <v>25</v>
      </c>
      <c r="C5" s="3275"/>
      <c r="D5" s="3295"/>
      <c r="E5" s="123" t="s">
        <v>1269</v>
      </c>
      <c r="F5" s="1627"/>
      <c r="G5" s="1627"/>
      <c r="H5" s="1627"/>
      <c r="I5" s="1281"/>
    </row>
    <row r="6" spans="1:12" ht="12.75">
      <c r="A6" s="3272"/>
      <c r="B6" s="3259"/>
      <c r="C6" s="3276"/>
      <c r="D6" s="3295"/>
      <c r="E6" s="123" t="s">
        <v>1270</v>
      </c>
      <c r="F6" s="1627"/>
      <c r="G6" s="1627"/>
      <c r="H6" s="1627"/>
      <c r="I6" s="1281"/>
    </row>
    <row r="7" spans="1:12" ht="12.75">
      <c r="A7" s="3272"/>
      <c r="B7" s="3259"/>
      <c r="C7" s="3277"/>
      <c r="D7" s="3295"/>
      <c r="E7" s="123" t="s">
        <v>1271</v>
      </c>
      <c r="F7" s="1627"/>
      <c r="G7" s="1627"/>
      <c r="H7" s="1627"/>
      <c r="I7" s="1281"/>
    </row>
    <row r="8" spans="1:12" ht="12.75">
      <c r="A8" s="3272" t="s">
        <v>1272</v>
      </c>
      <c r="B8" s="3259">
        <v>15</v>
      </c>
      <c r="C8" s="3275"/>
      <c r="D8" s="3295"/>
      <c r="E8" s="123" t="s">
        <v>1273</v>
      </c>
      <c r="F8" s="1627"/>
      <c r="G8" s="1627"/>
      <c r="H8" s="1627"/>
      <c r="I8" s="1281"/>
    </row>
    <row r="9" spans="1:12" ht="12.75">
      <c r="A9" s="3272"/>
      <c r="B9" s="3259"/>
      <c r="C9" s="3277"/>
      <c r="D9" s="3295"/>
      <c r="E9" s="123" t="s">
        <v>1274</v>
      </c>
      <c r="F9" s="1627"/>
      <c r="G9" s="1627"/>
      <c r="H9" s="1627"/>
      <c r="I9" s="1281"/>
    </row>
    <row r="10" spans="1:12" ht="12.75">
      <c r="A10" s="3272" t="s">
        <v>1275</v>
      </c>
      <c r="B10" s="3259">
        <v>15</v>
      </c>
      <c r="C10" s="3275"/>
      <c r="D10" s="3295"/>
      <c r="E10" s="123" t="s">
        <v>1276</v>
      </c>
      <c r="F10" s="1627"/>
      <c r="G10" s="1627"/>
      <c r="H10" s="1627"/>
      <c r="I10" s="1281"/>
    </row>
    <row r="11" spans="1:12" ht="12.75">
      <c r="A11" s="3272"/>
      <c r="B11" s="3259"/>
      <c r="C11" s="3277"/>
      <c r="D11" s="3295"/>
      <c r="E11" s="123" t="s">
        <v>1277</v>
      </c>
      <c r="F11" s="1627"/>
      <c r="G11" s="1627"/>
      <c r="H11" s="1627"/>
      <c r="I11" s="1281"/>
    </row>
    <row r="12" spans="1:12" ht="12.75">
      <c r="A12" s="3272" t="s">
        <v>1278</v>
      </c>
      <c r="B12" s="3259">
        <v>15</v>
      </c>
      <c r="C12" s="3275"/>
      <c r="D12" s="3295"/>
      <c r="E12" s="123" t="s">
        <v>1279</v>
      </c>
      <c r="F12" s="1627"/>
      <c r="G12" s="1627"/>
      <c r="H12" s="1627"/>
      <c r="I12" s="1281"/>
    </row>
    <row r="13" spans="1:12" ht="12.75">
      <c r="A13" s="3272"/>
      <c r="B13" s="3259"/>
      <c r="C13" s="3277"/>
      <c r="D13" s="3295"/>
      <c r="E13" s="123" t="s">
        <v>1280</v>
      </c>
      <c r="F13" s="1627"/>
      <c r="G13" s="1627"/>
      <c r="H13" s="1627"/>
      <c r="I13" s="1281"/>
    </row>
    <row r="14" spans="1:12" ht="12.75">
      <c r="A14" s="3272" t="s">
        <v>1281</v>
      </c>
      <c r="B14" s="3259">
        <v>30</v>
      </c>
      <c r="C14" s="3275">
        <v>8</v>
      </c>
      <c r="D14" s="3295">
        <v>2</v>
      </c>
      <c r="E14" s="123" t="s">
        <v>1282</v>
      </c>
      <c r="F14" s="1627"/>
      <c r="G14" s="1627"/>
      <c r="H14" s="1627"/>
      <c r="I14" s="1281"/>
    </row>
    <row r="15" spans="1:12" ht="12.75">
      <c r="A15" s="3272"/>
      <c r="B15" s="3259"/>
      <c r="C15" s="3276"/>
      <c r="D15" s="3295"/>
      <c r="E15" s="123" t="s">
        <v>1283</v>
      </c>
      <c r="F15" s="1627"/>
      <c r="G15" s="1627"/>
      <c r="H15" s="1627"/>
      <c r="I15" s="1281"/>
    </row>
    <row r="16" spans="1:12" ht="12.75">
      <c r="A16" s="3272"/>
      <c r="B16" s="3259"/>
      <c r="C16" s="3277"/>
      <c r="D16" s="3295"/>
      <c r="E16" s="123" t="s">
        <v>1284</v>
      </c>
      <c r="F16" s="1627"/>
      <c r="G16" s="1627"/>
      <c r="H16" s="1627"/>
      <c r="I16" s="1281"/>
    </row>
    <row r="17" spans="1:36" ht="15">
      <c r="A17" s="1628" t="s">
        <v>1285</v>
      </c>
      <c r="B17" s="54"/>
      <c r="C17" s="124">
        <f>SUM(C5:C16)</f>
        <v>8</v>
      </c>
      <c r="D17" s="124">
        <f>SUM(D5:D16)</f>
        <v>2</v>
      </c>
      <c r="E17" s="121"/>
      <c r="F17" s="121"/>
      <c r="G17" s="121"/>
      <c r="H17" s="121"/>
      <c r="I17" s="121"/>
      <c r="K17" s="294"/>
      <c r="L17" s="294" t="s">
        <v>1286</v>
      </c>
      <c r="M17" s="294" t="s">
        <v>1287</v>
      </c>
    </row>
    <row r="18" spans="1:36" ht="31.9" customHeight="1" thickBot="1">
      <c r="A18" s="1629" t="s">
        <v>1288</v>
      </c>
      <c r="B18" s="1542"/>
      <c r="C18" s="125">
        <f>ROUND(C17/SUM(C17:D17),2)</f>
        <v>0.8</v>
      </c>
      <c r="D18" s="125">
        <f>1-C18</f>
        <v>0.19999999999999996</v>
      </c>
      <c r="E18" s="3282" t="s">
        <v>2131</v>
      </c>
      <c r="F18" s="3283"/>
      <c r="G18" s="3283"/>
      <c r="H18" s="3283"/>
      <c r="I18" s="3283"/>
      <c r="K18" s="294" t="s">
        <v>1289</v>
      </c>
      <c r="L18" s="294">
        <f>IF(C1="",'数据-汇总表'!E3,SUMIF(项目类型,C1,'数据-汇总表'!E17:E26)+SUMIF(项目类型,C1,'数据-汇总表'!I17:I26))</f>
        <v>13013.62</v>
      </c>
      <c r="M18" s="294">
        <f>IF(C1="",'数据-汇总表'!E3,SUMIF(项目类型,C1,'数据-汇总表'!E17:E26))</f>
        <v>13013.62</v>
      </c>
    </row>
    <row r="19" spans="1:36" ht="15">
      <c r="A19" s="1630" t="s">
        <v>1290</v>
      </c>
      <c r="B19" s="1631" t="s">
        <v>1291</v>
      </c>
      <c r="C19" s="126">
        <f ca="1">SUMIF(INDIRECT("'"&amp;C4&amp;"'"&amp;"!A:A"),结果表!B19,INDIRECT("'"&amp;C4&amp;"'"&amp;"!B:B"))</f>
        <v>36497</v>
      </c>
      <c r="D19" s="127">
        <f ca="1">SUMIF(INDIRECT("'"&amp;D4&amp;"'"&amp;"!A:A"),结果表!B19,INDIRECT("'"&amp;D4&amp;"'"&amp;"!B:B"))</f>
        <v>7504</v>
      </c>
      <c r="E19" s="1630" t="s">
        <v>1292</v>
      </c>
      <c r="F19" s="1631" t="s">
        <v>1291</v>
      </c>
      <c r="G19" s="128">
        <f ca="1">ROUND(C19*$C$18+D19*$D$18,0)</f>
        <v>30698</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28045</v>
      </c>
      <c r="D20" s="130">
        <f ca="1">SUMIF(INDIRECT("'"&amp;D4&amp;"'"&amp;"!A:A"),结果表!B20,INDIRECT("'"&amp;D4&amp;"'"&amp;"!B:B"))</f>
        <v>5766</v>
      </c>
      <c r="E20" s="1633"/>
      <c r="F20" s="43" t="s">
        <v>1295</v>
      </c>
      <c r="G20" s="131">
        <f ca="1">ROUND(C20*$C$18+D20*$D$18,0)</f>
        <v>23589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3.8636727078891262</v>
      </c>
      <c r="E22" s="121"/>
      <c r="F22" s="121"/>
      <c r="G22" s="121"/>
      <c r="H22" s="121"/>
      <c r="I22" s="121"/>
    </row>
    <row r="23" spans="1:36" ht="13.5" thickBot="1">
      <c r="A23" s="646"/>
      <c r="B23" s="646"/>
      <c r="C23" s="646"/>
      <c r="D23" s="646"/>
      <c r="E23" s="121"/>
      <c r="F23" s="121"/>
      <c r="G23" s="121"/>
      <c r="H23" s="121"/>
      <c r="I23" s="121"/>
    </row>
    <row r="24" spans="1:36" ht="14.25">
      <c r="A24" s="3266" t="s">
        <v>1299</v>
      </c>
      <c r="B24" s="1631" t="s">
        <v>1291</v>
      </c>
      <c r="C24" s="128">
        <f>IF(B30=0,0,D30)</f>
        <v>0</v>
      </c>
      <c r="D24" s="1637"/>
      <c r="E24" s="121"/>
      <c r="F24" s="121"/>
      <c r="G24" s="121"/>
      <c r="H24" s="121"/>
      <c r="I24" s="121"/>
    </row>
    <row r="25" spans="1:36" ht="14.25">
      <c r="A25" s="326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23589</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86" t="s">
        <v>1312</v>
      </c>
      <c r="B36" s="1652" t="s">
        <v>1313</v>
      </c>
      <c r="C36" s="137"/>
      <c r="D36" s="1653"/>
      <c r="E36" s="1567"/>
      <c r="F36" s="1654"/>
      <c r="G36" s="121"/>
      <c r="H36" s="121"/>
      <c r="I36" s="121"/>
    </row>
    <row r="37" spans="1:15" ht="15.75" thickBot="1">
      <c r="A37" s="3287"/>
      <c r="B37" s="1555" t="s">
        <v>1314</v>
      </c>
      <c r="C37" s="139"/>
      <c r="D37" s="1071"/>
      <c r="E37" s="1071"/>
      <c r="F37" s="1654"/>
      <c r="G37" s="121"/>
      <c r="H37" s="121"/>
      <c r="I37" s="121"/>
    </row>
    <row r="38" spans="1:15" ht="15.75" thickBot="1">
      <c r="A38" s="328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3" t="s">
        <v>1326</v>
      </c>
      <c r="B45" s="3264"/>
      <c r="C45" s="3265"/>
      <c r="D45" s="147" t="e">
        <f ca="1">ROUND(H101*F45,0)</f>
        <v>#REF!</v>
      </c>
      <c r="E45" s="148" t="s">
        <v>1327</v>
      </c>
      <c r="F45" s="149">
        <v>1</v>
      </c>
      <c r="G45" s="150" t="s">
        <v>1328</v>
      </c>
      <c r="H45" s="121"/>
      <c r="I45" s="121"/>
      <c r="J45" s="3341" t="s">
        <v>1329</v>
      </c>
      <c r="K45" s="3341"/>
      <c r="L45" s="3341"/>
      <c r="M45" s="3341"/>
      <c r="N45" s="3341"/>
      <c r="O45" s="3341"/>
    </row>
    <row r="46" spans="1:15" ht="14.25" customHeight="1">
      <c r="A46" s="3260" t="s">
        <v>1330</v>
      </c>
      <c r="B46" s="3261"/>
      <c r="C46" s="3261"/>
      <c r="D46" s="3261"/>
      <c r="E46" s="3261"/>
      <c r="F46" s="3261"/>
      <c r="G46" s="3262"/>
      <c r="H46" s="1668"/>
      <c r="I46" s="151"/>
      <c r="J46" s="2310">
        <v>1</v>
      </c>
      <c r="K46" s="3322" t="s">
        <v>1331</v>
      </c>
      <c r="L46" s="3322"/>
      <c r="M46" s="3342"/>
      <c r="N46" s="3342"/>
      <c r="O46" s="3342"/>
    </row>
    <row r="47" spans="1:15" ht="12" customHeight="1">
      <c r="A47" s="152" t="s">
        <v>1332</v>
      </c>
      <c r="B47" s="153"/>
      <c r="C47" s="154"/>
      <c r="D47" s="1024" t="s">
        <v>1333</v>
      </c>
      <c r="E47" s="294" t="s">
        <v>1334</v>
      </c>
      <c r="F47" s="155" t="s">
        <v>1335</v>
      </c>
      <c r="G47" s="2333" t="s">
        <v>1336</v>
      </c>
      <c r="H47" s="2334"/>
      <c r="I47" s="151"/>
      <c r="J47" s="2310">
        <v>2</v>
      </c>
      <c r="K47" s="3322" t="s">
        <v>1337</v>
      </c>
      <c r="L47" s="3322"/>
      <c r="M47" s="3343">
        <f>'数据-取费表'!B2</f>
        <v>45902</v>
      </c>
      <c r="N47" s="3343"/>
      <c r="O47" s="3343"/>
    </row>
    <row r="48" spans="1:15" ht="25.5">
      <c r="A48" s="3291" t="s">
        <v>1338</v>
      </c>
      <c r="B48" s="3274"/>
      <c r="C48" s="3274"/>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22" t="s">
        <v>1340</v>
      </c>
      <c r="L48" s="3322"/>
      <c r="M48" s="3344" t="e">
        <f ca="1">H101</f>
        <v>#REF!</v>
      </c>
      <c r="N48" s="3344"/>
      <c r="O48" s="3344"/>
    </row>
    <row r="49" spans="1:35" ht="25.5" customHeight="1">
      <c r="A49" s="2152" t="s">
        <v>1341</v>
      </c>
      <c r="B49" s="3258" t="s">
        <v>1342</v>
      </c>
      <c r="C49" s="3258"/>
      <c r="D49" s="1478">
        <v>0</v>
      </c>
      <c r="E49" s="316" t="s">
        <v>1343</v>
      </c>
      <c r="F49" s="2233" t="s">
        <v>28</v>
      </c>
      <c r="G49" s="3328"/>
      <c r="H49" s="2134" t="s">
        <v>2134</v>
      </c>
      <c r="I49" s="2135"/>
      <c r="J49" s="2310">
        <v>4</v>
      </c>
      <c r="K49" s="3322" t="str">
        <f>IF(项目基本情况!E8="房地产抵押价值","房地产抵押价值","抵押担保权已注销时的房地产抵押价值")</f>
        <v>房地产抵押价值</v>
      </c>
      <c r="L49" s="3322"/>
      <c r="M49" s="3344" t="str">
        <f ca="1">IF(项目基本情况!E8="房地产抵押价值",H107,H109)</f>
        <v>——</v>
      </c>
      <c r="N49" s="3344"/>
      <c r="O49" s="3344"/>
    </row>
    <row r="50" spans="1:35" ht="25.5" customHeight="1">
      <c r="A50" s="2338"/>
      <c r="B50" s="3258" t="s">
        <v>1344</v>
      </c>
      <c r="C50" s="3258"/>
      <c r="D50" s="2189"/>
      <c r="E50" s="323"/>
      <c r="F50" s="2233"/>
      <c r="G50" s="3329"/>
      <c r="H50" s="2136" t="s">
        <v>2135</v>
      </c>
      <c r="I50" s="2135"/>
      <c r="J50" s="3341" t="s">
        <v>1345</v>
      </c>
      <c r="K50" s="3341"/>
      <c r="L50" s="3341"/>
      <c r="M50" s="3341"/>
      <c r="N50" s="3341"/>
      <c r="O50" s="3341"/>
    </row>
    <row r="51" spans="1:35" ht="20.45" customHeight="1">
      <c r="A51" s="2339"/>
      <c r="B51" s="3258" t="s">
        <v>1346</v>
      </c>
      <c r="C51" s="3258"/>
      <c r="D51" s="1024"/>
      <c r="E51" s="319"/>
      <c r="F51" s="2233"/>
      <c r="G51" s="3330"/>
      <c r="H51" s="2136" t="s">
        <v>2136</v>
      </c>
      <c r="I51" s="2135"/>
      <c r="J51" s="2311" t="s">
        <v>1347</v>
      </c>
      <c r="K51" s="3322" t="s">
        <v>1348</v>
      </c>
      <c r="L51" s="3322"/>
      <c r="M51" s="2311" t="s">
        <v>1349</v>
      </c>
      <c r="N51" s="2311" t="s">
        <v>1350</v>
      </c>
      <c r="O51" s="2311" t="s">
        <v>1351</v>
      </c>
    </row>
    <row r="52" spans="1:35" ht="24" customHeight="1">
      <c r="A52" s="2153" t="s">
        <v>1352</v>
      </c>
      <c r="B52" s="3258" t="s">
        <v>1353</v>
      </c>
      <c r="C52" s="3258"/>
      <c r="D52" s="1024" t="e">
        <f ca="1">ROUND(D45*'数据-取费表'!B41/(1+'数据-取费表'!C42),0)</f>
        <v>#REF!</v>
      </c>
      <c r="E52" s="1256" t="s">
        <v>1354</v>
      </c>
      <c r="F52" s="2340">
        <f>'数据-取费表'!B41</f>
        <v>5.6000000000000001E-2</v>
      </c>
      <c r="G52" s="2341"/>
      <c r="H52" s="2331"/>
      <c r="I52" s="1669"/>
      <c r="J52" s="2310">
        <v>1</v>
      </c>
      <c r="K52" s="3323" t="s">
        <v>1355</v>
      </c>
      <c r="L52" s="3323"/>
      <c r="M52" s="2312" t="b">
        <f>D48</f>
        <v>0</v>
      </c>
      <c r="N52" s="2310" t="str">
        <f>E48</f>
        <v>销售额×税（费）率</v>
      </c>
      <c r="O52" s="2313">
        <f>F48</f>
        <v>5.6000000000000001E-2</v>
      </c>
    </row>
    <row r="53" spans="1:35" ht="12" customHeight="1">
      <c r="A53" s="2153" t="s">
        <v>1356</v>
      </c>
      <c r="B53" s="3284" t="s">
        <v>2282</v>
      </c>
      <c r="C53" s="3285"/>
      <c r="D53" s="1024" t="e">
        <f ca="1">ROUND(D45*'数据-取费表'!B41/(1+'数据-取费表'!C42),0)</f>
        <v>#REF!</v>
      </c>
      <c r="E53" s="1256" t="s">
        <v>1354</v>
      </c>
      <c r="F53" s="2340">
        <f>'数据-取费表'!B41</f>
        <v>5.6000000000000001E-2</v>
      </c>
      <c r="G53" s="2341"/>
      <c r="H53" s="2331"/>
      <c r="I53" s="1669"/>
      <c r="J53" s="2310">
        <v>2</v>
      </c>
      <c r="K53" s="3323" t="s">
        <v>1357</v>
      </c>
      <c r="L53" s="3323"/>
      <c r="M53" s="2312" t="e">
        <f t="shared" ref="M53:O54" ca="1" si="0">D55</f>
        <v>#REF!</v>
      </c>
      <c r="N53" s="2310" t="str">
        <f t="shared" si="0"/>
        <v>销售额×税（费）率</v>
      </c>
      <c r="O53" s="2313" t="str">
        <f t="shared" si="0"/>
        <v>免征</v>
      </c>
    </row>
    <row r="54" spans="1:35" ht="12" customHeight="1">
      <c r="A54" s="2153" t="s">
        <v>1358</v>
      </c>
      <c r="B54" s="3284" t="s">
        <v>2283</v>
      </c>
      <c r="C54" s="3285"/>
      <c r="D54" s="1024" t="e">
        <f ca="1">C68</f>
        <v>#REF!</v>
      </c>
      <c r="E54" s="319" t="s">
        <v>1359</v>
      </c>
      <c r="F54" s="2340">
        <f>'数据-取费表'!B41</f>
        <v>5.6000000000000001E-2</v>
      </c>
      <c r="G54" s="2341"/>
      <c r="H54" s="2342"/>
      <c r="I54" s="1669"/>
      <c r="J54" s="2310">
        <v>3</v>
      </c>
      <c r="K54" s="3323" t="s">
        <v>1360</v>
      </c>
      <c r="L54" s="3323"/>
      <c r="M54" s="2312" t="e">
        <f t="shared" ca="1" si="0"/>
        <v>#REF!</v>
      </c>
      <c r="N54" s="2310" t="str">
        <f t="shared" si="0"/>
        <v>增值额×税（费）率</v>
      </c>
      <c r="O54" s="2314" t="str">
        <f t="shared" si="0"/>
        <v>免征</v>
      </c>
    </row>
    <row r="55" spans="1:35" ht="24" customHeight="1">
      <c r="A55" s="3273" t="s">
        <v>1361</v>
      </c>
      <c r="B55" s="3274"/>
      <c r="C55" s="3274"/>
      <c r="D55" s="12" t="e">
        <f ca="1">IF(H55="个人住宅",0,ROUND(D45*I55,0))</f>
        <v>#REF!</v>
      </c>
      <c r="E55" s="1256" t="s">
        <v>1362</v>
      </c>
      <c r="F55" s="2340" t="str">
        <f>IF(H55="正常",I55,"免征")</f>
        <v>免征</v>
      </c>
      <c r="G55" s="2341"/>
      <c r="H55" s="2337"/>
      <c r="I55" s="157">
        <f>'数据-取费表'!B49</f>
        <v>5.0000000000000001E-4</v>
      </c>
      <c r="J55" s="2310">
        <f>IF(H59="非个人房产","",4)</f>
        <v>4</v>
      </c>
      <c r="K55" s="3323" t="str">
        <f>IF(H59="非个人房产","——","个人所得税")</f>
        <v>个人所得税</v>
      </c>
      <c r="L55" s="3323"/>
      <c r="M55" s="2315" t="e">
        <f ca="1">D59</f>
        <v>#REF!</v>
      </c>
      <c r="N55" s="1883" t="str">
        <f>E59</f>
        <v>差额计税</v>
      </c>
      <c r="O55" s="2316">
        <f>F59</f>
        <v>0.01</v>
      </c>
    </row>
    <row r="56" spans="1:35" ht="24.75">
      <c r="A56" s="3273" t="s">
        <v>1363</v>
      </c>
      <c r="B56" s="3274"/>
      <c r="C56" s="3274"/>
      <c r="D56" s="12" t="e">
        <f ca="1">IF(H56="个人住宅",D57,D58)</f>
        <v>#REF!</v>
      </c>
      <c r="E56" s="1256" t="s">
        <v>1364</v>
      </c>
      <c r="F56" s="2340" t="str">
        <f>IF(H56="正常",F58,"免征")</f>
        <v>免征</v>
      </c>
      <c r="G56" s="2343" t="s">
        <v>1365</v>
      </c>
      <c r="H56" s="2344"/>
      <c r="I56" s="1670"/>
      <c r="J56" s="2310" t="str">
        <f>IF(项目基本情况!K6="上海银行",IF(J55="",4,J55+1),"")</f>
        <v/>
      </c>
      <c r="K56" s="3346" t="str">
        <f>IF(项目基本情况!K6="上海银行","其他处置费用","")</f>
        <v/>
      </c>
      <c r="L56" s="3347"/>
      <c r="M56" s="2312" t="str">
        <f>IF(项目基本情况!K6="上海银行",M69,"")</f>
        <v/>
      </c>
      <c r="N56" s="3346" t="str">
        <f>IF(项目基本情况!K6="上海银行","包含处置中涉及的律师、诉讼、拍卖、评估等费用","")</f>
        <v/>
      </c>
      <c r="O56" s="3349"/>
    </row>
    <row r="57" spans="1:35" ht="12.75">
      <c r="A57" s="2153" t="s">
        <v>1341</v>
      </c>
      <c r="B57" s="3284" t="s">
        <v>1366</v>
      </c>
      <c r="C57" s="3285"/>
      <c r="D57" s="1478">
        <v>0</v>
      </c>
      <c r="E57" s="316" t="s">
        <v>1343</v>
      </c>
      <c r="F57" s="294"/>
      <c r="G57" s="2341"/>
      <c r="H57" s="2345"/>
      <c r="I57" s="1670"/>
      <c r="J57" s="3323">
        <f>IF(AND(J55="",J56=""),4,IF(项目基本情况!K6="上海银行",结果表!J56+1,结果表!J55+1))</f>
        <v>5</v>
      </c>
      <c r="K57" s="3323" t="s">
        <v>1367</v>
      </c>
      <c r="L57" s="2317" t="s">
        <v>1368</v>
      </c>
      <c r="M57" s="2318"/>
      <c r="N57" s="2319">
        <f ca="1">SUMIF(M52:M56,"&lt;9e307")</f>
        <v>0</v>
      </c>
      <c r="O57" s="2320"/>
      <c r="P57" s="2465" t="e">
        <f ca="1">N57/M49</f>
        <v>#VALUE!</v>
      </c>
    </row>
    <row r="58" spans="1:35" ht="24.75">
      <c r="A58" s="2153" t="s">
        <v>1352</v>
      </c>
      <c r="B58" s="3284" t="s">
        <v>1369</v>
      </c>
      <c r="C58" s="3258"/>
      <c r="D58" s="12" t="e">
        <f ca="1">IF(H58="转让取得",C81,C97)</f>
        <v>#REF!</v>
      </c>
      <c r="E58" s="1256" t="s">
        <v>1364</v>
      </c>
      <c r="F58" s="294" t="s">
        <v>28</v>
      </c>
      <c r="G58" s="2341"/>
      <c r="H58" s="2344"/>
      <c r="I58" s="1670"/>
      <c r="J58" s="3323"/>
      <c r="K58" s="3323"/>
      <c r="L58" s="2317" t="s">
        <v>1370</v>
      </c>
      <c r="M58" s="2321"/>
      <c r="N58" s="2322" t="str">
        <f ca="1">NUMBERSTRING(INT(N57*10000),2)&amp;"元整"</f>
        <v>零元整</v>
      </c>
      <c r="O58" s="2323"/>
    </row>
    <row r="59" spans="1:35" ht="24.75" thickBot="1">
      <c r="A59" s="3326" t="s">
        <v>1371</v>
      </c>
      <c r="B59" s="3327"/>
      <c r="C59" s="3327"/>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4">
        <f>J57+1</f>
        <v>6</v>
      </c>
      <c r="K59" s="3323" t="s">
        <v>1372</v>
      </c>
      <c r="L59" s="2310" t="s">
        <v>1368</v>
      </c>
      <c r="M59" s="2324"/>
      <c r="N59" s="2325" t="e">
        <f ca="1">M49-N57</f>
        <v>#VALUE!</v>
      </c>
      <c r="O59" s="2326"/>
    </row>
    <row r="60" spans="1:35" ht="12" customHeight="1">
      <c r="A60" s="1671"/>
      <c r="B60" s="646"/>
      <c r="C60" s="646"/>
      <c r="D60" s="646"/>
      <c r="E60" s="1466"/>
      <c r="F60" s="1670"/>
      <c r="G60" s="1670"/>
      <c r="H60" s="151"/>
      <c r="I60" s="121"/>
      <c r="J60" s="3325"/>
      <c r="K60" s="3323"/>
      <c r="L60" s="2317" t="s">
        <v>1370</v>
      </c>
      <c r="M60" s="2321"/>
      <c r="N60" s="2322" t="e">
        <f ca="1">NUMBERSTRING(INT(N59*10000),2)&amp;"元整"</f>
        <v>#VALUE!</v>
      </c>
      <c r="O60" s="2323"/>
    </row>
    <row r="61" spans="1:35" ht="13.5" thickBot="1">
      <c r="A61" s="3271" t="s">
        <v>1373</v>
      </c>
      <c r="B61" s="3271"/>
      <c r="C61" s="3271"/>
      <c r="D61" s="3271"/>
      <c r="E61" s="3271"/>
      <c r="F61" s="1670"/>
      <c r="G61" s="1670"/>
      <c r="H61" s="151"/>
      <c r="I61" s="121"/>
      <c r="J61" s="2310">
        <f>J59+1</f>
        <v>7</v>
      </c>
      <c r="K61" s="3323" t="s">
        <v>1374</v>
      </c>
      <c r="L61" s="3323"/>
      <c r="M61" s="2327"/>
      <c r="N61" s="2328" t="e">
        <f ca="1">ROUND(N59*10000/'数据-汇总表'!E3,0)</f>
        <v>#VALUE!</v>
      </c>
      <c r="O61" s="2329"/>
    </row>
    <row r="62" spans="1:35" ht="12.75">
      <c r="A62" s="3289" t="s">
        <v>1375</v>
      </c>
      <c r="B62" s="3290"/>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48"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348"/>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348"/>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348"/>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48"/>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348"/>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348"/>
      <c r="K69" s="1245" t="s">
        <v>1393</v>
      </c>
      <c r="L69" s="1245"/>
      <c r="M69" s="294" t="e">
        <f ca="1">ROUND(SUM(M63:M68),0)</f>
        <v>#VALUE!</v>
      </c>
      <c r="N69" s="2332" t="e">
        <f ca="1">M69/M49</f>
        <v>#VALUE!</v>
      </c>
      <c r="Z69" s="1623"/>
      <c r="AI69" s="1561"/>
    </row>
    <row r="70" spans="1:35" s="642" customFormat="1" ht="15" thickBot="1">
      <c r="A70" s="3310" t="s">
        <v>1394</v>
      </c>
      <c r="B70" s="3311"/>
      <c r="C70" s="3311"/>
      <c r="D70" s="3311"/>
      <c r="E70" s="3311"/>
      <c r="F70" s="3311"/>
      <c r="G70" s="3311"/>
      <c r="H70" s="331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9" t="s">
        <v>1375</v>
      </c>
      <c r="B71" s="329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4" t="s">
        <v>1402</v>
      </c>
      <c r="F76" s="3258"/>
      <c r="G76" s="3258"/>
      <c r="H76" s="330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268" t="s">
        <v>1406</v>
      </c>
      <c r="F78" s="3269"/>
      <c r="G78" s="3269"/>
      <c r="H78" s="327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0" t="s">
        <v>1410</v>
      </c>
      <c r="B83" s="3311"/>
      <c r="C83" s="3311"/>
      <c r="D83" s="3311"/>
      <c r="E83" s="3311"/>
      <c r="F83" s="3311"/>
      <c r="G83" s="3311"/>
      <c r="H83" s="331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9" t="s">
        <v>1375</v>
      </c>
      <c r="B84" s="329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50" t="s">
        <v>2129</v>
      </c>
      <c r="H90" s="3351"/>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8" t="s">
        <v>1419</v>
      </c>
      <c r="F91" s="3269"/>
      <c r="G91" s="326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8" t="s">
        <v>1422</v>
      </c>
      <c r="F92" s="3269"/>
      <c r="G92" s="3269"/>
      <c r="H92" s="3278"/>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268" t="s">
        <v>1406</v>
      </c>
      <c r="F93" s="3269"/>
      <c r="G93" s="3269"/>
      <c r="H93" s="327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9" t="s">
        <v>1426</v>
      </c>
      <c r="F94" s="3280"/>
      <c r="G94" s="3280"/>
      <c r="H94" s="328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2" t="s">
        <v>1428</v>
      </c>
      <c r="B100" s="3253"/>
      <c r="C100" s="3253"/>
      <c r="D100" s="3270"/>
      <c r="E100" s="3253" t="s">
        <v>1429</v>
      </c>
      <c r="F100" s="3253"/>
      <c r="G100" s="3253"/>
      <c r="H100" s="3270"/>
      <c r="I100" s="121"/>
    </row>
    <row r="101" spans="1:35" ht="18.75" customHeight="1">
      <c r="A101" s="3331" t="s">
        <v>1430</v>
      </c>
      <c r="B101" s="3332"/>
      <c r="C101" s="2371" t="str">
        <f>C4</f>
        <v>比较法-商业</v>
      </c>
      <c r="D101" s="2372" t="str">
        <f>D4</f>
        <v>收益法</v>
      </c>
      <c r="E101" s="3345" t="s">
        <v>1431</v>
      </c>
      <c r="F101" s="3302"/>
      <c r="G101" s="1687" t="s">
        <v>1432</v>
      </c>
      <c r="H101" s="2381" t="e">
        <f ca="1">H118</f>
        <v>#REF!</v>
      </c>
      <c r="I101" s="121"/>
    </row>
    <row r="102" spans="1:35" ht="18.75" customHeight="1">
      <c r="A102" s="3304" t="s">
        <v>1433</v>
      </c>
      <c r="B102" s="2370" t="s">
        <v>1432</v>
      </c>
      <c r="C102" s="2371">
        <f ca="1">IF(D32="楼面单价",ROUND(C19,0),C19)</f>
        <v>36497</v>
      </c>
      <c r="D102" s="2372">
        <f ca="1">IF(D32="楼面单价",ROUND(D19,0),D19)</f>
        <v>7504</v>
      </c>
      <c r="E102" s="3345"/>
      <c r="F102" s="3302"/>
      <c r="G102" s="1687" t="s">
        <v>1434</v>
      </c>
      <c r="H102" s="2341" t="e">
        <f ca="1">I118</f>
        <v>#REF!</v>
      </c>
      <c r="I102" s="121"/>
    </row>
    <row r="103" spans="1:35" ht="42.75" customHeight="1">
      <c r="A103" s="3304"/>
      <c r="B103" s="2370" t="s">
        <v>1434</v>
      </c>
      <c r="C103" s="2373">
        <f ca="1">C20</f>
        <v>28045</v>
      </c>
      <c r="D103" s="2374">
        <f ca="1">D20</f>
        <v>5766</v>
      </c>
      <c r="E103" s="3339" t="s">
        <v>1435</v>
      </c>
      <c r="F103" s="3340"/>
      <c r="G103" s="1688" t="s">
        <v>1436</v>
      </c>
      <c r="H103" s="2381">
        <f>IF(D36="正常操作",H104+H105+H106,H105+H106)</f>
        <v>0</v>
      </c>
      <c r="I103" s="121"/>
    </row>
    <row r="104" spans="1:35" ht="18.75" customHeight="1">
      <c r="A104" s="3304"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5"/>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1" t="str">
        <f>IF(项目基本情况!E8="已注销","——","3.房地产抵押价值")</f>
        <v>3.房地产抵押价值</v>
      </c>
      <c r="F107" s="3302"/>
      <c r="G107" s="1687" t="s">
        <v>1432</v>
      </c>
      <c r="H107" s="2381" t="e">
        <f ca="1">IF(E107="——","——",H101-H103)</f>
        <v>#REF!</v>
      </c>
      <c r="I107" s="121"/>
    </row>
    <row r="108" spans="1:35" ht="18.75" customHeight="1">
      <c r="A108" s="121"/>
      <c r="B108" s="121"/>
      <c r="C108" s="121"/>
      <c r="D108" s="121"/>
      <c r="E108" s="3301"/>
      <c r="F108" s="3302"/>
      <c r="G108" s="1687" t="s">
        <v>1434</v>
      </c>
      <c r="H108" s="2341">
        <f ca="1">IF(H107=H101,H102,ROUND(H107*10000/'数据-汇总表'!E3,0))</f>
        <v>0</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302"/>
      <c r="G109" s="1687" t="s">
        <v>1432</v>
      </c>
      <c r="H109" s="2384" t="str">
        <f>IF(E109="——","——",H101-H105-H106)</f>
        <v>——</v>
      </c>
      <c r="I109" s="121"/>
    </row>
    <row r="110" spans="1:35" ht="18.75" customHeight="1">
      <c r="A110" s="121"/>
      <c r="B110" s="121"/>
      <c r="C110" s="121"/>
      <c r="D110" s="121"/>
      <c r="E110" s="3301"/>
      <c r="F110" s="3302"/>
      <c r="G110" s="1687" t="s">
        <v>1434</v>
      </c>
      <c r="H110" s="2341" t="str">
        <f>IF(H109="——","——",ROUND(H109*10000/'数据-汇总表'!E3,0))</f>
        <v>——</v>
      </c>
      <c r="I110" s="121"/>
    </row>
    <row r="111" spans="1:35" ht="18.75" customHeight="1">
      <c r="A111" s="121"/>
      <c r="B111" s="121"/>
      <c r="C111" s="121"/>
      <c r="D111" s="121"/>
      <c r="E111" s="3333" t="str">
        <f>IF(项目基本情况!E9="抵押净值",IF(OR(项目基本情况!E8="已注销",项目基本情况!E8="房地产抵押价值"),"4.抵押净值","5.抵押净值"),"——")</f>
        <v>——</v>
      </c>
      <c r="F111" s="3303"/>
      <c r="G111" s="1687" t="s">
        <v>1432</v>
      </c>
      <c r="H111" s="2381" t="str">
        <f>IF(E111="——","——",N59)</f>
        <v>——</v>
      </c>
      <c r="I111" s="121"/>
    </row>
    <row r="112" spans="1:35" ht="18.75" customHeight="1" thickBot="1">
      <c r="A112" s="121"/>
      <c r="B112" s="121"/>
      <c r="C112" s="121"/>
      <c r="D112" s="121"/>
      <c r="E112" s="3334"/>
      <c r="F112" s="3335"/>
      <c r="G112" s="1690" t="s">
        <v>1434</v>
      </c>
      <c r="H112" s="2385" t="str">
        <f>IF(E111="——","——",N61)</f>
        <v>——</v>
      </c>
      <c r="I112" s="121"/>
    </row>
    <row r="113" spans="1:27" ht="18.75" customHeight="1">
      <c r="A113" s="121"/>
      <c r="B113" s="121"/>
      <c r="C113" s="121"/>
      <c r="D113" s="121"/>
      <c r="E113" s="3306" t="s">
        <v>1440</v>
      </c>
      <c r="F113" s="3306"/>
      <c r="G113" s="3306"/>
      <c r="H113" s="3306"/>
      <c r="I113" s="121"/>
    </row>
    <row r="114" spans="1:27" ht="3.75" customHeight="1">
      <c r="A114" s="646"/>
      <c r="B114" s="646"/>
      <c r="C114" s="646"/>
      <c r="D114" s="646"/>
      <c r="E114" s="1671"/>
      <c r="F114" s="1671"/>
      <c r="G114" s="1671"/>
      <c r="H114" s="1671"/>
      <c r="I114" s="646"/>
    </row>
    <row r="115" spans="1:27" ht="18.75" customHeight="1">
      <c r="A115" s="3316" t="s">
        <v>1442</v>
      </c>
      <c r="B115" s="3317"/>
      <c r="C115" s="3317"/>
      <c r="D115" s="3317"/>
      <c r="E115" s="3317"/>
      <c r="F115" s="3317"/>
      <c r="G115" s="3317"/>
      <c r="H115" s="3317"/>
      <c r="I115" s="3318"/>
    </row>
    <row r="116" spans="1:27" ht="27" customHeight="1">
      <c r="A116" s="3272" t="s">
        <v>1443</v>
      </c>
      <c r="B116" s="3307" t="s">
        <v>1444</v>
      </c>
      <c r="C116" s="3307" t="s">
        <v>1445</v>
      </c>
      <c r="D116" s="3320" t="s">
        <v>1446</v>
      </c>
      <c r="E116" s="3321"/>
      <c r="F116" s="3315" t="s">
        <v>1447</v>
      </c>
      <c r="G116" s="3315"/>
      <c r="H116" s="3272" t="s">
        <v>1448</v>
      </c>
      <c r="I116" s="3272"/>
    </row>
    <row r="117" spans="1:27" ht="18.75" customHeight="1">
      <c r="A117" s="3272"/>
      <c r="B117" s="3308"/>
      <c r="C117" s="3308"/>
      <c r="D117" s="2150" t="s">
        <v>1449</v>
      </c>
      <c r="E117" s="2150" t="s">
        <v>1450</v>
      </c>
      <c r="F117" s="2150" t="s">
        <v>1449</v>
      </c>
      <c r="G117" s="2150" t="s">
        <v>1451</v>
      </c>
      <c r="H117" s="2150" t="s">
        <v>1449</v>
      </c>
      <c r="I117" s="2150" t="s">
        <v>1451</v>
      </c>
    </row>
    <row r="118" spans="1:27" ht="24.75" customHeight="1">
      <c r="A118" s="2386" t="str">
        <f>项目基本情况!S2</f>
        <v>房地产</v>
      </c>
      <c r="B118" s="2150">
        <f>M18</f>
        <v>13013.62</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2" t="s">
        <v>1452</v>
      </c>
      <c r="B119" s="3272"/>
      <c r="C119" s="3272"/>
      <c r="D119" s="3312" t="e">
        <f ca="1">NUMBERSTRING(INT(D118*10000),2)&amp;"元整"</f>
        <v>#REF!</v>
      </c>
      <c r="E119" s="3314"/>
      <c r="F119" s="3312" t="e">
        <f ca="1">NUMBERSTRING(INT(F118*10000),2)&amp;"元整"</f>
        <v>#REF!</v>
      </c>
      <c r="G119" s="3314"/>
      <c r="H119" s="3312" t="e">
        <f ca="1">NUMBERSTRING(INT(H118*10000),2)&amp;"元整"</f>
        <v>#REF!</v>
      </c>
      <c r="I119" s="3314"/>
    </row>
    <row r="120" spans="1:27" ht="18.75" customHeight="1">
      <c r="A120" s="3336" t="str">
        <f>IF(项目基本情况!B9="房地产市场价值","",MID(E103,3,LEN(E103)-2))</f>
        <v>估价师知悉的法定优先受偿款</v>
      </c>
      <c r="B120" s="3337"/>
      <c r="C120" s="3338"/>
      <c r="D120" s="3336">
        <f>H103</f>
        <v>0</v>
      </c>
      <c r="E120" s="3337"/>
      <c r="F120" s="3337"/>
      <c r="G120" s="3337"/>
      <c r="H120" s="3337"/>
      <c r="I120" s="333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2" t="s">
        <v>1452</v>
      </c>
      <c r="B121" s="3313"/>
      <c r="C121" s="3314"/>
      <c r="D121" s="3312" t="str">
        <f>IF(D120=0,"零元整",NUMBERSTRING(INT(D120*10000),2)&amp;"元整")</f>
        <v>零元整</v>
      </c>
      <c r="E121" s="3313"/>
      <c r="F121" s="3313"/>
      <c r="G121" s="3313"/>
      <c r="H121" s="3313"/>
      <c r="I121" s="3314"/>
      <c r="AA121" s="684"/>
    </row>
    <row r="122" spans="1:27" ht="18.75" customHeight="1">
      <c r="A122" s="3303" t="str">
        <f>IF(项目基本情况!B9="房地产市场价值","",MID(E107,3,LEN(E107)-2))</f>
        <v>房地产抵押价值</v>
      </c>
      <c r="B122" s="3303"/>
      <c r="C122" s="3303"/>
      <c r="D122" s="3336" t="e">
        <f ca="1">H107</f>
        <v>#REF!</v>
      </c>
      <c r="E122" s="3337"/>
      <c r="F122" s="3337"/>
      <c r="G122" s="3337"/>
      <c r="H122" s="3337"/>
      <c r="I122" s="3338"/>
      <c r="AA122" s="684"/>
    </row>
    <row r="123" spans="1:27" ht="18.75" customHeight="1">
      <c r="A123" s="3272" t="s">
        <v>1452</v>
      </c>
      <c r="B123" s="3272"/>
      <c r="C123" s="3272"/>
      <c r="D123" s="3312" t="e">
        <f ca="1">NUMBERSTRING(INT(D122*10000),2)&amp;"元整"</f>
        <v>#REF!</v>
      </c>
      <c r="E123" s="3313"/>
      <c r="F123" s="3313"/>
      <c r="G123" s="3313"/>
      <c r="H123" s="3313"/>
      <c r="I123" s="3314"/>
      <c r="AA123" s="684"/>
    </row>
    <row r="124" spans="1:27" ht="18.75" customHeight="1">
      <c r="A124" s="3303" t="str">
        <f>IF(项目基本情况!B9="房地产市场价值","",MID(E109,3,LEN(E109)-2))</f>
        <v/>
      </c>
      <c r="B124" s="3303"/>
      <c r="C124" s="3303"/>
      <c r="D124" s="3336" t="str">
        <f>H109</f>
        <v>——</v>
      </c>
      <c r="E124" s="3337"/>
      <c r="F124" s="3337"/>
      <c r="G124" s="3337"/>
      <c r="H124" s="3337"/>
      <c r="I124" s="3338"/>
      <c r="AA124" s="684"/>
    </row>
    <row r="125" spans="1:27" ht="18.75" customHeight="1">
      <c r="A125" s="3272" t="s">
        <v>1452</v>
      </c>
      <c r="B125" s="3272"/>
      <c r="C125" s="3272"/>
      <c r="D125" s="3312" t="e">
        <f>NUMBERSTRING(INT(D124*10000),2)&amp;"元整"</f>
        <v>#VALUE!</v>
      </c>
      <c r="E125" s="3313"/>
      <c r="F125" s="3313"/>
      <c r="G125" s="3313"/>
      <c r="H125" s="3313"/>
      <c r="I125" s="3314"/>
      <c r="AA125" s="684"/>
    </row>
    <row r="126" spans="1:27" ht="18.75" customHeight="1">
      <c r="A126" s="3303" t="str">
        <f>IF(项目基本情况!B9="房地产市场价值","",MID(E111,3,LEN(E111)-2))</f>
        <v/>
      </c>
      <c r="B126" s="3303"/>
      <c r="C126" s="3303"/>
      <c r="D126" s="3336" t="str">
        <f>H111</f>
        <v>——</v>
      </c>
      <c r="E126" s="3337"/>
      <c r="F126" s="3337"/>
      <c r="G126" s="3337"/>
      <c r="H126" s="3337"/>
      <c r="I126" s="3338"/>
      <c r="AA126" s="684"/>
    </row>
    <row r="127" spans="1:27" ht="18.75" customHeight="1">
      <c r="A127" s="3272" t="s">
        <v>1452</v>
      </c>
      <c r="B127" s="3272"/>
      <c r="C127" s="3272"/>
      <c r="D127" s="3312" t="e">
        <f>NUMBERSTRING(INT(D126*10000),2)&amp;"元整"</f>
        <v>#VALUE!</v>
      </c>
      <c r="E127" s="3313"/>
      <c r="F127" s="3313"/>
      <c r="G127" s="3313"/>
      <c r="H127" s="3313"/>
      <c r="I127" s="3314"/>
      <c r="AA127" s="684"/>
    </row>
    <row r="128" spans="1:27" ht="21.75" customHeight="1">
      <c r="A128" s="3319" t="s">
        <v>1453</v>
      </c>
      <c r="B128" s="3319"/>
      <c r="C128" s="3319"/>
      <c r="D128" s="3319"/>
      <c r="E128" s="3319"/>
      <c r="F128" s="3319"/>
      <c r="G128" s="3319"/>
      <c r="H128" s="3319"/>
      <c r="I128" s="331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M25" sqref="M25"/>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37974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29180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23316.625</v>
      </c>
      <c r="D5" s="203" t="s">
        <v>1469</v>
      </c>
      <c r="E5" s="204" t="s">
        <v>1470</v>
      </c>
      <c r="F5" s="204" t="s">
        <v>1471</v>
      </c>
      <c r="G5" s="205"/>
    </row>
    <row r="6" spans="1:9" s="206" customFormat="1" ht="13.5" customHeight="1">
      <c r="A6" s="732" t="s">
        <v>1472</v>
      </c>
      <c r="B6" s="207" t="s">
        <v>1473</v>
      </c>
      <c r="C6" s="208">
        <f>标定地价!R16</f>
        <v>22626.625</v>
      </c>
      <c r="D6" s="209"/>
      <c r="E6" s="210"/>
      <c r="F6" s="210"/>
      <c r="G6" s="211"/>
    </row>
    <row r="7" spans="1:9" s="206" customFormat="1" ht="13.5" customHeight="1">
      <c r="A7" s="732" t="s">
        <v>1474</v>
      </c>
      <c r="B7" s="207" t="s">
        <v>1475</v>
      </c>
      <c r="C7" s="212">
        <f>ROUND(C6*F7,0)</f>
        <v>690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t="s">
        <v>3440</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3441</v>
      </c>
      <c r="H9" s="1070"/>
      <c r="I9" s="1716" t="s">
        <v>1479</v>
      </c>
    </row>
    <row r="10" spans="1:9" s="206" customFormat="1" ht="13.5" customHeight="1">
      <c r="A10" s="733" t="s">
        <v>356</v>
      </c>
      <c r="B10" s="216" t="s">
        <v>1480</v>
      </c>
      <c r="C10" s="217">
        <f ca="1">ROUND(D10*E10/10000,0)</f>
        <v>267</v>
      </c>
      <c r="D10" s="795">
        <f ca="1">IF(B1="",'数据-汇总表'!E6,IF(INDIRECT("'数据-取费表'!c"&amp;$G$1)="住宅",INDIRECT("'数据-取费表'!s"&amp;$G$1),INDIRECT("'数据-取费表'!k"&amp;$G$1)+INDIRECT("'数据-取费表'!s"&amp;$G$1)))</f>
        <v>13013.62</v>
      </c>
      <c r="E10" s="217">
        <f>'数据-取费表'!B28</f>
        <v>204.97499999999999</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13013.62</v>
      </c>
      <c r="E19" s="203">
        <f>'数据-取费表'!B31</f>
        <v>200</v>
      </c>
      <c r="F19" s="223"/>
      <c r="G19" s="1714" t="s">
        <v>3442</v>
      </c>
    </row>
    <row r="20" spans="1:7" s="206" customFormat="1" ht="13.5" customHeight="1">
      <c r="A20" s="247" t="s">
        <v>1493</v>
      </c>
      <c r="B20" s="202" t="s">
        <v>1494</v>
      </c>
      <c r="C20" s="224">
        <f>ROUND((C5+C19)*F20,0)</f>
        <v>466</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1923</v>
      </c>
      <c r="D22" s="227">
        <f ca="1">C26</f>
        <v>8.0000000000000004E-4</v>
      </c>
      <c r="E22" s="228" t="s">
        <v>1498</v>
      </c>
      <c r="F22" s="229">
        <f ca="1">'数据-取费表'!B40</f>
        <v>3.1899999999999998E-2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1904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19</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4757</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4757</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33043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5134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4555</v>
      </c>
      <c r="D34" s="209"/>
      <c r="E34" s="212"/>
      <c r="F34" s="249">
        <f ca="1">IF('数据-取费表'!B24=0,1,IF(B1="",'数据-取费表'!N16,INDIRECT("'数据-取费表'!n"&amp;$G$1)))</f>
        <v>1</v>
      </c>
      <c r="G34" s="211" t="s">
        <v>1526</v>
      </c>
    </row>
    <row r="35" spans="1:7" ht="13.5" customHeight="1">
      <c r="A35" s="734" t="s">
        <v>351</v>
      </c>
      <c r="B35" s="207" t="s">
        <v>1527</v>
      </c>
      <c r="C35" s="212">
        <f ca="1">ROUND(C34*F35,0)</f>
        <v>228</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260</v>
      </c>
      <c r="D37" s="209">
        <f ca="1">D19</f>
        <v>13013.62</v>
      </c>
      <c r="E37" s="241">
        <f>'数据-取费表'!B35</f>
        <v>200</v>
      </c>
      <c r="F37" s="251"/>
      <c r="G37" s="253" t="s">
        <v>1532</v>
      </c>
    </row>
    <row r="38" spans="1:7" ht="13.5" customHeight="1">
      <c r="A38" s="734" t="s">
        <v>354</v>
      </c>
      <c r="B38" s="207" t="s">
        <v>1533</v>
      </c>
      <c r="C38" s="212">
        <f ca="1">ROUND(C34*F38,0)</f>
        <v>91</v>
      </c>
      <c r="D38" s="212"/>
      <c r="E38" s="212"/>
      <c r="F38" s="251">
        <f>'数据-取费表'!B36</f>
        <v>0.02</v>
      </c>
      <c r="G38" s="211" t="s">
        <v>1528</v>
      </c>
    </row>
    <row r="39" spans="1:7" s="206" customFormat="1" ht="13.5" customHeight="1">
      <c r="A39" s="247" t="s">
        <v>1534</v>
      </c>
      <c r="B39" s="202" t="s">
        <v>1535</v>
      </c>
      <c r="C39" s="224">
        <f ca="1">ROUND(C33*F20,0)</f>
        <v>103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210</v>
      </c>
      <c r="D41" s="227">
        <f ca="1">C44</f>
        <v>8.0000000000000004E-4</v>
      </c>
      <c r="E41" s="228" t="s">
        <v>1539</v>
      </c>
      <c r="F41" s="229">
        <f ca="1">F22</f>
        <v>3.1899999999999998E-2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206</v>
      </c>
      <c r="D42" s="230"/>
      <c r="E42" s="230"/>
      <c r="F42" s="231"/>
      <c r="G42" s="3352" t="s">
        <v>1544</v>
      </c>
    </row>
    <row r="43" spans="1:7" ht="13.5" customHeight="1">
      <c r="A43" s="734" t="s">
        <v>347</v>
      </c>
      <c r="B43" s="207" t="s">
        <v>1545</v>
      </c>
      <c r="C43" s="230">
        <f ca="1">ROUND(IF('数据-取费表'!B22&lt;=1,C39*F22*'数据-取费表'!B21/2,C39*(POWER((1+F22),'数据-取费表'!B21/2)-1)),0)</f>
        <v>4</v>
      </c>
      <c r="D43" s="230"/>
      <c r="E43" s="230"/>
      <c r="F43" s="231"/>
      <c r="G43" s="3353"/>
    </row>
    <row r="44" spans="1:7" ht="13.5" customHeight="1">
      <c r="A44" s="734" t="s">
        <v>348</v>
      </c>
      <c r="B44" s="207" t="s">
        <v>1546</v>
      </c>
      <c r="C44" s="230">
        <f ca="1">ROUND(IF('数据-取费表'!B22&lt;=1,C40*F22*'数据-取费表'!B21/2,C40*(POWER((1+F22),'数据-取费表'!B21/2)-1)),4)</f>
        <v>8.0000000000000004E-4</v>
      </c>
      <c r="D44" s="230"/>
      <c r="E44" s="230"/>
      <c r="F44" s="231"/>
      <c r="G44" s="3354"/>
    </row>
    <row r="45" spans="1:7" s="206" customFormat="1" ht="13.5" customHeight="1">
      <c r="A45" s="247" t="s">
        <v>1547</v>
      </c>
      <c r="B45" s="236" t="s">
        <v>1513</v>
      </c>
      <c r="C45" s="237">
        <f ca="1">C46</f>
        <v>1047</v>
      </c>
      <c r="D45" s="227">
        <f ca="1">C47</f>
        <v>4.0000000000000001E-3</v>
      </c>
      <c r="E45" s="228" t="s">
        <v>1539</v>
      </c>
      <c r="F45" s="238">
        <f ca="1">F27</f>
        <v>0.2</v>
      </c>
      <c r="G45" s="239" t="s">
        <v>1548</v>
      </c>
    </row>
    <row r="46" spans="1:7" s="206" customFormat="1" ht="13.5" customHeight="1">
      <c r="A46" s="734" t="s">
        <v>346</v>
      </c>
      <c r="B46" s="240" t="s">
        <v>1549</v>
      </c>
      <c r="C46" s="241">
        <f ca="1">ROUND((C33+C39)*F27,0)</f>
        <v>1047</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7044</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4931</v>
      </c>
      <c r="D51" s="224"/>
      <c r="E51" s="224"/>
      <c r="F51" s="256"/>
      <c r="G51" s="226" t="s">
        <v>1560</v>
      </c>
    </row>
    <row r="52" spans="1:7" s="200" customFormat="1" ht="16.5" thickBot="1">
      <c r="A52" s="257" t="s">
        <v>1561</v>
      </c>
      <c r="B52" s="258"/>
      <c r="C52" s="259">
        <f ca="1">C31+C51</f>
        <v>37974</v>
      </c>
      <c r="D52" s="258"/>
      <c r="E52" s="258"/>
      <c r="F52" s="258"/>
      <c r="G52" s="260"/>
    </row>
    <row r="55" spans="1:7" ht="15">
      <c r="B55" s="262" t="s">
        <v>1562</v>
      </c>
      <c r="C55" s="263"/>
    </row>
    <row r="56" spans="1:7">
      <c r="B56" s="265" t="s">
        <v>802</v>
      </c>
      <c r="C56" s="267">
        <f ca="1">1-C57</f>
        <v>0.87</v>
      </c>
    </row>
    <row r="57" spans="1:7">
      <c r="B57" s="265" t="s">
        <v>803</v>
      </c>
      <c r="C57" s="266">
        <f ca="1">ROUND(C51/C52,3)</f>
        <v>0.13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0" t="str">
        <f>项目基本情况!B1</f>
        <v>房地产抵押价值预评估</v>
      </c>
      <c r="C37" s="3170"/>
      <c r="D37" s="3170"/>
      <c r="E37" s="3170"/>
      <c r="F37" s="3170"/>
      <c r="G37" s="3170"/>
      <c r="H37" s="3170"/>
      <c r="I37" s="317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5677.3837999999996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4363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2667467</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2667467</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2667467</v>
      </c>
      <c r="D10" s="795">
        <f ca="1">IF(B1="",'数据-汇总表'!E6,IF(INDIRECT("'数据-取费表'!c"&amp;$G$1)="住宅",INDIRECT("'数据-取费表'!s"&amp;$G$1),INDIRECT("'数据-取费表'!k"&amp;$G$1)+INDIRECT("'数据-取费表'!s"&amp;$G$1)))</f>
        <v>13013.62</v>
      </c>
      <c r="E10" s="217">
        <f>'数据-取费表'!B28</f>
        <v>204.97499999999999</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2602724</v>
      </c>
      <c r="D19" s="204">
        <f ca="1">D9+D10</f>
        <v>13013.62</v>
      </c>
      <c r="E19" s="203">
        <f>'数据-取费表'!B31</f>
        <v>200</v>
      </c>
      <c r="F19" s="223"/>
      <c r="G19" s="1714"/>
    </row>
    <row r="20" spans="1:7" s="206" customFormat="1" ht="13.5" customHeight="1">
      <c r="A20" s="247" t="s">
        <v>1574</v>
      </c>
      <c r="B20" s="202" t="s">
        <v>1575</v>
      </c>
      <c r="C20" s="224">
        <f ca="1">ROUND((C5+C19)*F20,0)</f>
        <v>105404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434627</v>
      </c>
      <c r="D22" s="227">
        <f ca="1">C26</f>
        <v>8.0000000000000004E-4</v>
      </c>
      <c r="E22" s="228" t="s">
        <v>1579</v>
      </c>
      <c r="F22" s="229">
        <f ca="1">'数据-取费表'!B40</f>
        <v>3.1899999999999998E-2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217847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212560</v>
      </c>
      <c r="D24" s="230"/>
      <c r="E24" s="230"/>
      <c r="F24" s="231"/>
      <c r="G24" s="232" t="s">
        <v>1586</v>
      </c>
    </row>
    <row r="25" spans="1:7" s="206" customFormat="1" ht="24">
      <c r="A25" s="734" t="s">
        <v>1476</v>
      </c>
      <c r="B25" s="207" t="s">
        <v>1587</v>
      </c>
      <c r="C25" s="230">
        <f ca="1">ROUND(IF('数据-取费表'!B22&lt;=1,C20*F22*'数据-取费表'!B22/2,C20*(POWER((1+F22),'数据-取费表'!B22/2)-1)),0)</f>
        <v>4220</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1075119</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1075119</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7468642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51338731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45547670</v>
      </c>
      <c r="D34" s="209"/>
      <c r="E34" s="212"/>
      <c r="F34" s="249"/>
      <c r="G34" s="211"/>
    </row>
    <row r="35" spans="1:7" ht="13.5" customHeight="1">
      <c r="A35" s="734" t="s">
        <v>351</v>
      </c>
      <c r="B35" s="207" t="s">
        <v>1527</v>
      </c>
      <c r="C35" s="212">
        <f ca="1">ROUND(C34*F35,0)</f>
        <v>2277384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2602724</v>
      </c>
      <c r="D37" s="209">
        <f ca="1">D19</f>
        <v>13013.62</v>
      </c>
      <c r="E37" s="241">
        <f>'数据-取费表'!B35</f>
        <v>200</v>
      </c>
      <c r="F37" s="251"/>
      <c r="G37" s="253"/>
    </row>
    <row r="38" spans="1:7" ht="13.5" customHeight="1">
      <c r="A38" s="734" t="s">
        <v>354</v>
      </c>
      <c r="B38" s="207" t="s">
        <v>1533</v>
      </c>
      <c r="C38" s="212">
        <f ca="1">ROUND(C34*F38,0)</f>
        <v>910953</v>
      </c>
      <c r="D38" s="212"/>
      <c r="E38" s="212"/>
      <c r="F38" s="251">
        <f>'数据-取费表'!B36</f>
        <v>0.02</v>
      </c>
      <c r="G38" s="211" t="s">
        <v>1528</v>
      </c>
    </row>
    <row r="39" spans="1:7" s="206" customFormat="1" ht="13.5" customHeight="1">
      <c r="A39" s="247" t="s">
        <v>1534</v>
      </c>
      <c r="B39" s="202" t="s">
        <v>1535</v>
      </c>
      <c r="C39" s="224">
        <f ca="1">ROUND(C33*F20,0)</f>
        <v>1026775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2096336</v>
      </c>
      <c r="D41" s="227">
        <f ca="1">C44</f>
        <v>8.0000000000000004E-4</v>
      </c>
      <c r="E41" s="228" t="s">
        <v>1539</v>
      </c>
      <c r="F41" s="229">
        <f ca="1">F22</f>
        <v>3.1899999999999998E-2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2055231</v>
      </c>
      <c r="D42" s="230"/>
      <c r="E42" s="230"/>
      <c r="F42" s="231"/>
      <c r="G42" s="3352" t="s">
        <v>1591</v>
      </c>
    </row>
    <row r="43" spans="1:7" ht="13.5" customHeight="1">
      <c r="A43" s="734" t="s">
        <v>347</v>
      </c>
      <c r="B43" s="207" t="s">
        <v>1545</v>
      </c>
      <c r="C43" s="230">
        <f ca="1">ROUND(IF('数据-取费表'!B22&lt;=1,C39*F22*'数据-取费表'!B20/2,C39*(POWER((1+F22),'数据-取费表'!B20/2)-1)),0)</f>
        <v>41105</v>
      </c>
      <c r="D43" s="230"/>
      <c r="E43" s="230"/>
      <c r="F43" s="231"/>
      <c r="G43" s="3353"/>
    </row>
    <row r="44" spans="1:7" ht="13.5" customHeight="1">
      <c r="A44" s="734" t="s">
        <v>348</v>
      </c>
      <c r="B44" s="207" t="s">
        <v>1546</v>
      </c>
      <c r="C44" s="230">
        <f ca="1">ROUND(IF('数据-取费表'!B22&lt;=1,C40*F22*'数据-取费表'!B20/2,C40*(POWER((1+F22),'数据-取费表'!B20/2)-1)),4)</f>
        <v>8.0000000000000004E-4</v>
      </c>
      <c r="D44" s="230"/>
      <c r="E44" s="230"/>
      <c r="F44" s="231"/>
      <c r="G44" s="3354"/>
    </row>
    <row r="45" spans="1:7" s="206" customFormat="1" ht="13.5" customHeight="1">
      <c r="A45" s="247" t="s">
        <v>1547</v>
      </c>
      <c r="B45" s="236" t="s">
        <v>1513</v>
      </c>
      <c r="C45" s="237">
        <f ca="1">C46</f>
        <v>10473101</v>
      </c>
      <c r="D45" s="227">
        <f ca="1">C47</f>
        <v>4.0000000000000001E-3</v>
      </c>
      <c r="E45" s="228" t="s">
        <v>1539</v>
      </c>
      <c r="F45" s="238">
        <f ca="1">F27</f>
        <v>0.2</v>
      </c>
      <c r="G45" s="239" t="s">
        <v>1548</v>
      </c>
    </row>
    <row r="46" spans="1:7" s="206" customFormat="1" ht="13.5" customHeight="1">
      <c r="A46" s="734" t="s">
        <v>346</v>
      </c>
      <c r="B46" s="240" t="s">
        <v>1549</v>
      </c>
      <c r="C46" s="241">
        <f ca="1">ROUND((C33+C39)*F27,0)</f>
        <v>10473101</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70435994</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49305196</v>
      </c>
      <c r="D51" s="224"/>
      <c r="E51" s="224"/>
      <c r="F51" s="256"/>
      <c r="G51" s="226" t="s">
        <v>1560</v>
      </c>
    </row>
    <row r="52" spans="1:7" s="200" customFormat="1" ht="16.5" thickBot="1">
      <c r="A52" s="257" t="s">
        <v>1561</v>
      </c>
      <c r="B52" s="258"/>
      <c r="C52" s="259">
        <f ca="1">C31+C51</f>
        <v>56773838</v>
      </c>
      <c r="D52" s="258"/>
      <c r="E52" s="258"/>
      <c r="F52" s="258"/>
      <c r="G52" s="260"/>
    </row>
    <row r="55" spans="1:7" ht="15">
      <c r="B55" s="262" t="s">
        <v>1562</v>
      </c>
      <c r="C55" s="263"/>
    </row>
    <row r="56" spans="1:7">
      <c r="B56" s="265" t="s">
        <v>802</v>
      </c>
      <c r="C56" s="267">
        <f ca="1">1-C57</f>
        <v>0.13200000000000001</v>
      </c>
    </row>
    <row r="57" spans="1:7">
      <c r="B57" s="265" t="s">
        <v>803</v>
      </c>
      <c r="C57" s="266">
        <f ca="1">ROUND(C51/C52,3)</f>
        <v>0.86799999999999999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-317</v>
      </c>
      <c r="C2" s="268" t="s">
        <v>1595</v>
      </c>
      <c r="D2" s="268"/>
      <c r="E2" s="2568"/>
      <c r="F2" s="2568"/>
      <c r="G2" s="2568"/>
      <c r="H2" s="2568"/>
      <c r="I2" s="2568"/>
      <c r="J2" s="2568"/>
      <c r="K2" s="2568"/>
    </row>
    <row r="3" spans="1:33" ht="18" customHeight="1" thickBot="1">
      <c r="A3" s="195" t="s">
        <v>1464</v>
      </c>
      <c r="B3" s="196">
        <f ca="1">ROUND(B2*10000/IF(C1="",'数据-汇总表'!E3,INDIRECT("'数据-取费表'!K"&amp;$K$1)),0)</f>
        <v>-244</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13013.62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13013.62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267</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267</v>
      </c>
      <c r="D20" s="796">
        <f ca="1">IF(C1="",'数据-汇总表'!E6,IF(INDIRECT("'数据-取费表'!c"&amp;$K$1)="住宅",INDIRECT("'数据-取费表'!s"&amp;$K$1),INDIRECT("'数据-取费表'!k"&amp;$K$1)+INDIRECT("'数据-取费表'!s"&amp;$K$1)))</f>
        <v>13013.62</v>
      </c>
      <c r="E20" s="21">
        <f>'数据-取费表'!B28</f>
        <v>204.97499999999999</v>
      </c>
      <c r="F20" s="756"/>
      <c r="G20" s="12"/>
      <c r="H20" s="761"/>
      <c r="I20" s="761"/>
      <c r="J20" s="761"/>
      <c r="K20" s="762"/>
    </row>
    <row r="21" spans="1:33" s="755" customFormat="1" ht="13.5" customHeight="1">
      <c r="A21" s="744" t="s">
        <v>357</v>
      </c>
      <c r="B21" s="765" t="s">
        <v>1628</v>
      </c>
      <c r="C21" s="766">
        <f ca="1">C16+C17+C18</f>
        <v>267</v>
      </c>
      <c r="D21" s="767"/>
      <c r="E21" s="273"/>
      <c r="F21" s="273"/>
      <c r="G21" s="123" t="s">
        <v>1629</v>
      </c>
      <c r="H21" s="759"/>
      <c r="I21" s="759"/>
      <c r="J21" s="759"/>
      <c r="K21" s="760"/>
    </row>
    <row r="22" spans="1:33" s="755" customFormat="1" ht="13.5" customHeight="1">
      <c r="A22" s="744" t="s">
        <v>1601</v>
      </c>
      <c r="B22" s="765" t="s">
        <v>1630</v>
      </c>
      <c r="C22" s="766">
        <f ca="1">ROUND(C21*F22,0)</f>
        <v>5</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3.1899999999999998E-2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54</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54</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-317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D23" sqref="D2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7.79</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7504</v>
      </c>
      <c r="C2" s="1289" t="s">
        <v>805</v>
      </c>
      <c r="D2" s="1289"/>
      <c r="E2" s="1295"/>
      <c r="F2" s="1296"/>
      <c r="G2" s="2479"/>
      <c r="H2" s="2469"/>
      <c r="I2" s="2469"/>
      <c r="J2" s="2469"/>
      <c r="K2" s="2470"/>
      <c r="L2" s="2469"/>
      <c r="M2" s="2469"/>
    </row>
    <row r="3" spans="1:37" ht="18" customHeight="1" thickBot="1">
      <c r="A3" s="1297" t="s">
        <v>806</v>
      </c>
      <c r="B3" s="1298">
        <f ca="1">IF(ISERROR(B2*10000/F43),0,ROUND(B2*10000/F43,0))</f>
        <v>5766</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1070</v>
      </c>
      <c r="D5" s="1273" t="s">
        <v>693</v>
      </c>
      <c r="E5" s="1008"/>
      <c r="F5" s="1009"/>
      <c r="G5" s="1292"/>
      <c r="H5" s="291">
        <v>1</v>
      </c>
      <c r="I5" s="292" t="s">
        <v>692</v>
      </c>
      <c r="J5" s="1007">
        <f ca="1">J6+J10+J12</f>
        <v>0</v>
      </c>
      <c r="K5" s="1273" t="s">
        <v>693</v>
      </c>
      <c r="L5" s="1008"/>
      <c r="M5" s="1009"/>
    </row>
    <row r="6" spans="1:37" ht="18" customHeight="1">
      <c r="A6" s="1006" t="s">
        <v>398</v>
      </c>
      <c r="B6" s="3357" t="s">
        <v>694</v>
      </c>
      <c r="C6" s="1011">
        <f ca="1">ROUND(F6*F8*F7*(1-F9)/10000,0)</f>
        <v>1069</v>
      </c>
      <c r="D6" s="147" t="s">
        <v>2109</v>
      </c>
      <c r="E6" s="294" t="s">
        <v>696</v>
      </c>
      <c r="F6" s="295">
        <f ca="1">INDIRECT("'数据-取费表'!u"&amp;$G$1)</f>
        <v>2.5</v>
      </c>
      <c r="G6" s="1292"/>
      <c r="H6" s="1006" t="s">
        <v>398</v>
      </c>
      <c r="I6" s="3357" t="s">
        <v>694</v>
      </c>
      <c r="J6" s="293">
        <f ca="1">ROUND(M6*M8*M7*(1-M9)/10000,0)</f>
        <v>0</v>
      </c>
      <c r="K6" s="147" t="s">
        <v>2108</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13013.62</v>
      </c>
      <c r="G7" s="1292"/>
      <c r="H7" s="296"/>
      <c r="I7" s="3358"/>
      <c r="J7" s="298"/>
      <c r="K7" s="299"/>
      <c r="L7" s="294" t="s">
        <v>697</v>
      </c>
      <c r="M7" s="295">
        <f ca="1">F7</f>
        <v>13013.62</v>
      </c>
    </row>
    <row r="8" spans="1:37" ht="18" customHeight="1">
      <c r="A8" s="296"/>
      <c r="B8" s="3358"/>
      <c r="C8" s="298"/>
      <c r="D8" s="299"/>
      <c r="E8" s="294" t="s">
        <v>698</v>
      </c>
      <c r="F8" s="295">
        <f ca="1">INDIRECT("'数据-取费表'!ai"&amp;$G$1)</f>
        <v>365</v>
      </c>
      <c r="G8" s="1292"/>
      <c r="H8" s="296"/>
      <c r="I8" s="3358"/>
      <c r="J8" s="298"/>
      <c r="K8" s="299"/>
      <c r="L8" s="294" t="s">
        <v>698</v>
      </c>
      <c r="M8" s="295">
        <f ca="1">INDIRECT("'数据-取费表'!ai"&amp;$G$1)</f>
        <v>365</v>
      </c>
    </row>
    <row r="9" spans="1:37" ht="18" customHeight="1">
      <c r="A9" s="296"/>
      <c r="B9" s="3359"/>
      <c r="C9" s="298"/>
      <c r="D9" s="299"/>
      <c r="E9" s="294" t="s">
        <v>699</v>
      </c>
      <c r="F9" s="304">
        <f ca="1">INDIRECT("'数据-取费表'!w"&amp;$G$1)</f>
        <v>0.1</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3444</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4931</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4555</v>
      </c>
      <c r="D14" s="1257" t="s">
        <v>708</v>
      </c>
      <c r="E14" s="1255"/>
      <c r="F14" s="311"/>
      <c r="G14" s="1292"/>
      <c r="H14" s="928" t="s">
        <v>398</v>
      </c>
      <c r="I14" s="294" t="s">
        <v>709</v>
      </c>
      <c r="J14" s="21">
        <f ca="1">C29</f>
        <v>7044</v>
      </c>
      <c r="K14" s="12"/>
      <c r="L14" s="759"/>
      <c r="M14" s="760"/>
    </row>
    <row r="15" spans="1:37" s="1304" customFormat="1" ht="18" customHeight="1" thickBot="1">
      <c r="A15" s="928" t="s">
        <v>399</v>
      </c>
      <c r="B15" s="294" t="s">
        <v>710</v>
      </c>
      <c r="C15" s="21">
        <f ca="1">ROUND(C14*F15,0)</f>
        <v>228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14</v>
      </c>
      <c r="K16" s="1024" t="s">
        <v>715</v>
      </c>
      <c r="L16" s="1025"/>
      <c r="M16" s="1009"/>
    </row>
    <row r="17" spans="1:37" s="1304" customFormat="1" ht="18" customHeight="1">
      <c r="A17" s="928" t="s">
        <v>681</v>
      </c>
      <c r="B17" s="294" t="s">
        <v>716</v>
      </c>
      <c r="C17" s="21">
        <f ca="1">ROUND(F17*(F43+INDIRECT("'数据-取费表'!S"&amp;$G$1))/10000,0)</f>
        <v>260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91</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5134</v>
      </c>
      <c r="D19" s="123" t="s">
        <v>726</v>
      </c>
      <c r="E19" s="1269"/>
      <c r="F19" s="23"/>
      <c r="G19" s="1292"/>
      <c r="H19" s="928" t="s">
        <v>399</v>
      </c>
      <c r="I19" s="294" t="s">
        <v>727</v>
      </c>
      <c r="J19" s="21">
        <f ca="1">IF(K19="按租金收入计税",ROUND(J6*M19/(1+'数据-取费表'!C42),2),ROUND(C29*M19*0.7,2))</f>
        <v>0</v>
      </c>
      <c r="K19" s="1278" t="s">
        <v>3325</v>
      </c>
      <c r="L19" s="294" t="s">
        <v>712</v>
      </c>
      <c r="M19" s="314">
        <f>IF(K19="按租金收入计税",'数据-取费表'!B51,'数据-取费表'!B50)</f>
        <v>0.12</v>
      </c>
    </row>
    <row r="20" spans="1:37" s="1304" customFormat="1" ht="18" customHeight="1">
      <c r="A20" s="928" t="s">
        <v>402</v>
      </c>
      <c r="B20" s="294" t="s">
        <v>728</v>
      </c>
      <c r="C20" s="21">
        <f ca="1">ROUND(C19*F20,0)</f>
        <v>103</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14.09</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210</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3.1899999999999998E-2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-14</v>
      </c>
      <c r="K25" s="1032" t="s">
        <v>753</v>
      </c>
      <c r="L25" s="1033"/>
      <c r="M25" s="1034"/>
    </row>
    <row r="26" spans="1:37">
      <c r="A26" s="928" t="s">
        <v>397</v>
      </c>
      <c r="B26" s="294" t="s">
        <v>754</v>
      </c>
      <c r="C26" s="21">
        <f ca="1">ROUND((C19+C20)*F26,0)</f>
        <v>1047</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7044</v>
      </c>
      <c r="D29" s="1029"/>
      <c r="E29" s="1027"/>
      <c r="F29" s="1030"/>
      <c r="G29" s="1303"/>
      <c r="H29" s="325" t="s">
        <v>396</v>
      </c>
      <c r="I29" s="326" t="s">
        <v>768</v>
      </c>
      <c r="J29" s="327">
        <f ca="1">ROUND(J26/(1+F40)^F41,0)</f>
        <v>0</v>
      </c>
      <c r="K29" s="328" t="s">
        <v>769</v>
      </c>
      <c r="L29" s="329"/>
      <c r="M29" s="330">
        <f ca="1">INDIRECT("'数据-取费表'!k"&amp;$G$1)</f>
        <v>13013.62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209</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179.18</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57.01</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122.17</v>
      </c>
      <c r="D33" s="1278" t="s">
        <v>3325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14.09</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4.93</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10.7</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861</v>
      </c>
      <c r="D39" s="1032" t="s">
        <v>773</v>
      </c>
      <c r="E39" s="1033"/>
      <c r="F39" s="1034"/>
      <c r="G39" s="1292"/>
      <c r="H39" s="2474"/>
      <c r="I39" s="1305"/>
      <c r="J39" s="1306"/>
      <c r="K39" s="2472"/>
      <c r="L39" s="2474"/>
      <c r="M39" s="2474"/>
    </row>
    <row r="40" spans="1:18" ht="18" customHeight="1">
      <c r="A40" s="291" t="s">
        <v>395</v>
      </c>
      <c r="B40" s="292" t="s">
        <v>774</v>
      </c>
      <c r="C40" s="293">
        <f ca="1">ROUND(C39*(1-((1+F42)/(1+F40))^F41)/(F40-F42),0)</f>
        <v>5686</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7.79</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4369</v>
      </c>
      <c r="D43" s="328" t="s">
        <v>777</v>
      </c>
      <c r="E43" s="329" t="s">
        <v>778</v>
      </c>
      <c r="F43" s="330">
        <f ca="1">INDIRECT("'数据-取费表'!k"&amp;$G$1)</f>
        <v>13013.62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-5804</v>
      </c>
      <c r="D46" s="1313" t="str">
        <f>C2</f>
        <v>万元</v>
      </c>
      <c r="E46" s="1307"/>
      <c r="F46" s="1307"/>
      <c r="I46" s="1314" t="s">
        <v>810</v>
      </c>
      <c r="J46" s="1315"/>
      <c r="K46" s="1316"/>
      <c r="L46" s="1317">
        <f ca="1">IF(M47="住宅",0,IF(L48&gt;J51,L60,J60))</f>
        <v>1818</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3445</v>
      </c>
      <c r="K47" s="1323" t="s">
        <v>816</v>
      </c>
      <c r="L47" s="1324">
        <f ca="1">INDIRECT("'数据-取费表'!d"&amp;$G$1)</f>
        <v>40</v>
      </c>
      <c r="M47" s="1288" t="str">
        <f>IF(ISNUMBER(FIND("住宅",C1)),"住宅","非住宅")</f>
        <v>非住宅</v>
      </c>
      <c r="O47" s="1325" t="s">
        <v>403</v>
      </c>
      <c r="P47" s="1326" t="s">
        <v>817</v>
      </c>
      <c r="Q47" s="1327">
        <f ca="1">C40+J29</f>
        <v>5686</v>
      </c>
      <c r="R47" s="1327" t="s">
        <v>818</v>
      </c>
    </row>
    <row r="48" spans="1:18" s="1292" customFormat="1" ht="28.5" thickBot="1">
      <c r="A48" s="1047" t="s">
        <v>438</v>
      </c>
      <c r="B48" s="292" t="s">
        <v>692</v>
      </c>
      <c r="C48" s="1268">
        <f ca="1">C49+C53+C55</f>
        <v>0</v>
      </c>
      <c r="D48" s="1049"/>
      <c r="E48" s="1050"/>
      <c r="F48" s="908"/>
      <c r="G48" s="681"/>
      <c r="H48" s="682"/>
      <c r="I48" s="1328" t="s">
        <v>819</v>
      </c>
      <c r="J48" s="1329" t="s">
        <v>3446</v>
      </c>
      <c r="K48" s="1330" t="s">
        <v>820</v>
      </c>
      <c r="L48" s="1331">
        <f ca="1">INDIRECT("'数据-取费表'!f"&amp;$G$1)</f>
        <v>7.79</v>
      </c>
      <c r="O48" s="1325" t="s">
        <v>404</v>
      </c>
      <c r="P48" s="1326" t="s">
        <v>821</v>
      </c>
      <c r="Q48" s="1327">
        <f ca="1">J60</f>
        <v>1818</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2001</v>
      </c>
      <c r="K49" s="1330" t="s">
        <v>824</v>
      </c>
      <c r="L49" s="1333"/>
      <c r="O49" s="1334" t="s">
        <v>405</v>
      </c>
      <c r="P49" s="1326" t="s">
        <v>825</v>
      </c>
      <c r="Q49" s="1327">
        <f ca="1">C29</f>
        <v>7044</v>
      </c>
      <c r="R49" s="1327" t="s">
        <v>818</v>
      </c>
    </row>
    <row r="50" spans="1:18" s="1292" customFormat="1" ht="13.5" thickBot="1">
      <c r="A50" s="922"/>
      <c r="B50" s="925"/>
      <c r="C50" s="1055"/>
      <c r="D50" s="899"/>
      <c r="E50" s="993" t="s">
        <v>697</v>
      </c>
      <c r="F50" s="994">
        <f ca="1">F7</f>
        <v>13013.62</v>
      </c>
      <c r="H50" s="682"/>
      <c r="I50" s="1328" t="s">
        <v>826</v>
      </c>
      <c r="J50" s="1335">
        <f>SUMPRODUCT((I63:I65=J47)*(J62:L62=J48)*(J63:L65))</f>
        <v>60</v>
      </c>
      <c r="K50" s="1330" t="s">
        <v>827</v>
      </c>
      <c r="L50" s="1333"/>
      <c r="M50" s="1336"/>
      <c r="O50" s="1334" t="s">
        <v>406</v>
      </c>
      <c r="P50" s="1326" t="s">
        <v>828</v>
      </c>
      <c r="Q50" s="1337">
        <f ca="1">J58</f>
        <v>0.47</v>
      </c>
      <c r="R50" s="1327"/>
    </row>
    <row r="51" spans="1:18" s="1292" customFormat="1" ht="13.5" thickBot="1">
      <c r="A51" s="923"/>
      <c r="B51" s="925"/>
      <c r="C51" s="926"/>
      <c r="D51" s="899"/>
      <c r="E51" s="927" t="s">
        <v>698</v>
      </c>
      <c r="F51" s="295">
        <f ca="1">F8</f>
        <v>365</v>
      </c>
      <c r="I51" s="1338" t="s">
        <v>829</v>
      </c>
      <c r="J51" s="1331">
        <f>IF(J49="",J50,J49+J50-YEAR('数据-取费表'!B2))</f>
        <v>36</v>
      </c>
      <c r="K51" s="1339" t="s">
        <v>830</v>
      </c>
      <c r="L51" s="1340">
        <f ca="1">ROUND(-PV(INDIRECT("'数据-取费表'!h"&amp;$G$1),J51,(C39-C13*C76),0),0)</f>
        <v>8535</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7.79</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7.79</v>
      </c>
      <c r="K53" s="3355" t="s">
        <v>837</v>
      </c>
      <c r="L53" s="3356"/>
      <c r="O53" s="1325" t="s">
        <v>409</v>
      </c>
      <c r="P53" s="1326" t="s">
        <v>838</v>
      </c>
      <c r="Q53" s="1327">
        <f ca="1">Q47+Q48</f>
        <v>7504</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0.47</v>
      </c>
      <c r="K55" s="1350" t="s">
        <v>841</v>
      </c>
      <c r="L55" s="1351"/>
      <c r="O55" s="1318" t="s">
        <v>811</v>
      </c>
      <c r="P55" s="1319" t="s">
        <v>812</v>
      </c>
      <c r="Q55" s="1320" t="s">
        <v>813</v>
      </c>
      <c r="R55" s="1320" t="s">
        <v>814</v>
      </c>
    </row>
    <row r="56" spans="1:18" s="1292" customFormat="1" ht="25.5" thickTop="1" thickBot="1">
      <c r="A56" s="903">
        <v>2</v>
      </c>
      <c r="B56" s="904" t="s">
        <v>704</v>
      </c>
      <c r="C56" s="224">
        <f ca="1">C13</f>
        <v>4931</v>
      </c>
      <c r="D56" s="1352"/>
      <c r="E56" s="1353"/>
      <c r="F56" s="1345"/>
      <c r="I56" s="1354" t="s">
        <v>842</v>
      </c>
      <c r="J56" s="1355" t="s">
        <v>3447</v>
      </c>
      <c r="K56" s="1328" t="s">
        <v>843</v>
      </c>
      <c r="L56" s="1331" t="str">
        <f ca="1">IF(L48&lt;J51,"——",L48-J53)</f>
        <v>——</v>
      </c>
      <c r="O56" s="1325" t="s">
        <v>403</v>
      </c>
      <c r="P56" s="1326" t="s">
        <v>817</v>
      </c>
      <c r="Q56" s="1327">
        <f ca="1">C40+J29</f>
        <v>5686</v>
      </c>
      <c r="R56" s="1327" t="s">
        <v>818</v>
      </c>
    </row>
    <row r="57" spans="1:18" s="1292" customFormat="1" ht="24.75" thickBot="1">
      <c r="A57" s="1356"/>
      <c r="B57" s="896" t="s">
        <v>767</v>
      </c>
      <c r="C57" s="230">
        <f ca="1">C29</f>
        <v>7044</v>
      </c>
      <c r="D57" s="1357"/>
      <c r="E57" s="1358"/>
      <c r="F57" s="1359"/>
      <c r="I57" s="1360" t="s">
        <v>844</v>
      </c>
      <c r="J57" s="1361">
        <f ca="1">IF(OR(M47="住宅",J51&lt;L48,J56="是"),"——",J51-L48)</f>
        <v>28.21</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19</v>
      </c>
      <c r="D58" s="906" t="s">
        <v>715</v>
      </c>
      <c r="E58" s="907"/>
      <c r="F58" s="908"/>
      <c r="I58" s="1360" t="s">
        <v>848</v>
      </c>
      <c r="J58" s="1362">
        <f ca="1">IF(J55&lt;0.4,0.4,J55)</f>
        <v>0.47</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3311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1818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f ca="1">Q56+Q57</f>
        <v>5686</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14.09</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4.93</v>
      </c>
      <c r="D65" s="910" t="s">
        <v>743</v>
      </c>
      <c r="E65" s="896" t="s">
        <v>744</v>
      </c>
      <c r="F65" s="321">
        <f t="shared" ca="1" si="0"/>
        <v>1E-3</v>
      </c>
      <c r="I65" s="1367" t="s">
        <v>867</v>
      </c>
      <c r="J65" s="610">
        <v>40</v>
      </c>
      <c r="K65" s="610">
        <v>30</v>
      </c>
      <c r="L65" s="610">
        <v>50</v>
      </c>
      <c r="M65" s="1369">
        <v>0.02</v>
      </c>
      <c r="O65" s="1325" t="s">
        <v>403</v>
      </c>
      <c r="P65" s="1326" t="s">
        <v>868</v>
      </c>
      <c r="Q65" s="1327">
        <f ca="1">C40+J29</f>
        <v>5686</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-19</v>
      </c>
      <c r="D67" s="909" t="s">
        <v>753</v>
      </c>
      <c r="E67" s="914"/>
      <c r="F67" s="915"/>
      <c r="O67" s="1334" t="s">
        <v>405</v>
      </c>
      <c r="P67" s="1326" t="s">
        <v>850</v>
      </c>
      <c r="Q67" s="1370">
        <f ca="1">L51</f>
        <v>8535</v>
      </c>
      <c r="R67" s="1327" t="s">
        <v>870</v>
      </c>
    </row>
    <row r="68" spans="1:18" s="1292" customFormat="1" ht="16.5" thickBot="1">
      <c r="A68" s="893" t="s">
        <v>395</v>
      </c>
      <c r="B68" s="894" t="s">
        <v>774</v>
      </c>
      <c r="C68" s="293">
        <f ca="1">ROUND(C67*(1-((1+F70)/(1+F68))^F69)/(F68-F70),0)</f>
        <v>-118</v>
      </c>
      <c r="D68" s="911" t="s">
        <v>758</v>
      </c>
      <c r="E68" s="896" t="s">
        <v>759</v>
      </c>
      <c r="F68" s="304">
        <f ca="1">F40</f>
        <v>5.5E-2</v>
      </c>
      <c r="O68" s="1334" t="s">
        <v>406</v>
      </c>
      <c r="P68" s="1371" t="s">
        <v>871</v>
      </c>
      <c r="Q68" s="1327">
        <f ca="1">ROUND(Q69-Q70*Q71,0)</f>
        <v>516</v>
      </c>
      <c r="R68" s="1327" t="s">
        <v>414</v>
      </c>
    </row>
    <row r="69" spans="1:18" s="1292" customFormat="1" ht="13.5" thickBot="1">
      <c r="A69" s="897"/>
      <c r="B69" s="898"/>
      <c r="C69" s="298"/>
      <c r="D69" s="916" t="s">
        <v>762</v>
      </c>
      <c r="E69" s="896" t="s">
        <v>763</v>
      </c>
      <c r="F69" s="324">
        <f ca="1">F41</f>
        <v>7.79</v>
      </c>
      <c r="O69" s="1334" t="s">
        <v>411</v>
      </c>
      <c r="P69" s="1371" t="s">
        <v>872</v>
      </c>
      <c r="Q69" s="1327">
        <f ca="1">C39</f>
        <v>861</v>
      </c>
      <c r="R69" s="1327" t="s">
        <v>818</v>
      </c>
    </row>
    <row r="70" spans="1:18" s="1292" customFormat="1" ht="13.5" thickBot="1">
      <c r="A70" s="900"/>
      <c r="B70" s="901"/>
      <c r="C70" s="302"/>
      <c r="D70" s="912"/>
      <c r="E70" s="896" t="s">
        <v>766</v>
      </c>
      <c r="F70" s="991"/>
      <c r="O70" s="1334" t="s">
        <v>412</v>
      </c>
      <c r="P70" s="1371" t="s">
        <v>873</v>
      </c>
      <c r="Q70" s="1327">
        <f ca="1">C13</f>
        <v>4931</v>
      </c>
      <c r="R70" s="1327" t="s">
        <v>818</v>
      </c>
    </row>
    <row r="71" spans="1:18" s="1292" customFormat="1" ht="13.5" thickBot="1">
      <c r="A71" s="917" t="s">
        <v>396</v>
      </c>
      <c r="B71" s="918" t="s">
        <v>776</v>
      </c>
      <c r="C71" s="327">
        <f ca="1">ROUND(C68*10000/F71,0)</f>
        <v>-91</v>
      </c>
      <c r="D71" s="919" t="s">
        <v>777</v>
      </c>
      <c r="E71" s="920" t="s">
        <v>778</v>
      </c>
      <c r="F71" s="330">
        <f ca="1">F43</f>
        <v>13013.62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345</v>
      </c>
      <c r="D75" s="1292"/>
      <c r="E75" s="1292"/>
      <c r="F75" s="1292"/>
      <c r="K75" s="1309"/>
      <c r="L75" s="1292"/>
      <c r="O75" s="1325" t="s">
        <v>409</v>
      </c>
      <c r="P75" s="1326" t="s">
        <v>838</v>
      </c>
      <c r="Q75" s="1327">
        <f ca="1">Q65+Q66</f>
        <v>5686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0.59899999999999998</v>
      </c>
    </row>
    <row r="80" spans="1:18">
      <c r="B80" s="331" t="s">
        <v>800</v>
      </c>
      <c r="C80" s="266">
        <f ca="1">ROUND(C75/C39,3)</f>
        <v>0.40100000000000002</v>
      </c>
    </row>
    <row r="81" spans="2:3">
      <c r="B81" s="262" t="s">
        <v>801</v>
      </c>
      <c r="C81" s="230"/>
    </row>
    <row r="82" spans="2:3">
      <c r="B82" s="265" t="s">
        <v>802</v>
      </c>
      <c r="C82" s="267">
        <f ca="1">1-C83</f>
        <v>0.13300000000000001</v>
      </c>
    </row>
    <row r="83" spans="2:3">
      <c r="B83" s="265" t="s">
        <v>803</v>
      </c>
      <c r="C83" s="266">
        <f ca="1">ROUND(C13/C40,3)</f>
        <v>0.86699999999999999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7" t="s">
        <v>694</v>
      </c>
      <c r="C6" s="1011">
        <f ca="1">ROUND(F6*F8*F7*(1-F9),0)</f>
        <v>0</v>
      </c>
      <c r="D6" s="147" t="s">
        <v>2106</v>
      </c>
      <c r="E6" s="294" t="s">
        <v>696</v>
      </c>
      <c r="F6" s="295">
        <f ca="1">INDIRECT("'数据-取费表'!u"&amp;$G$1)</f>
        <v>0</v>
      </c>
      <c r="G6" s="1292"/>
      <c r="H6" s="1006" t="s">
        <v>398</v>
      </c>
      <c r="I6" s="3357" t="s">
        <v>694</v>
      </c>
      <c r="J6" s="293">
        <f ca="1">ROUND(M6*M8*M7*(1-M9),0)</f>
        <v>0</v>
      </c>
      <c r="K6" s="1284" t="s">
        <v>2107</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0</v>
      </c>
      <c r="G7" s="1292"/>
      <c r="H7" s="296"/>
      <c r="I7" s="3358"/>
      <c r="J7" s="298"/>
      <c r="K7" s="299"/>
      <c r="L7" s="294" t="s">
        <v>697</v>
      </c>
      <c r="M7" s="295">
        <f ca="1">F7</f>
        <v>0</v>
      </c>
    </row>
    <row r="8" spans="1:37" ht="18" customHeight="1">
      <c r="A8" s="296"/>
      <c r="B8" s="3358"/>
      <c r="C8" s="298"/>
      <c r="D8" s="299"/>
      <c r="E8" s="294" t="s">
        <v>698</v>
      </c>
      <c r="F8" s="295">
        <f ca="1">INDIRECT("'数据-取费表'!ai"&amp;$G$1)</f>
        <v>0</v>
      </c>
      <c r="G8" s="1292"/>
      <c r="H8" s="296"/>
      <c r="I8" s="3358"/>
      <c r="J8" s="298"/>
      <c r="K8" s="299"/>
      <c r="L8" s="294" t="s">
        <v>698</v>
      </c>
      <c r="M8" s="295">
        <f ca="1">INDIRECT("'数据-取费表'!ai"&amp;$G$1)</f>
        <v>0</v>
      </c>
    </row>
    <row r="9" spans="1:37" ht="18" customHeight="1">
      <c r="A9" s="296"/>
      <c r="B9" s="3359"/>
      <c r="C9" s="298"/>
      <c r="D9" s="299"/>
      <c r="E9" s="294" t="s">
        <v>699</v>
      </c>
      <c r="F9" s="304">
        <f ca="1">INDIRECT("'数据-取费表'!w"&amp;$G$1)</f>
        <v>0</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3.1899999999999998E-2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3341</v>
      </c>
      <c r="B45" s="1307"/>
      <c r="C45" s="1376" t="e">
        <f ca="1">ROUND((C68-C40)/10000,4)</f>
        <v>#DIV/0!</v>
      </c>
      <c r="D45" s="3131" t="s">
        <v>3342</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5" t="s">
        <v>837</v>
      </c>
      <c r="L53" s="3356"/>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3348</v>
      </c>
      <c r="E2" s="3140"/>
      <c r="F2" s="2598"/>
      <c r="G2" s="2599"/>
      <c r="H2" s="2600"/>
      <c r="I2" s="2601"/>
      <c r="J2" s="3366" t="s">
        <v>2308</v>
      </c>
      <c r="K2" s="3367"/>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68" t="s">
        <v>2318</v>
      </c>
      <c r="K3" s="3369"/>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68" t="s">
        <v>2320</v>
      </c>
      <c r="K4" s="3369"/>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74" t="s">
        <v>2324</v>
      </c>
      <c r="B6" s="3375"/>
      <c r="C6" s="3376"/>
      <c r="D6" s="2622"/>
      <c r="E6" s="2623"/>
      <c r="F6" s="2624"/>
      <c r="G6" s="2625"/>
      <c r="H6" s="2600"/>
      <c r="I6" s="2601"/>
      <c r="J6" s="3360">
        <v>1</v>
      </c>
      <c r="K6" s="3361"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60"/>
      <c r="K7" s="3362"/>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77" t="s">
        <v>2338</v>
      </c>
      <c r="C8" s="3378"/>
      <c r="D8" s="2641" t="s">
        <v>2339</v>
      </c>
      <c r="E8" s="2642" t="s">
        <v>2340</v>
      </c>
      <c r="F8" s="2643" t="s">
        <v>2341</v>
      </c>
      <c r="G8" s="2644"/>
      <c r="H8" s="2600"/>
      <c r="I8" s="2601"/>
      <c r="J8" s="3360"/>
      <c r="K8" s="3362"/>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77" t="s">
        <v>2344</v>
      </c>
      <c r="C9" s="3378"/>
      <c r="D9" s="2641">
        <f>ROUND(D6*E9,0)</f>
        <v>0</v>
      </c>
      <c r="E9" s="2645"/>
      <c r="F9" s="2646" t="s">
        <v>2345</v>
      </c>
      <c r="G9" s="2625"/>
      <c r="H9" s="2600"/>
      <c r="I9" s="2601"/>
      <c r="J9" s="3360"/>
      <c r="K9" s="3362"/>
      <c r="L9" s="2635" t="s">
        <v>2346</v>
      </c>
      <c r="M9" s="2636"/>
      <c r="N9" s="2612"/>
      <c r="O9" s="2637"/>
      <c r="P9" s="2637"/>
      <c r="Q9" s="2638">
        <v>365</v>
      </c>
      <c r="R9" s="2639">
        <f t="shared" si="0"/>
        <v>0</v>
      </c>
      <c r="S9" s="2593"/>
      <c r="T9" s="2593"/>
      <c r="U9" s="2593"/>
      <c r="V9" s="2601"/>
    </row>
    <row r="10" spans="1:22" s="2605" customFormat="1" ht="13.15" customHeight="1">
      <c r="A10" s="2640">
        <v>2</v>
      </c>
      <c r="B10" s="3377" t="s">
        <v>2347</v>
      </c>
      <c r="C10" s="3378"/>
      <c r="D10" s="2641">
        <f>ROUND(D6*E10,0)</f>
        <v>0</v>
      </c>
      <c r="E10" s="2645"/>
      <c r="F10" s="2646" t="s">
        <v>2348</v>
      </c>
      <c r="G10" s="2625"/>
      <c r="H10" s="2600"/>
      <c r="I10" s="2601"/>
      <c r="J10" s="3360"/>
      <c r="K10" s="3362"/>
      <c r="L10" s="2635" t="s">
        <v>2349</v>
      </c>
      <c r="M10" s="2636"/>
      <c r="N10" s="2612"/>
      <c r="O10" s="2637"/>
      <c r="P10" s="2637"/>
      <c r="Q10" s="2638">
        <v>365</v>
      </c>
      <c r="R10" s="2639">
        <f t="shared" si="0"/>
        <v>0</v>
      </c>
      <c r="S10" s="2593"/>
      <c r="T10" s="2593"/>
      <c r="U10" s="2593"/>
      <c r="V10" s="2601"/>
    </row>
    <row r="11" spans="1:22" s="2605" customFormat="1" ht="13.15" customHeight="1">
      <c r="A11" s="2640">
        <v>3</v>
      </c>
      <c r="B11" s="3377" t="s">
        <v>2350</v>
      </c>
      <c r="C11" s="3378"/>
      <c r="D11" s="2641">
        <f>D12+D14+D15+D16</f>
        <v>0</v>
      </c>
      <c r="E11" s="2647" t="e">
        <f>D11/D6</f>
        <v>#DIV/0!</v>
      </c>
      <c r="F11" s="2643"/>
      <c r="G11" s="2644"/>
      <c r="H11" s="2600"/>
      <c r="I11" s="2601"/>
      <c r="J11" s="3360"/>
      <c r="K11" s="3362"/>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70" t="s">
        <v>2353</v>
      </c>
      <c r="C12" s="3371"/>
      <c r="D12" s="2649">
        <f>ROUND(D13*1.2%*(1-30%),0)</f>
        <v>0</v>
      </c>
      <c r="E12" s="2650">
        <v>1.2E-2</v>
      </c>
      <c r="F12" s="2643" t="s">
        <v>2354</v>
      </c>
      <c r="G12" s="2644"/>
      <c r="H12" s="2600"/>
      <c r="I12" s="2601"/>
      <c r="J12" s="3360"/>
      <c r="K12" s="3362"/>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60"/>
      <c r="K13" s="3362"/>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70" t="s">
        <v>2359</v>
      </c>
      <c r="C14" s="3371"/>
      <c r="D14" s="2649">
        <f>ROUND(E14*B5/10000,0)</f>
        <v>0</v>
      </c>
      <c r="E14" s="2638"/>
      <c r="F14" s="2643" t="s">
        <v>2360</v>
      </c>
      <c r="G14" s="2644"/>
      <c r="H14" s="2600"/>
      <c r="I14" s="2601"/>
      <c r="J14" s="3360"/>
      <c r="K14" s="3363"/>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70" t="s">
        <v>2363</v>
      </c>
      <c r="C15" s="3371"/>
      <c r="D15" s="2649">
        <f>ROUND(D6*E15,0)</f>
        <v>0</v>
      </c>
      <c r="E15" s="2650">
        <v>5.5E-2</v>
      </c>
      <c r="F15" s="2643" t="s">
        <v>2364</v>
      </c>
      <c r="G15" s="2625"/>
      <c r="H15" s="2600"/>
      <c r="I15" s="2601"/>
      <c r="J15" s="3360">
        <v>2</v>
      </c>
      <c r="K15" s="3361"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70" t="s">
        <v>2372</v>
      </c>
      <c r="C16" s="3371"/>
      <c r="D16" s="2660">
        <f>D6*E16</f>
        <v>0</v>
      </c>
      <c r="E16" s="2661"/>
      <c r="F16" s="2646" t="s">
        <v>2373</v>
      </c>
      <c r="G16" s="2625"/>
      <c r="H16" s="2600"/>
      <c r="I16" s="2601"/>
      <c r="J16" s="3360"/>
      <c r="K16" s="3362"/>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72" t="s">
        <v>2375</v>
      </c>
      <c r="C17" s="3373"/>
      <c r="D17" s="2663">
        <f>ROUND(D6*E17,0)</f>
        <v>0</v>
      </c>
      <c r="E17" s="2664"/>
      <c r="F17" s="2665" t="s">
        <v>2376</v>
      </c>
      <c r="G17" s="2625"/>
      <c r="H17" s="2600"/>
      <c r="I17" s="2601"/>
      <c r="J17" s="3360"/>
      <c r="K17" s="3362"/>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60"/>
      <c r="K18" s="3362"/>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60"/>
      <c r="K19" s="3363"/>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0">
        <v>3</v>
      </c>
      <c r="K20" s="3361"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60"/>
      <c r="K21" s="3362"/>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60"/>
      <c r="K22" s="3362"/>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60"/>
      <c r="K23" s="3362"/>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60"/>
      <c r="K24" s="3363"/>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64">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6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66" t="s">
        <v>2308</v>
      </c>
      <c r="K32" s="3367"/>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68" t="s">
        <v>2318</v>
      </c>
      <c r="K33" s="3369"/>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68" t="s">
        <v>2320</v>
      </c>
      <c r="K34" s="3369"/>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60">
        <v>1</v>
      </c>
      <c r="K36" s="3361"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60"/>
      <c r="K37" s="3362"/>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0"/>
      <c r="K38" s="3362"/>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60"/>
      <c r="K39" s="3362"/>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60"/>
      <c r="K40" s="3363"/>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64">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6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7504</v>
      </c>
      <c r="C2" s="1729" t="s">
        <v>1651</v>
      </c>
      <c r="D2" s="1730" t="s">
        <v>1652</v>
      </c>
      <c r="E2" s="2393">
        <f>SUM(E6:E13)</f>
        <v>13013.62</v>
      </c>
      <c r="F2" s="2480"/>
      <c r="G2" s="459"/>
      <c r="H2" s="459"/>
      <c r="I2" s="459"/>
      <c r="J2" s="459"/>
      <c r="K2" s="459"/>
      <c r="L2" s="459"/>
      <c r="M2" s="459"/>
      <c r="N2" s="459"/>
      <c r="O2" s="459"/>
      <c r="P2" s="459"/>
      <c r="Q2" s="459"/>
      <c r="R2" s="459"/>
      <c r="S2" s="459"/>
    </row>
    <row r="3" spans="1:22" ht="15.75">
      <c r="A3" s="1728" t="s">
        <v>686</v>
      </c>
      <c r="B3" s="2387">
        <f ca="1">ROUND(B2*10000/E2,0)</f>
        <v>5766</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9" t="s">
        <v>1654</v>
      </c>
      <c r="C5" s="3380"/>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7504</v>
      </c>
      <c r="C6" s="1729" t="s">
        <v>1651</v>
      </c>
      <c r="D6" s="2480"/>
      <c r="E6" s="2392">
        <f>IF(OR(A6=0,F6="否"),0,'数据-取费表'!K6+'数据-取费表'!S6)</f>
        <v>13013.62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13013.62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9" t="s">
        <v>1667</v>
      </c>
      <c r="D4" s="3400"/>
      <c r="E4" s="3401" t="s">
        <v>1668</v>
      </c>
      <c r="F4" s="3402"/>
      <c r="G4" s="3399" t="s">
        <v>1669</v>
      </c>
      <c r="H4" s="3400"/>
      <c r="I4" s="3399" t="s">
        <v>1670</v>
      </c>
      <c r="J4" s="3400"/>
      <c r="K4" s="1744" t="s">
        <v>1671</v>
      </c>
      <c r="L4" s="2487"/>
      <c r="M4" s="2488"/>
      <c r="N4" s="2488"/>
      <c r="O4" s="2488"/>
      <c r="P4" s="3403" t="s">
        <v>1672</v>
      </c>
      <c r="Q4" s="3404"/>
      <c r="R4" s="3409" t="s">
        <v>1668</v>
      </c>
      <c r="S4" s="3410"/>
      <c r="T4" s="3409" t="s">
        <v>1669</v>
      </c>
      <c r="U4" s="3410"/>
      <c r="V4" s="3385" t="s">
        <v>1670</v>
      </c>
      <c r="W4" s="3385"/>
      <c r="X4" s="1265"/>
      <c r="Y4" s="3409" t="s">
        <v>1672</v>
      </c>
      <c r="Z4" s="3410"/>
      <c r="AA4" s="3396" t="s">
        <v>1668</v>
      </c>
      <c r="AB4" s="3396" t="s">
        <v>1669</v>
      </c>
      <c r="AC4" s="3396" t="s">
        <v>1670</v>
      </c>
    </row>
    <row r="5" spans="1:29" ht="15">
      <c r="A5" s="348"/>
      <c r="B5" s="349"/>
      <c r="C5" s="3417" t="s">
        <v>1673</v>
      </c>
      <c r="D5" s="3418"/>
      <c r="E5" s="3424" t="s">
        <v>1674</v>
      </c>
      <c r="F5" s="3425"/>
      <c r="G5" s="3417" t="s">
        <v>1675</v>
      </c>
      <c r="H5" s="3418"/>
      <c r="I5" s="3417" t="s">
        <v>1676</v>
      </c>
      <c r="J5" s="3418"/>
      <c r="K5" s="1745"/>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1745"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45902</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9" t="s">
        <v>1680</v>
      </c>
      <c r="Q7" s="3421"/>
      <c r="R7" s="664" t="s">
        <v>20</v>
      </c>
      <c r="S7" s="665">
        <f t="shared" ref="S7:S15" si="0">F7</f>
        <v>0</v>
      </c>
      <c r="T7" s="664" t="s">
        <v>20</v>
      </c>
      <c r="U7" s="665">
        <f t="shared" ref="U7:U15" si="1">H7</f>
        <v>0</v>
      </c>
      <c r="V7" s="664" t="s">
        <v>20</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9" t="s">
        <v>1683</v>
      </c>
      <c r="Q8" s="3420"/>
      <c r="R8" s="664" t="s">
        <v>20</v>
      </c>
      <c r="S8" s="665">
        <f t="shared" si="0"/>
        <v>100</v>
      </c>
      <c r="T8" s="664" t="s">
        <v>20</v>
      </c>
      <c r="U8" s="665">
        <f t="shared" si="1"/>
        <v>100</v>
      </c>
      <c r="V8" s="664" t="s">
        <v>20</v>
      </c>
      <c r="W8" s="665">
        <f t="shared" si="2"/>
        <v>100</v>
      </c>
      <c r="X8" s="666"/>
      <c r="Y8" s="3419" t="s">
        <v>1683</v>
      </c>
      <c r="Z8" s="342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5"/>
      <c r="Q11" s="530" t="str">
        <f t="shared" si="6"/>
        <v>容积率</v>
      </c>
      <c r="R11" s="664" t="s">
        <v>18</v>
      </c>
      <c r="S11" s="665" t="e">
        <f t="shared" si="0"/>
        <v>#N/A</v>
      </c>
      <c r="T11" s="664" t="s">
        <v>18</v>
      </c>
      <c r="U11" s="665" t="e">
        <f t="shared" si="1"/>
        <v>#N/A</v>
      </c>
      <c r="V11" s="664" t="s">
        <v>18</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5"/>
      <c r="Q12" s="530">
        <f t="shared" si="6"/>
        <v>111</v>
      </c>
      <c r="R12" s="664" t="s">
        <v>18</v>
      </c>
      <c r="S12" s="665">
        <f t="shared" si="0"/>
        <v>100</v>
      </c>
      <c r="T12" s="664" t="s">
        <v>18</v>
      </c>
      <c r="U12" s="665">
        <f t="shared" si="1"/>
        <v>100</v>
      </c>
      <c r="V12" s="664" t="s">
        <v>18</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5"/>
      <c r="Q13" s="530">
        <f t="shared" si="6"/>
        <v>111</v>
      </c>
      <c r="R13" s="664" t="s">
        <v>18</v>
      </c>
      <c r="S13" s="665">
        <f t="shared" si="0"/>
        <v>100</v>
      </c>
      <c r="T13" s="664" t="s">
        <v>18</v>
      </c>
      <c r="U13" s="665">
        <f t="shared" si="1"/>
        <v>100</v>
      </c>
      <c r="V13" s="664" t="s">
        <v>18</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5"/>
      <c r="Q14" s="530">
        <f t="shared" si="6"/>
        <v>111</v>
      </c>
      <c r="R14" s="664" t="s">
        <v>18</v>
      </c>
      <c r="S14" s="665">
        <f t="shared" si="0"/>
        <v>100</v>
      </c>
      <c r="T14" s="664" t="s">
        <v>18</v>
      </c>
      <c r="U14" s="665">
        <f t="shared" si="1"/>
        <v>100</v>
      </c>
      <c r="V14" s="664" t="s">
        <v>18</v>
      </c>
      <c r="W14" s="665">
        <f t="shared" si="2"/>
        <v>100</v>
      </c>
      <c r="X14" s="666"/>
      <c r="Y14" s="3259"/>
      <c r="Z14" s="50">
        <f t="shared" si="7"/>
        <v>111</v>
      </c>
      <c r="AA14" s="50">
        <f t="shared" si="3"/>
        <v>1</v>
      </c>
      <c r="AB14" s="50">
        <f t="shared" si="4"/>
        <v>1</v>
      </c>
      <c r="AC14" s="50">
        <f t="shared" si="5"/>
        <v>1</v>
      </c>
    </row>
    <row r="15" spans="1:29" ht="85.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3" t="s">
        <v>1691</v>
      </c>
      <c r="Q15" s="1263" t="str">
        <f t="shared" si="6"/>
        <v>居住社区成熟度</v>
      </c>
      <c r="R15" s="667" t="s">
        <v>18</v>
      </c>
      <c r="S15" s="668">
        <f t="shared" si="0"/>
        <v>100</v>
      </c>
      <c r="T15" s="667" t="s">
        <v>18</v>
      </c>
      <c r="U15" s="668">
        <f t="shared" si="1"/>
        <v>100</v>
      </c>
      <c r="V15" s="667" t="s">
        <v>18</v>
      </c>
      <c r="W15" s="668">
        <f t="shared" si="2"/>
        <v>100</v>
      </c>
      <c r="X15" s="1265"/>
      <c r="Y15" s="338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4"/>
      <c r="Q16" s="1263"/>
      <c r="R16" s="667"/>
      <c r="S16" s="668"/>
      <c r="T16" s="667"/>
      <c r="U16" s="668"/>
      <c r="V16" s="667"/>
      <c r="W16" s="668"/>
      <c r="X16" s="1265"/>
      <c r="Y16" s="3387"/>
      <c r="Z16" s="1264"/>
      <c r="AA16" s="1264">
        <v>1</v>
      </c>
      <c r="AB16" s="1264">
        <v>1</v>
      </c>
      <c r="AC16" s="1264">
        <v>1</v>
      </c>
    </row>
    <row r="17" spans="1:29" ht="71.2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4"/>
      <c r="Q17" s="1263" t="str">
        <f>B17</f>
        <v>交通便捷度</v>
      </c>
      <c r="R17" s="667" t="s">
        <v>18</v>
      </c>
      <c r="S17" s="668">
        <f>F17</f>
        <v>100</v>
      </c>
      <c r="T17" s="667" t="s">
        <v>18</v>
      </c>
      <c r="U17" s="668">
        <f>H17</f>
        <v>100</v>
      </c>
      <c r="V17" s="667" t="s">
        <v>18</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4"/>
      <c r="Q18" s="1263"/>
      <c r="R18" s="667"/>
      <c r="S18" s="668"/>
      <c r="T18" s="667"/>
      <c r="U18" s="668"/>
      <c r="V18" s="667"/>
      <c r="W18" s="668"/>
      <c r="X18" s="1265"/>
      <c r="Y18" s="3387"/>
      <c r="Z18" s="1264"/>
      <c r="AA18" s="1264">
        <v>1</v>
      </c>
      <c r="AB18" s="1264">
        <v>1</v>
      </c>
      <c r="AC18" s="1264">
        <v>1</v>
      </c>
    </row>
    <row r="19" spans="1:29" ht="42.7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4"/>
      <c r="Q19" s="1263" t="str">
        <f>B19</f>
        <v>公共配套设施</v>
      </c>
      <c r="R19" s="667" t="s">
        <v>18</v>
      </c>
      <c r="S19" s="668">
        <f>F19</f>
        <v>100</v>
      </c>
      <c r="T19" s="667" t="s">
        <v>18</v>
      </c>
      <c r="U19" s="668">
        <f>H19</f>
        <v>100</v>
      </c>
      <c r="V19" s="667" t="s">
        <v>18</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4"/>
      <c r="Q20" s="1263"/>
      <c r="R20" s="667"/>
      <c r="S20" s="668"/>
      <c r="T20" s="667"/>
      <c r="U20" s="668"/>
      <c r="V20" s="667"/>
      <c r="W20" s="668"/>
      <c r="X20" s="1265"/>
      <c r="Y20" s="3387"/>
      <c r="Z20" s="1264"/>
      <c r="AA20" s="1264">
        <v>1</v>
      </c>
      <c r="AB20" s="1264">
        <v>1</v>
      </c>
      <c r="AC20" s="1264">
        <v>1</v>
      </c>
    </row>
    <row r="21" spans="1:29" ht="28.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4"/>
      <c r="Q22" s="1263"/>
      <c r="R22" s="667"/>
      <c r="S22" s="668"/>
      <c r="T22" s="667"/>
      <c r="U22" s="668"/>
      <c r="V22" s="667"/>
      <c r="W22" s="668"/>
      <c r="X22" s="1265"/>
      <c r="Y22" s="3387"/>
      <c r="Z22" s="1264"/>
      <c r="AA22" s="1264">
        <v>1</v>
      </c>
      <c r="AB22" s="1264">
        <v>1</v>
      </c>
      <c r="AC22" s="1264">
        <v>1</v>
      </c>
    </row>
    <row r="23" spans="1:29" ht="42.7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4"/>
      <c r="Q23" s="1263" t="str">
        <f>B23</f>
        <v>自然及人文环境</v>
      </c>
      <c r="R23" s="667" t="s">
        <v>18</v>
      </c>
      <c r="S23" s="668">
        <f>F23</f>
        <v>100</v>
      </c>
      <c r="T23" s="667" t="s">
        <v>18</v>
      </c>
      <c r="U23" s="668">
        <f>H23</f>
        <v>100</v>
      </c>
      <c r="V23" s="667" t="s">
        <v>18</v>
      </c>
      <c r="W23" s="668">
        <f>J23</f>
        <v>100</v>
      </c>
      <c r="X23" s="1265"/>
      <c r="Y23" s="338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4"/>
      <c r="Q24" s="1263"/>
      <c r="R24" s="667"/>
      <c r="S24" s="668"/>
      <c r="T24" s="667"/>
      <c r="U24" s="668"/>
      <c r="V24" s="667"/>
      <c r="W24" s="668"/>
      <c r="X24" s="1265"/>
      <c r="Y24" s="338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4"/>
      <c r="Q26" s="1263" t="str">
        <f t="shared" si="11"/>
        <v>朝向</v>
      </c>
      <c r="R26" s="667" t="s">
        <v>18</v>
      </c>
      <c r="S26" s="668">
        <f t="shared" si="12"/>
        <v>100</v>
      </c>
      <c r="T26" s="667" t="s">
        <v>18</v>
      </c>
      <c r="U26" s="668">
        <f t="shared" si="13"/>
        <v>100</v>
      </c>
      <c r="V26" s="667" t="s">
        <v>18</v>
      </c>
      <c r="W26" s="668">
        <f t="shared" si="14"/>
        <v>100</v>
      </c>
      <c r="X26" s="1265"/>
      <c r="Y26" s="338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4"/>
      <c r="Q27" s="530">
        <f t="shared" si="11"/>
        <v>111</v>
      </c>
      <c r="R27" s="664" t="s">
        <v>18</v>
      </c>
      <c r="S27" s="665">
        <f t="shared" si="12"/>
        <v>100</v>
      </c>
      <c r="T27" s="664" t="s">
        <v>18</v>
      </c>
      <c r="U27" s="665">
        <f t="shared" si="13"/>
        <v>100</v>
      </c>
      <c r="V27" s="664" t="s">
        <v>18</v>
      </c>
      <c r="W27" s="665">
        <f t="shared" si="14"/>
        <v>100</v>
      </c>
      <c r="X27" s="666"/>
      <c r="Y27" s="338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4"/>
      <c r="Q28" s="1263">
        <f t="shared" si="11"/>
        <v>111</v>
      </c>
      <c r="R28" s="667" t="s">
        <v>18</v>
      </c>
      <c r="S28" s="668">
        <f t="shared" si="12"/>
        <v>100</v>
      </c>
      <c r="T28" s="667" t="s">
        <v>18</v>
      </c>
      <c r="U28" s="668">
        <f t="shared" si="13"/>
        <v>100</v>
      </c>
      <c r="V28" s="667" t="s">
        <v>18</v>
      </c>
      <c r="W28" s="668">
        <f t="shared" si="14"/>
        <v>100</v>
      </c>
      <c r="X28" s="1265"/>
      <c r="Y28" s="338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4"/>
      <c r="Q29" s="1263">
        <f t="shared" si="11"/>
        <v>111</v>
      </c>
      <c r="R29" s="667" t="s">
        <v>18</v>
      </c>
      <c r="S29" s="668">
        <f t="shared" si="12"/>
        <v>100</v>
      </c>
      <c r="T29" s="667" t="s">
        <v>18</v>
      </c>
      <c r="U29" s="668">
        <f t="shared" si="13"/>
        <v>100</v>
      </c>
      <c r="V29" s="667" t="s">
        <v>18</v>
      </c>
      <c r="W29" s="668">
        <f t="shared" si="14"/>
        <v>100</v>
      </c>
      <c r="X29" s="1265"/>
      <c r="Y29" s="338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4"/>
      <c r="Q30" s="1263">
        <f t="shared" si="11"/>
        <v>111</v>
      </c>
      <c r="R30" s="667" t="s">
        <v>18</v>
      </c>
      <c r="S30" s="668">
        <f t="shared" si="12"/>
        <v>100</v>
      </c>
      <c r="T30" s="667" t="s">
        <v>18</v>
      </c>
      <c r="U30" s="668">
        <f t="shared" si="13"/>
        <v>100</v>
      </c>
      <c r="V30" s="667" t="s">
        <v>18</v>
      </c>
      <c r="W30" s="668">
        <f t="shared" si="14"/>
        <v>100</v>
      </c>
      <c r="X30" s="1265"/>
      <c r="Y30" s="338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4"/>
      <c r="Q31" s="1263">
        <f t="shared" si="11"/>
        <v>111</v>
      </c>
      <c r="R31" s="667" t="s">
        <v>18</v>
      </c>
      <c r="S31" s="668">
        <f t="shared" si="12"/>
        <v>100</v>
      </c>
      <c r="T31" s="667" t="s">
        <v>18</v>
      </c>
      <c r="U31" s="668">
        <f t="shared" si="13"/>
        <v>100</v>
      </c>
      <c r="V31" s="667" t="s">
        <v>18</v>
      </c>
      <c r="W31" s="668">
        <f t="shared" si="14"/>
        <v>100</v>
      </c>
      <c r="X31" s="1265"/>
      <c r="Y31" s="338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8" t="s">
        <v>1696</v>
      </c>
      <c r="Q32" s="1263" t="str">
        <f t="shared" si="11"/>
        <v>建筑类型</v>
      </c>
      <c r="R32" s="667" t="s">
        <v>18</v>
      </c>
      <c r="S32" s="668">
        <f t="shared" si="12"/>
        <v>100</v>
      </c>
      <c r="T32" s="667" t="s">
        <v>18</v>
      </c>
      <c r="U32" s="668">
        <f t="shared" si="13"/>
        <v>100</v>
      </c>
      <c r="V32" s="667" t="s">
        <v>18</v>
      </c>
      <c r="W32" s="668">
        <f t="shared" si="14"/>
        <v>100</v>
      </c>
      <c r="X32" s="1265"/>
      <c r="Y32" s="339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9"/>
      <c r="Q33" s="531" t="str">
        <f t="shared" si="11"/>
        <v>项目建筑规模</v>
      </c>
      <c r="R33" s="669" t="s">
        <v>18</v>
      </c>
      <c r="S33" s="670" t="e">
        <f t="shared" si="12"/>
        <v>#N/A</v>
      </c>
      <c r="T33" s="669" t="s">
        <v>18</v>
      </c>
      <c r="U33" s="670" t="e">
        <f t="shared" si="13"/>
        <v>#N/A</v>
      </c>
      <c r="V33" s="669" t="s">
        <v>18</v>
      </c>
      <c r="W33" s="670" t="e">
        <f t="shared" si="14"/>
        <v>#N/A</v>
      </c>
      <c r="X33" s="671"/>
      <c r="Y33" s="339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9"/>
      <c r="Q34" s="1263" t="str">
        <f t="shared" si="11"/>
        <v>建筑结构</v>
      </c>
      <c r="R34" s="667" t="s">
        <v>18</v>
      </c>
      <c r="S34" s="668">
        <f t="shared" si="12"/>
        <v>100</v>
      </c>
      <c r="T34" s="667" t="s">
        <v>18</v>
      </c>
      <c r="U34" s="668">
        <f t="shared" si="13"/>
        <v>100</v>
      </c>
      <c r="V34" s="667" t="s">
        <v>18</v>
      </c>
      <c r="W34" s="668">
        <f t="shared" si="14"/>
        <v>100</v>
      </c>
      <c r="X34" s="1265"/>
      <c r="Y34" s="339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9"/>
      <c r="Q35" s="1263" t="str">
        <f t="shared" si="11"/>
        <v>建筑品质</v>
      </c>
      <c r="R35" s="667" t="s">
        <v>18</v>
      </c>
      <c r="S35" s="668">
        <f t="shared" si="12"/>
        <v>100</v>
      </c>
      <c r="T35" s="667" t="s">
        <v>18</v>
      </c>
      <c r="U35" s="668">
        <f t="shared" si="13"/>
        <v>100</v>
      </c>
      <c r="V35" s="667" t="s">
        <v>18</v>
      </c>
      <c r="W35" s="668">
        <f t="shared" si="14"/>
        <v>100</v>
      </c>
      <c r="X35" s="1265"/>
      <c r="Y35" s="339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9"/>
      <c r="Q36" s="1263" t="str">
        <f t="shared" si="11"/>
        <v>公共部分装修</v>
      </c>
      <c r="R36" s="667" t="s">
        <v>18</v>
      </c>
      <c r="S36" s="668">
        <f t="shared" si="12"/>
        <v>100</v>
      </c>
      <c r="T36" s="667" t="s">
        <v>18</v>
      </c>
      <c r="U36" s="668">
        <f t="shared" si="13"/>
        <v>100</v>
      </c>
      <c r="V36" s="667" t="s">
        <v>18</v>
      </c>
      <c r="W36" s="668">
        <f t="shared" si="14"/>
        <v>100</v>
      </c>
      <c r="X36" s="1265"/>
      <c r="Y36" s="339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9"/>
      <c r="Q37" s="530" t="str">
        <f t="shared" si="11"/>
        <v>成新度</v>
      </c>
      <c r="R37" s="664" t="s">
        <v>18</v>
      </c>
      <c r="S37" s="665" t="e">
        <f t="shared" si="12"/>
        <v>#N/A</v>
      </c>
      <c r="T37" s="664" t="s">
        <v>18</v>
      </c>
      <c r="U37" s="665" t="e">
        <f t="shared" si="13"/>
        <v>#N/A</v>
      </c>
      <c r="V37" s="664" t="s">
        <v>18</v>
      </c>
      <c r="W37" s="665" t="e">
        <f t="shared" si="14"/>
        <v>#N/A</v>
      </c>
      <c r="X37" s="666"/>
      <c r="Y37" s="339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9" t="s">
        <v>1696</v>
      </c>
      <c r="Q38" s="1263" t="str">
        <f t="shared" si="11"/>
        <v>物业管理</v>
      </c>
      <c r="R38" s="667" t="s">
        <v>18</v>
      </c>
      <c r="S38" s="668">
        <f t="shared" si="12"/>
        <v>100</v>
      </c>
      <c r="T38" s="667" t="s">
        <v>18</v>
      </c>
      <c r="U38" s="668">
        <f t="shared" si="13"/>
        <v>100</v>
      </c>
      <c r="V38" s="667" t="s">
        <v>18</v>
      </c>
      <c r="W38" s="668">
        <f t="shared" si="14"/>
        <v>100</v>
      </c>
      <c r="X38" s="1265"/>
      <c r="Y38" s="339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9"/>
      <c r="Q39" s="1263" t="str">
        <f t="shared" si="11"/>
        <v>市政基础设施</v>
      </c>
      <c r="R39" s="667" t="s">
        <v>18</v>
      </c>
      <c r="S39" s="668">
        <f t="shared" si="12"/>
        <v>100</v>
      </c>
      <c r="T39" s="667" t="s">
        <v>18</v>
      </c>
      <c r="U39" s="668">
        <f t="shared" si="13"/>
        <v>100</v>
      </c>
      <c r="V39" s="667" t="s">
        <v>18</v>
      </c>
      <c r="W39" s="668">
        <f t="shared" si="14"/>
        <v>100</v>
      </c>
      <c r="X39" s="1265"/>
      <c r="Y39" s="339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9"/>
      <c r="Q40" s="1263" t="str">
        <f t="shared" si="11"/>
        <v>房型</v>
      </c>
      <c r="R40" s="667" t="s">
        <v>18</v>
      </c>
      <c r="S40" s="668">
        <f t="shared" si="12"/>
        <v>100</v>
      </c>
      <c r="T40" s="667" t="s">
        <v>18</v>
      </c>
      <c r="U40" s="668">
        <f t="shared" si="13"/>
        <v>100</v>
      </c>
      <c r="V40" s="667" t="s">
        <v>18</v>
      </c>
      <c r="W40" s="668">
        <f t="shared" si="14"/>
        <v>100</v>
      </c>
      <c r="X40" s="1265"/>
      <c r="Y40" s="339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9"/>
      <c r="Q41" s="531" t="str">
        <f t="shared" si="11"/>
        <v>单套/主力户型建筑面积</v>
      </c>
      <c r="R41" s="669" t="s">
        <v>18</v>
      </c>
      <c r="S41" s="670">
        <f t="shared" si="12"/>
        <v>100</v>
      </c>
      <c r="T41" s="669" t="s">
        <v>18</v>
      </c>
      <c r="U41" s="670">
        <f t="shared" si="13"/>
        <v>100</v>
      </c>
      <c r="V41" s="669" t="s">
        <v>18</v>
      </c>
      <c r="W41" s="670">
        <f t="shared" si="14"/>
        <v>100</v>
      </c>
      <c r="X41" s="671"/>
      <c r="Y41" s="339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9"/>
      <c r="Q42" s="1263" t="str">
        <f t="shared" si="11"/>
        <v>内部装修</v>
      </c>
      <c r="R42" s="667" t="s">
        <v>18</v>
      </c>
      <c r="S42" s="668">
        <f t="shared" si="12"/>
        <v>100</v>
      </c>
      <c r="T42" s="667" t="s">
        <v>18</v>
      </c>
      <c r="U42" s="668">
        <f t="shared" si="13"/>
        <v>100</v>
      </c>
      <c r="V42" s="667" t="s">
        <v>18</v>
      </c>
      <c r="W42" s="668">
        <f t="shared" si="14"/>
        <v>100</v>
      </c>
      <c r="X42" s="1265"/>
      <c r="Y42" s="3391"/>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9"/>
      <c r="Q43" s="1263" t="str">
        <f t="shared" si="11"/>
        <v>内部装修维护情况</v>
      </c>
      <c r="R43" s="667" t="s">
        <v>18</v>
      </c>
      <c r="S43" s="668">
        <f t="shared" si="12"/>
        <v>100</v>
      </c>
      <c r="T43" s="667" t="s">
        <v>18</v>
      </c>
      <c r="U43" s="668">
        <f t="shared" si="13"/>
        <v>100</v>
      </c>
      <c r="V43" s="667" t="s">
        <v>18</v>
      </c>
      <c r="W43" s="668">
        <f t="shared" si="14"/>
        <v>100</v>
      </c>
      <c r="X43" s="1265"/>
      <c r="Y43" s="339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9"/>
      <c r="Q44" s="530">
        <f t="shared" si="11"/>
        <v>111</v>
      </c>
      <c r="R44" s="664" t="s">
        <v>18</v>
      </c>
      <c r="S44" s="665">
        <f t="shared" si="12"/>
        <v>100</v>
      </c>
      <c r="T44" s="664" t="s">
        <v>18</v>
      </c>
      <c r="U44" s="665">
        <f t="shared" si="13"/>
        <v>100</v>
      </c>
      <c r="V44" s="664" t="s">
        <v>18</v>
      </c>
      <c r="W44" s="665">
        <f t="shared" si="14"/>
        <v>100</v>
      </c>
      <c r="X44" s="666"/>
      <c r="Y44" s="339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9"/>
      <c r="Q45" s="1263">
        <f t="shared" si="11"/>
        <v>111</v>
      </c>
      <c r="R45" s="667" t="s">
        <v>18</v>
      </c>
      <c r="S45" s="668">
        <f t="shared" si="12"/>
        <v>100</v>
      </c>
      <c r="T45" s="667" t="s">
        <v>18</v>
      </c>
      <c r="U45" s="668">
        <f t="shared" si="13"/>
        <v>100</v>
      </c>
      <c r="V45" s="667" t="s">
        <v>18</v>
      </c>
      <c r="W45" s="668">
        <f t="shared" si="14"/>
        <v>100</v>
      </c>
      <c r="X45" s="1265"/>
      <c r="Y45" s="339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0"/>
      <c r="Q46" s="1263">
        <f t="shared" si="11"/>
        <v>111</v>
      </c>
      <c r="R46" s="667" t="s">
        <v>17</v>
      </c>
      <c r="S46" s="668">
        <f t="shared" si="12"/>
        <v>100</v>
      </c>
      <c r="T46" s="667" t="s">
        <v>17</v>
      </c>
      <c r="U46" s="668">
        <f t="shared" si="13"/>
        <v>100</v>
      </c>
      <c r="V46" s="667" t="s">
        <v>17</v>
      </c>
      <c r="W46" s="668">
        <f t="shared" si="14"/>
        <v>100</v>
      </c>
      <c r="X46" s="1265"/>
      <c r="Y46" s="3392"/>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84" t="str">
        <f>A47</f>
        <v>成交单价（元/平方米）</v>
      </c>
      <c r="Q47" s="3384"/>
      <c r="R47" s="3385">
        <f>E47</f>
        <v>0</v>
      </c>
      <c r="S47" s="3385"/>
      <c r="T47" s="3385">
        <f>G47</f>
        <v>0</v>
      </c>
      <c r="U47" s="3385"/>
      <c r="V47" s="3385">
        <f>I47</f>
        <v>0</v>
      </c>
      <c r="W47" s="3385"/>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81" t="str">
        <f>A49</f>
        <v>估价对象XX用房的比较价值（楼面单价，元/平方米）</v>
      </c>
      <c r="Q49" s="3382"/>
      <c r="R49" s="3383" t="e">
        <f>IF(F1="售价",ROUND(IF(D48="简单平均",AVERAGE(R48:V48),R48*F48+T48*H48+V48*J48),0),ROUND(IF(D48="简单平均",AVERAGE(R48:V48),R48*F48+T48*H48+V48*J48),1))</f>
        <v>#DIV/0!</v>
      </c>
      <c r="S49" s="3383"/>
      <c r="T49" s="3383"/>
      <c r="U49" s="3383"/>
      <c r="V49" s="3383"/>
      <c r="W49" s="338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6" zoomScale="85" zoomScaleNormal="70" zoomScaleSheetLayoutView="85" workbookViewId="0">
      <selection activeCell="M32" sqref="M3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5" t="s">
        <v>3492</v>
      </c>
      <c r="F1" s="1735" t="s">
        <v>3493</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36497</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28045</v>
      </c>
      <c r="C3" s="344" t="s">
        <v>1768</v>
      </c>
      <c r="D3" s="343">
        <f>IF(D1="",'数据-汇总表'!E3,SUMIF('数据-汇总表'!$C19:$C33,D1,'数据-汇总表'!$E19:$E33))</f>
        <v>13013.62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85" t="s">
        <v>1772</v>
      </c>
      <c r="AC4" s="3396" t="s">
        <v>1773</v>
      </c>
    </row>
    <row r="5" spans="1:29" ht="15">
      <c r="A5" s="348"/>
      <c r="B5" s="349"/>
      <c r="C5" s="3417" t="s">
        <v>1673</v>
      </c>
      <c r="D5" s="3418"/>
      <c r="E5" s="3524" t="s">
        <v>3484</v>
      </c>
      <c r="F5" s="3425"/>
      <c r="G5" s="3525" t="s">
        <v>3485</v>
      </c>
      <c r="H5" s="3418"/>
      <c r="I5" s="3525" t="s">
        <v>3486</v>
      </c>
      <c r="J5" s="3418"/>
      <c r="K5" s="537"/>
      <c r="L5" s="2487"/>
      <c r="M5" s="2488"/>
      <c r="N5" s="2488"/>
      <c r="O5" s="2488"/>
      <c r="P5" s="3405"/>
      <c r="Q5" s="3406"/>
      <c r="R5" s="3411"/>
      <c r="S5" s="3412"/>
      <c r="T5" s="3411"/>
      <c r="U5" s="3412"/>
      <c r="V5" s="3385"/>
      <c r="W5" s="3385"/>
      <c r="X5" s="1265"/>
      <c r="Y5" s="3411"/>
      <c r="Z5" s="3412"/>
      <c r="AA5" s="3397"/>
      <c r="AB5" s="3385"/>
      <c r="AC5" s="3397"/>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85"/>
      <c r="AC6" s="3398"/>
    </row>
    <row r="7" spans="1:29" s="102" customFormat="1" ht="15.75" thickBot="1">
      <c r="A7" s="352" t="s">
        <v>1679</v>
      </c>
      <c r="B7" s="353"/>
      <c r="C7" s="354">
        <f>'数据-取费表'!B2</f>
        <v>45902</v>
      </c>
      <c r="D7" s="355">
        <v>100</v>
      </c>
      <c r="E7" s="356">
        <f>C7</f>
        <v>45902</v>
      </c>
      <c r="F7" s="357">
        <f>SUMIF(58:58,YEAR(E7)&amp;"-"&amp;MONTH(E7),59:59)</f>
        <v>100</v>
      </c>
      <c r="G7" s="356">
        <f>C7</f>
        <v>45902</v>
      </c>
      <c r="H7" s="355">
        <f>SUMIF(58:58,YEAR(G7)&amp;"-"&amp;MONTH(G7),59:59)</f>
        <v>100</v>
      </c>
      <c r="I7" s="356">
        <f>C7</f>
        <v>45902</v>
      </c>
      <c r="J7" s="355">
        <f>SUMIF(58:58,YEAR(I7)&amp;"-"&amp;MONTH(I7),59:59)</f>
        <v>100</v>
      </c>
      <c r="K7" s="38"/>
      <c r="L7" s="2489"/>
      <c r="M7" s="2440"/>
      <c r="N7" s="2440"/>
      <c r="O7" s="2440"/>
      <c r="P7" s="3419" t="s">
        <v>1680</v>
      </c>
      <c r="Q7" s="3421"/>
      <c r="R7" s="664" t="s">
        <v>14</v>
      </c>
      <c r="S7" s="665">
        <f t="shared" ref="S7:S15" si="0">F7</f>
        <v>100</v>
      </c>
      <c r="T7" s="664" t="s">
        <v>14</v>
      </c>
      <c r="U7" s="665">
        <f t="shared" ref="U7:U15" si="1">H7</f>
        <v>100</v>
      </c>
      <c r="V7" s="664" t="s">
        <v>14</v>
      </c>
      <c r="W7" s="665">
        <f t="shared" ref="W7:W15" si="2">J7</f>
        <v>100</v>
      </c>
      <c r="X7" s="666"/>
      <c r="Y7" s="3419" t="s">
        <v>1680</v>
      </c>
      <c r="Z7" s="3420"/>
      <c r="AA7" s="50">
        <f>D7/F7</f>
        <v>1</v>
      </c>
      <c r="AB7" s="50">
        <f>D7/H7</f>
        <v>1</v>
      </c>
      <c r="AC7" s="50">
        <f>D7/J7</f>
        <v>1</v>
      </c>
    </row>
    <row r="8" spans="1:29" s="102" customFormat="1" ht="15.75" thickBot="1">
      <c r="A8" s="352" t="s">
        <v>1681</v>
      </c>
      <c r="B8" s="353"/>
      <c r="C8" s="358" t="s">
        <v>3487</v>
      </c>
      <c r="D8" s="355">
        <v>100</v>
      </c>
      <c r="E8" s="358" t="s">
        <v>3488</v>
      </c>
      <c r="F8" s="357">
        <f>SUMIF(61:61,E8,62:62)-SUMIF(61:61,C8,62:62)+100</f>
        <v>102</v>
      </c>
      <c r="G8" s="358" t="s">
        <v>3488</v>
      </c>
      <c r="H8" s="355">
        <f>SUMIF(61:61,G8,62:62)-SUMIF(61:61,C8,62:62)+100</f>
        <v>102</v>
      </c>
      <c r="I8" s="358" t="s">
        <v>3488</v>
      </c>
      <c r="J8" s="355">
        <f>SUMIF(61:61,I8,62:62)-SUMIF(61:61,C8,62:62)+100</f>
        <v>102</v>
      </c>
      <c r="K8" s="38"/>
      <c r="L8" s="2489"/>
      <c r="M8" s="2440"/>
      <c r="N8" s="2440"/>
      <c r="O8" s="2440"/>
      <c r="P8" s="3419" t="s">
        <v>1683</v>
      </c>
      <c r="Q8" s="3420"/>
      <c r="R8" s="664" t="s">
        <v>14</v>
      </c>
      <c r="S8" s="665">
        <f t="shared" si="0"/>
        <v>102</v>
      </c>
      <c r="T8" s="664" t="s">
        <v>14</v>
      </c>
      <c r="U8" s="665">
        <f t="shared" si="1"/>
        <v>102</v>
      </c>
      <c r="V8" s="664" t="s">
        <v>14</v>
      </c>
      <c r="W8" s="665">
        <f t="shared" si="2"/>
        <v>102</v>
      </c>
      <c r="X8" s="666"/>
      <c r="Y8" s="3419" t="s">
        <v>1683</v>
      </c>
      <c r="Z8" s="3420"/>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33" t="s">
        <v>3489</v>
      </c>
      <c r="D10" s="119">
        <v>100</v>
      </c>
      <c r="E10" s="3134" t="s">
        <v>3490</v>
      </c>
      <c r="F10" s="364">
        <f>SUMIF(65:65,E10,66:66)-SUMIF(65:65,C10,66:66)+100</f>
        <v>110</v>
      </c>
      <c r="G10" s="3134" t="s">
        <v>3490</v>
      </c>
      <c r="H10" s="119">
        <f>SUMIF(65:65,G10,66:66)-SUMIF(65:65,C10,66:66)+100</f>
        <v>110</v>
      </c>
      <c r="I10" s="3134" t="s">
        <v>3490</v>
      </c>
      <c r="J10" s="119">
        <f>SUMIF(65:65,I10,66:66)-SUMIF(65:65,C10,66:66)+100</f>
        <v>110</v>
      </c>
      <c r="K10" s="38"/>
      <c r="L10" s="2490"/>
      <c r="M10" s="2491"/>
      <c r="N10" s="2491"/>
      <c r="O10" s="2491"/>
      <c r="P10" s="3395"/>
      <c r="Q10" s="530" t="str">
        <f t="shared" si="6"/>
        <v>土地使用年限（年）</v>
      </c>
      <c r="R10" s="664" t="s">
        <v>14</v>
      </c>
      <c r="S10" s="665">
        <f t="shared" si="0"/>
        <v>110</v>
      </c>
      <c r="T10" s="664" t="s">
        <v>14</v>
      </c>
      <c r="U10" s="665">
        <f t="shared" si="1"/>
        <v>110</v>
      </c>
      <c r="V10" s="664" t="s">
        <v>14</v>
      </c>
      <c r="W10" s="665">
        <f t="shared" si="2"/>
        <v>110</v>
      </c>
      <c r="X10" s="666"/>
      <c r="Y10" s="3259"/>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95"/>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5"/>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93" t="s">
        <v>1691</v>
      </c>
      <c r="Q15" s="1263" t="str">
        <f t="shared" si="6"/>
        <v>商业繁华度</v>
      </c>
      <c r="R15" s="667" t="s">
        <v>14</v>
      </c>
      <c r="S15" s="668">
        <f t="shared" si="0"/>
        <v>100</v>
      </c>
      <c r="T15" s="667" t="s">
        <v>14</v>
      </c>
      <c r="U15" s="668">
        <f t="shared" si="1"/>
        <v>100</v>
      </c>
      <c r="V15" s="667" t="s">
        <v>14</v>
      </c>
      <c r="W15" s="668">
        <f t="shared" si="2"/>
        <v>100</v>
      </c>
      <c r="X15" s="1265"/>
      <c r="Y15" s="338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94"/>
      <c r="Q16" s="1263"/>
      <c r="R16" s="667"/>
      <c r="S16" s="668"/>
      <c r="T16" s="667"/>
      <c r="U16" s="668"/>
      <c r="V16" s="667"/>
      <c r="W16" s="668"/>
      <c r="X16" s="1265"/>
      <c r="Y16" s="3387"/>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94"/>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94"/>
      <c r="Q18" s="1263"/>
      <c r="R18" s="667"/>
      <c r="S18" s="668"/>
      <c r="T18" s="667"/>
      <c r="U18" s="668"/>
      <c r="V18" s="667"/>
      <c r="W18" s="668"/>
      <c r="X18" s="1265"/>
      <c r="Y18" s="3387"/>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94"/>
      <c r="Q20" s="1263"/>
      <c r="R20" s="667"/>
      <c r="S20" s="668"/>
      <c r="T20" s="667"/>
      <c r="U20" s="668"/>
      <c r="V20" s="667"/>
      <c r="W20" s="668"/>
      <c r="X20" s="1265"/>
      <c r="Y20" s="3387"/>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94"/>
      <c r="Q22" s="1263"/>
      <c r="R22" s="667"/>
      <c r="S22" s="668"/>
      <c r="T22" s="667"/>
      <c r="U22" s="668"/>
      <c r="V22" s="667"/>
      <c r="W22" s="668"/>
      <c r="X22" s="1265"/>
      <c r="Y22" s="3387"/>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94"/>
      <c r="Q23" s="1263" t="str">
        <f>B23</f>
        <v>自然及人文环境</v>
      </c>
      <c r="R23" s="667" t="s">
        <v>14</v>
      </c>
      <c r="S23" s="668">
        <f>F23</f>
        <v>100</v>
      </c>
      <c r="T23" s="667" t="s">
        <v>14</v>
      </c>
      <c r="U23" s="668">
        <f>H23</f>
        <v>100</v>
      </c>
      <c r="V23" s="667" t="s">
        <v>14</v>
      </c>
      <c r="W23" s="668">
        <f>J23</f>
        <v>100</v>
      </c>
      <c r="X23" s="1265"/>
      <c r="Y23" s="338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94"/>
      <c r="Q24" s="1263"/>
      <c r="R24" s="667"/>
      <c r="S24" s="668"/>
      <c r="T24" s="667"/>
      <c r="U24" s="668"/>
      <c r="V24" s="667"/>
      <c r="W24" s="668"/>
      <c r="X24" s="1265"/>
      <c r="Y24" s="338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94"/>
      <c r="Q25" s="1263" t="str">
        <f t="shared" ref="Q25:Q46" si="11">B25</f>
        <v>临街状况</v>
      </c>
      <c r="R25" s="667" t="s">
        <v>14</v>
      </c>
      <c r="S25" s="668">
        <f>F25</f>
        <v>100</v>
      </c>
      <c r="T25" s="667" t="s">
        <v>14</v>
      </c>
      <c r="U25" s="668">
        <f>H25</f>
        <v>100</v>
      </c>
      <c r="V25" s="667" t="s">
        <v>14</v>
      </c>
      <c r="W25" s="668">
        <f>J25</f>
        <v>100</v>
      </c>
      <c r="X25" s="1265"/>
      <c r="Y25" s="338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94"/>
      <c r="Q26" s="1263" t="str">
        <f t="shared" si="11"/>
        <v>平面位置/可视性</v>
      </c>
      <c r="R26" s="667" t="s">
        <v>14</v>
      </c>
      <c r="S26" s="668">
        <f>F26</f>
        <v>100</v>
      </c>
      <c r="T26" s="667" t="s">
        <v>14</v>
      </c>
      <c r="U26" s="668">
        <f>H26</f>
        <v>100</v>
      </c>
      <c r="V26" s="667" t="s">
        <v>14</v>
      </c>
      <c r="W26" s="668">
        <f>J26</f>
        <v>100</v>
      </c>
      <c r="X26" s="1265"/>
      <c r="Y26" s="338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94"/>
      <c r="Q27" s="530" t="str">
        <f t="shared" si="11"/>
        <v>人流量</v>
      </c>
      <c r="R27" s="664" t="s">
        <v>14</v>
      </c>
      <c r="S27" s="665">
        <f>F27</f>
        <v>100</v>
      </c>
      <c r="T27" s="664" t="s">
        <v>14</v>
      </c>
      <c r="U27" s="665">
        <f>H27</f>
        <v>100</v>
      </c>
      <c r="V27" s="664" t="s">
        <v>14</v>
      </c>
      <c r="W27" s="665">
        <f>J27</f>
        <v>100</v>
      </c>
      <c r="X27" s="666"/>
      <c r="Y27" s="3387"/>
      <c r="Z27" s="50" t="str">
        <f>Q27</f>
        <v>人流量</v>
      </c>
      <c r="AA27" s="1264">
        <f>D27/F27</f>
        <v>1</v>
      </c>
      <c r="AB27" s="1264">
        <f>D27/H27</f>
        <v>1</v>
      </c>
      <c r="AC27" s="1264">
        <f>D27/J27</f>
        <v>1</v>
      </c>
    </row>
    <row r="28" spans="1:29" ht="15">
      <c r="A28" s="367"/>
      <c r="B28" s="364" t="s">
        <v>1783</v>
      </c>
      <c r="C28" s="542" t="s">
        <v>3498</v>
      </c>
      <c r="D28" s="374">
        <v>100</v>
      </c>
      <c r="E28" s="542" t="s">
        <v>3469</v>
      </c>
      <c r="F28" s="400">
        <f>SUMIF(92:92,E28,93:93)-SUMIF(92:92,C28,93:93)+100</f>
        <v>137.5</v>
      </c>
      <c r="G28" s="542" t="s">
        <v>3469</v>
      </c>
      <c r="H28" s="374">
        <f>SUMIF(92:92,G28,93:93)-SUMIF(92:92,C28,93:93)+100</f>
        <v>137.5</v>
      </c>
      <c r="I28" s="542" t="s">
        <v>3469</v>
      </c>
      <c r="J28" s="374">
        <f>SUMIF(92:92,I28,93:93)-SUMIF(92:92,C28,93:93)+100</f>
        <v>137.5</v>
      </c>
      <c r="K28" s="539"/>
      <c r="L28" s="2493"/>
      <c r="M28" s="2488"/>
      <c r="N28" s="2488"/>
      <c r="O28" s="2488"/>
      <c r="P28" s="3394"/>
      <c r="Q28" s="1263" t="str">
        <f t="shared" si="11"/>
        <v>楼层</v>
      </c>
      <c r="R28" s="667" t="s">
        <v>14</v>
      </c>
      <c r="S28" s="668">
        <f t="shared" ref="S28:S46" si="12">F28</f>
        <v>137.5</v>
      </c>
      <c r="T28" s="667" t="s">
        <v>14</v>
      </c>
      <c r="U28" s="668">
        <f t="shared" ref="U28:U46" si="13">H28</f>
        <v>137.5</v>
      </c>
      <c r="V28" s="667" t="s">
        <v>14</v>
      </c>
      <c r="W28" s="668">
        <f t="shared" ref="W28:W46" si="14">J28</f>
        <v>137.5</v>
      </c>
      <c r="X28" s="1265"/>
      <c r="Y28" s="3387"/>
      <c r="Z28" s="1264" t="str">
        <f t="shared" ref="Z28:Z46" si="15">Q28</f>
        <v>楼层</v>
      </c>
      <c r="AA28" s="1264">
        <f t="shared" si="3"/>
        <v>0.72727272727272729</v>
      </c>
      <c r="AB28" s="1264">
        <f t="shared" si="4"/>
        <v>0.72727272727272729</v>
      </c>
      <c r="AC28" s="1264">
        <f t="shared" si="5"/>
        <v>0.72727272727272729</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4"/>
      <c r="Q29" s="1263">
        <f t="shared" si="11"/>
        <v>111</v>
      </c>
      <c r="R29" s="667" t="s">
        <v>14</v>
      </c>
      <c r="S29" s="668">
        <f t="shared" si="12"/>
        <v>100</v>
      </c>
      <c r="T29" s="667" t="s">
        <v>14</v>
      </c>
      <c r="U29" s="668">
        <f t="shared" si="13"/>
        <v>100</v>
      </c>
      <c r="V29" s="667" t="s">
        <v>14</v>
      </c>
      <c r="W29" s="668">
        <f t="shared" si="14"/>
        <v>100</v>
      </c>
      <c r="X29" s="1265"/>
      <c r="Y29" s="338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4"/>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4"/>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8" t="s">
        <v>1696</v>
      </c>
      <c r="Q32" s="1263" t="str">
        <f t="shared" si="11"/>
        <v>商业类型</v>
      </c>
      <c r="R32" s="667" t="s">
        <v>14</v>
      </c>
      <c r="S32" s="668">
        <f t="shared" si="12"/>
        <v>100</v>
      </c>
      <c r="T32" s="667" t="s">
        <v>14</v>
      </c>
      <c r="U32" s="668">
        <f t="shared" si="13"/>
        <v>100</v>
      </c>
      <c r="V32" s="667" t="s">
        <v>14</v>
      </c>
      <c r="W32" s="668">
        <f t="shared" si="14"/>
        <v>100</v>
      </c>
      <c r="X32" s="1265"/>
      <c r="Y32" s="3391" t="s">
        <v>1696</v>
      </c>
      <c r="Z32" s="1264" t="str">
        <f t="shared" si="15"/>
        <v>商业类型</v>
      </c>
      <c r="AA32" s="1264">
        <f t="shared" si="3"/>
        <v>1</v>
      </c>
      <c r="AB32" s="1264">
        <f t="shared" si="4"/>
        <v>1</v>
      </c>
      <c r="AC32" s="1264">
        <f t="shared" si="5"/>
        <v>1</v>
      </c>
    </row>
    <row r="33" spans="1:29" s="408" customFormat="1" ht="15">
      <c r="A33" s="406"/>
      <c r="B33" s="364" t="s">
        <v>1697</v>
      </c>
      <c r="C33" s="407">
        <f>'数据-汇总表'!E3</f>
        <v>13013.62</v>
      </c>
      <c r="D33" s="119">
        <v>100</v>
      </c>
      <c r="E33" s="369">
        <v>149.4</v>
      </c>
      <c r="F33" s="364">
        <f>LOOKUP(E33,103:103,104:104)-LOOKUP(C33,103:103,104:104)+100</f>
        <v>115</v>
      </c>
      <c r="G33" s="368">
        <v>50.4</v>
      </c>
      <c r="H33" s="119">
        <f>LOOKUP(G33,103:103,104:104)-LOOKUP(C33,103:103,104:104)+100</f>
        <v>120</v>
      </c>
      <c r="I33" s="368">
        <v>83.03</v>
      </c>
      <c r="J33" s="119">
        <f>LOOKUP(I33,103:103,104:104)-LOOKUP(C33,103:103,104:104)+100</f>
        <v>120</v>
      </c>
      <c r="K33" s="539"/>
      <c r="L33" s="2492"/>
      <c r="M33" s="2494"/>
      <c r="N33" s="2494"/>
      <c r="O33" s="2494"/>
      <c r="P33" s="3389"/>
      <c r="Q33" s="531" t="str">
        <f t="shared" si="11"/>
        <v>项目建筑规模</v>
      </c>
      <c r="R33" s="669" t="s">
        <v>14</v>
      </c>
      <c r="S33" s="670">
        <f t="shared" si="12"/>
        <v>115</v>
      </c>
      <c r="T33" s="669" t="s">
        <v>14</v>
      </c>
      <c r="U33" s="670">
        <f t="shared" si="13"/>
        <v>120</v>
      </c>
      <c r="V33" s="669" t="s">
        <v>14</v>
      </c>
      <c r="W33" s="670">
        <f t="shared" si="14"/>
        <v>120</v>
      </c>
      <c r="X33" s="671"/>
      <c r="Y33" s="3391"/>
      <c r="Z33" s="672" t="str">
        <f t="shared" si="15"/>
        <v>项目建筑规模</v>
      </c>
      <c r="AA33" s="1264">
        <f t="shared" si="3"/>
        <v>0.86956521739130432</v>
      </c>
      <c r="AB33" s="1264">
        <f t="shared" si="4"/>
        <v>0.83333333333333337</v>
      </c>
      <c r="AC33" s="1264">
        <f t="shared" si="5"/>
        <v>0.83333333333333337</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9"/>
      <c r="Q34" s="1263" t="str">
        <f t="shared" si="11"/>
        <v>建筑结构</v>
      </c>
      <c r="R34" s="667" t="s">
        <v>14</v>
      </c>
      <c r="S34" s="668">
        <f t="shared" si="12"/>
        <v>100</v>
      </c>
      <c r="T34" s="667" t="s">
        <v>14</v>
      </c>
      <c r="U34" s="668">
        <f t="shared" si="13"/>
        <v>100</v>
      </c>
      <c r="V34" s="667" t="s">
        <v>14</v>
      </c>
      <c r="W34" s="668">
        <f t="shared" si="14"/>
        <v>100</v>
      </c>
      <c r="X34" s="1265"/>
      <c r="Y34" s="339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9"/>
      <c r="Q35" s="1263" t="str">
        <f t="shared" si="11"/>
        <v>公共部分装修</v>
      </c>
      <c r="R35" s="667" t="s">
        <v>14</v>
      </c>
      <c r="S35" s="668">
        <f t="shared" si="12"/>
        <v>100</v>
      </c>
      <c r="T35" s="667" t="s">
        <v>14</v>
      </c>
      <c r="U35" s="668">
        <f t="shared" si="13"/>
        <v>100</v>
      </c>
      <c r="V35" s="667" t="s">
        <v>14</v>
      </c>
      <c r="W35" s="668">
        <f t="shared" si="14"/>
        <v>100</v>
      </c>
      <c r="X35" s="1265"/>
      <c r="Y35" s="3391"/>
      <c r="Z35" s="1264" t="str">
        <f t="shared" si="15"/>
        <v>公共部分装修</v>
      </c>
      <c r="AA35" s="1264">
        <f t="shared" si="3"/>
        <v>1</v>
      </c>
      <c r="AB35" s="1264">
        <f t="shared" si="4"/>
        <v>1</v>
      </c>
      <c r="AC35" s="1264">
        <f t="shared" si="5"/>
        <v>1</v>
      </c>
    </row>
    <row r="36" spans="1:29" ht="15">
      <c r="A36" s="409"/>
      <c r="B36" s="364" t="s">
        <v>1786</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c r="L36" s="2493"/>
      <c r="M36" s="2488"/>
      <c r="N36" s="2488"/>
      <c r="O36" s="2488"/>
      <c r="P36" s="3389"/>
      <c r="Q36" s="1263" t="str">
        <f t="shared" si="11"/>
        <v>成新度</v>
      </c>
      <c r="R36" s="667" t="s">
        <v>14</v>
      </c>
      <c r="S36" s="668">
        <f t="shared" si="12"/>
        <v>100</v>
      </c>
      <c r="T36" s="667" t="s">
        <v>14</v>
      </c>
      <c r="U36" s="668">
        <f t="shared" si="13"/>
        <v>100</v>
      </c>
      <c r="V36" s="667" t="s">
        <v>14</v>
      </c>
      <c r="W36" s="668">
        <f t="shared" si="14"/>
        <v>100</v>
      </c>
      <c r="X36" s="1265"/>
      <c r="Y36" s="3391"/>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9"/>
      <c r="Q37" s="530" t="str">
        <f t="shared" si="11"/>
        <v>市政基础设施</v>
      </c>
      <c r="R37" s="664" t="s">
        <v>14</v>
      </c>
      <c r="S37" s="665">
        <f t="shared" si="12"/>
        <v>100</v>
      </c>
      <c r="T37" s="664" t="s">
        <v>14</v>
      </c>
      <c r="U37" s="665">
        <f t="shared" si="13"/>
        <v>100</v>
      </c>
      <c r="V37" s="664" t="s">
        <v>14</v>
      </c>
      <c r="W37" s="665">
        <f t="shared" si="14"/>
        <v>100</v>
      </c>
      <c r="X37" s="666"/>
      <c r="Y37" s="339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89" t="s">
        <v>1696</v>
      </c>
      <c r="Q38" s="1263" t="str">
        <f t="shared" si="11"/>
        <v>业态</v>
      </c>
      <c r="R38" s="667" t="s">
        <v>14</v>
      </c>
      <c r="S38" s="668">
        <f t="shared" si="12"/>
        <v>100</v>
      </c>
      <c r="T38" s="667" t="s">
        <v>14</v>
      </c>
      <c r="U38" s="668">
        <f t="shared" si="13"/>
        <v>100</v>
      </c>
      <c r="V38" s="667" t="s">
        <v>14</v>
      </c>
      <c r="W38" s="668">
        <f t="shared" si="14"/>
        <v>100</v>
      </c>
      <c r="X38" s="1265"/>
      <c r="Y38" s="339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89"/>
      <c r="Q39" s="1263" t="str">
        <f t="shared" si="11"/>
        <v>层高</v>
      </c>
      <c r="R39" s="667" t="s">
        <v>14</v>
      </c>
      <c r="S39" s="668">
        <f t="shared" si="12"/>
        <v>100</v>
      </c>
      <c r="T39" s="667" t="s">
        <v>14</v>
      </c>
      <c r="U39" s="668">
        <f t="shared" si="13"/>
        <v>100</v>
      </c>
      <c r="V39" s="667" t="s">
        <v>14</v>
      </c>
      <c r="W39" s="668">
        <f t="shared" si="14"/>
        <v>100</v>
      </c>
      <c r="X39" s="1265"/>
      <c r="Y39" s="339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9"/>
      <c r="Q40" s="1263" t="str">
        <f t="shared" si="11"/>
        <v>单套建筑面积</v>
      </c>
      <c r="R40" s="667" t="s">
        <v>14</v>
      </c>
      <c r="S40" s="668">
        <f t="shared" si="12"/>
        <v>100</v>
      </c>
      <c r="T40" s="667" t="s">
        <v>14</v>
      </c>
      <c r="U40" s="668">
        <f t="shared" si="13"/>
        <v>100</v>
      </c>
      <c r="V40" s="667" t="s">
        <v>14</v>
      </c>
      <c r="W40" s="668">
        <f t="shared" si="14"/>
        <v>100</v>
      </c>
      <c r="X40" s="1265"/>
      <c r="Y40" s="339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9"/>
      <c r="Q41" s="531" t="str">
        <f t="shared" si="11"/>
        <v>进深比</v>
      </c>
      <c r="R41" s="669" t="s">
        <v>14</v>
      </c>
      <c r="S41" s="670">
        <f t="shared" si="12"/>
        <v>100</v>
      </c>
      <c r="T41" s="669" t="s">
        <v>14</v>
      </c>
      <c r="U41" s="670">
        <f t="shared" si="13"/>
        <v>100</v>
      </c>
      <c r="V41" s="669" t="s">
        <v>14</v>
      </c>
      <c r="W41" s="670">
        <f t="shared" si="14"/>
        <v>100</v>
      </c>
      <c r="X41" s="671"/>
      <c r="Y41" s="339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89"/>
      <c r="Q42" s="1263" t="str">
        <f t="shared" si="11"/>
        <v>内部装修</v>
      </c>
      <c r="R42" s="667" t="s">
        <v>14</v>
      </c>
      <c r="S42" s="668">
        <f t="shared" si="12"/>
        <v>100</v>
      </c>
      <c r="T42" s="667" t="s">
        <v>14</v>
      </c>
      <c r="U42" s="668">
        <f t="shared" si="13"/>
        <v>100</v>
      </c>
      <c r="V42" s="667" t="s">
        <v>14</v>
      </c>
      <c r="W42" s="668">
        <f t="shared" si="14"/>
        <v>100</v>
      </c>
      <c r="X42" s="1265"/>
      <c r="Y42" s="3391"/>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89"/>
      <c r="Q43" s="1263" t="str">
        <f t="shared" si="11"/>
        <v>内部装修维护情况</v>
      </c>
      <c r="R43" s="667" t="s">
        <v>14</v>
      </c>
      <c r="S43" s="668">
        <f t="shared" si="12"/>
        <v>100</v>
      </c>
      <c r="T43" s="667" t="s">
        <v>14</v>
      </c>
      <c r="U43" s="668">
        <f t="shared" si="13"/>
        <v>100</v>
      </c>
      <c r="V43" s="667" t="s">
        <v>14</v>
      </c>
      <c r="W43" s="668">
        <f t="shared" si="14"/>
        <v>100</v>
      </c>
      <c r="X43" s="1265"/>
      <c r="Y43" s="339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9"/>
      <c r="Q44" s="530">
        <f t="shared" si="11"/>
        <v>111</v>
      </c>
      <c r="R44" s="664" t="s">
        <v>14</v>
      </c>
      <c r="S44" s="665">
        <f t="shared" si="12"/>
        <v>100</v>
      </c>
      <c r="T44" s="664" t="s">
        <v>14</v>
      </c>
      <c r="U44" s="665">
        <f t="shared" si="13"/>
        <v>100</v>
      </c>
      <c r="V44" s="664" t="s">
        <v>14</v>
      </c>
      <c r="W44" s="665">
        <f t="shared" si="14"/>
        <v>100</v>
      </c>
      <c r="X44" s="666"/>
      <c r="Y44" s="339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9"/>
      <c r="Q45" s="1263">
        <f t="shared" si="11"/>
        <v>111</v>
      </c>
      <c r="R45" s="667" t="s">
        <v>14</v>
      </c>
      <c r="S45" s="668">
        <f t="shared" si="12"/>
        <v>100</v>
      </c>
      <c r="T45" s="667" t="s">
        <v>14</v>
      </c>
      <c r="U45" s="668">
        <f t="shared" si="13"/>
        <v>100</v>
      </c>
      <c r="V45" s="667" t="s">
        <v>14</v>
      </c>
      <c r="W45" s="668">
        <f t="shared" si="14"/>
        <v>100</v>
      </c>
      <c r="X45" s="1265"/>
      <c r="Y45" s="339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0"/>
      <c r="Q46" s="1263">
        <f t="shared" si="11"/>
        <v>111</v>
      </c>
      <c r="R46" s="667" t="s">
        <v>14</v>
      </c>
      <c r="S46" s="668">
        <f t="shared" si="12"/>
        <v>100</v>
      </c>
      <c r="T46" s="667" t="s">
        <v>14</v>
      </c>
      <c r="U46" s="668">
        <f t="shared" si="13"/>
        <v>100</v>
      </c>
      <c r="V46" s="667" t="s">
        <v>14</v>
      </c>
      <c r="W46" s="668">
        <f t="shared" si="14"/>
        <v>100</v>
      </c>
      <c r="X46" s="1265"/>
      <c r="Y46" s="3392"/>
      <c r="Z46" s="1264">
        <f t="shared" si="15"/>
        <v>111</v>
      </c>
      <c r="AA46" s="1264">
        <f t="shared" si="3"/>
        <v>1</v>
      </c>
      <c r="AB46" s="1264">
        <f t="shared" si="4"/>
        <v>1</v>
      </c>
      <c r="AC46" s="1264">
        <f t="shared" si="5"/>
        <v>1</v>
      </c>
    </row>
    <row r="47" spans="1:29" ht="15">
      <c r="A47" s="416" t="s">
        <v>1708</v>
      </c>
      <c r="B47" s="417"/>
      <c r="C47" s="1081" t="s">
        <v>0</v>
      </c>
      <c r="D47" s="418"/>
      <c r="E47" s="419">
        <v>50201</v>
      </c>
      <c r="F47" s="420"/>
      <c r="G47" s="421">
        <v>51588</v>
      </c>
      <c r="H47" s="422"/>
      <c r="I47" s="419">
        <v>51789</v>
      </c>
      <c r="J47" s="422"/>
      <c r="K47" s="674"/>
      <c r="L47" s="2495"/>
      <c r="M47" s="2488"/>
      <c r="N47" s="2488"/>
      <c r="O47" s="2488"/>
      <c r="P47" s="3384" t="str">
        <f>A47</f>
        <v>成交单价（元/平方米）</v>
      </c>
      <c r="Q47" s="3384"/>
      <c r="R47" s="3385">
        <f>E47</f>
        <v>50201</v>
      </c>
      <c r="S47" s="3385"/>
      <c r="T47" s="3385">
        <f>G47</f>
        <v>51588</v>
      </c>
      <c r="U47" s="3385"/>
      <c r="V47" s="3385">
        <f>I47</f>
        <v>51789</v>
      </c>
      <c r="W47" s="3385"/>
      <c r="X47" s="385"/>
      <c r="Y47" s="673"/>
      <c r="Z47" s="385"/>
      <c r="AA47" s="385"/>
      <c r="AB47" s="385"/>
      <c r="AC47" s="385"/>
    </row>
    <row r="48" spans="1:29" ht="15.75" thickBot="1">
      <c r="A48" s="423" t="s">
        <v>1793</v>
      </c>
      <c r="B48" s="424"/>
      <c r="C48" s="1082">
        <f>R49</f>
        <v>28045</v>
      </c>
      <c r="D48" s="2141" t="s">
        <v>2138</v>
      </c>
      <c r="E48" s="1083">
        <f>R48</f>
        <v>28296</v>
      </c>
      <c r="F48" s="2142"/>
      <c r="G48" s="1082">
        <f>T48</f>
        <v>27866</v>
      </c>
      <c r="H48" s="2142"/>
      <c r="I48" s="1083">
        <f>V48</f>
        <v>27974</v>
      </c>
      <c r="J48" s="2142"/>
      <c r="K48" s="2144">
        <f>F48+H48+J48</f>
        <v>0</v>
      </c>
      <c r="L48" s="2495"/>
      <c r="M48" s="2488"/>
      <c r="N48" s="2488"/>
      <c r="O48" s="2488"/>
      <c r="P48" s="3384" t="str">
        <f>A48</f>
        <v>比较价值（元/平方米）</v>
      </c>
      <c r="Q48" s="3384"/>
      <c r="R48" s="3385">
        <f>IF(F1="售价",ROUND(PRODUCT(R47,AA7:AA46),0),ROUND(PRODUCT(R47,AA7:AA46),1))</f>
        <v>28296</v>
      </c>
      <c r="S48" s="3385"/>
      <c r="T48" s="3385">
        <f>IF(F1="售价",ROUND(PRODUCT(T47,AB7:AB46),0),ROUND(PRODUCT(T47,AB7:AB46),1))</f>
        <v>27866</v>
      </c>
      <c r="U48" s="3385"/>
      <c r="V48" s="3385">
        <f>IF(F1="售价",ROUND(PRODUCT(V47,AC7:AC46),0),ROUND(PRODUCT(V47,AC7:AC46),1))</f>
        <v>27974</v>
      </c>
      <c r="W48" s="3385"/>
      <c r="X48" s="385"/>
      <c r="Y48" s="385"/>
      <c r="Z48" s="385"/>
      <c r="AA48" s="385"/>
      <c r="AB48" s="385"/>
      <c r="AC48" s="385"/>
    </row>
    <row r="49" spans="1:29" ht="15.75" thickBot="1">
      <c r="A49" s="427" t="s">
        <v>1794</v>
      </c>
      <c r="B49" s="428"/>
      <c r="C49" s="351">
        <f>R49</f>
        <v>28045</v>
      </c>
      <c r="D49" s="351"/>
      <c r="E49" s="351"/>
      <c r="F49" s="351"/>
      <c r="G49" s="351"/>
      <c r="H49" s="351"/>
      <c r="I49" s="351"/>
      <c r="J49" s="351"/>
      <c r="K49" s="675"/>
      <c r="L49" s="2495"/>
      <c r="M49" s="2488"/>
      <c r="N49" s="2488"/>
      <c r="O49" s="2488"/>
      <c r="P49" s="3381" t="str">
        <f>A49</f>
        <v>估价对象XX用房的比较价值（楼面单价，元/平方米）</v>
      </c>
      <c r="Q49" s="3382"/>
      <c r="R49" s="3383">
        <f>IF(F1="售价",ROUND(IF(D48="简单平均",AVERAGE(R48:V48),R48*F48+T48*H48+V48*J48),0),ROUND(IF(D48="简单平均",AVERAGE(R48:V48),R48*F48+T48*H48+V48*J48),1))</f>
        <v>28045</v>
      </c>
      <c r="S49" s="3383"/>
      <c r="T49" s="3383"/>
      <c r="U49" s="3383"/>
      <c r="V49" s="3383"/>
      <c r="W49" s="338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0.77413768730562627</v>
      </c>
      <c r="F52" s="435" t="str">
        <f>IF(OR(E52&gt;=0.3,E52&lt;=-0.3),"超过30%","")</f>
        <v>超过30%</v>
      </c>
      <c r="G52" s="434">
        <f>IF(G47&lt;G48,G48/G47-1,G47/G48-1)</f>
        <v>0.85128830833273517</v>
      </c>
      <c r="H52" s="435" t="str">
        <f>IF(OR(G52&gt;=0.3,G52&lt;=-0.3),"超过30%","")</f>
        <v>超过30%</v>
      </c>
      <c r="I52" s="434">
        <f>IF(I47&lt;I48,I48/I47-1,I47/I48-1)</f>
        <v>0.8513262315006791</v>
      </c>
      <c r="J52" s="435" t="str">
        <f>IF(OR(I52&gt;=0.3,I52&lt;=-0.3),"超过30%","")</f>
        <v>超过30%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1.5430991172037611E-2</v>
      </c>
      <c r="F53" s="435" t="str">
        <f>IF(OR(E53&gt;=0.2,E53&lt;=-0.2),"超过20%","")</f>
        <v/>
      </c>
      <c r="G53" s="434">
        <f>IF(G48&lt;I48,I48/G48-1,G48/I48-1)</f>
        <v>3.8756908060002537E-3</v>
      </c>
      <c r="H53" s="435" t="str">
        <f>IF(OR(G53&gt;=0.2,G53&lt;=-0.2),"超过20%","")</f>
        <v/>
      </c>
      <c r="I53" s="434">
        <f>IF(I48&lt;E48,E48/I48-1,I48/E48-1)</f>
        <v>1.1510688496461086E-2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2.7628931694587688E-2</v>
      </c>
      <c r="F54" s="435" t="str">
        <f>IF(OR(E54&gt;=0.3,E54&lt;=-0.3),"超过30%","")</f>
        <v/>
      </c>
      <c r="G54" s="434">
        <f>IF(G47&lt;I47,I47/G47-1,G47/I47-1)</f>
        <v>3.8962549430099358E-3</v>
      </c>
      <c r="H54" s="435" t="str">
        <f>IF(OR(G54&gt;=0.3,G54&lt;=-0.3),"超过30%","")</f>
        <v/>
      </c>
      <c r="I54" s="434">
        <f>IF(I47&lt;E47,E47/I47-1,I47/E47-1)</f>
        <v>3.1632835999282793E-2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515" t="s">
        <v>3450</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102</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t="s">
        <v>3451</v>
      </c>
      <c r="D65" s="513" t="s">
        <v>3452</v>
      </c>
      <c r="E65" s="513" t="s">
        <v>3453</v>
      </c>
      <c r="F65" s="513" t="s">
        <v>3454</v>
      </c>
      <c r="G65" s="513" t="s">
        <v>3455</v>
      </c>
      <c r="H65" s="513" t="s">
        <v>3456</v>
      </c>
      <c r="I65" s="513" t="s">
        <v>3491</v>
      </c>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v>100</v>
      </c>
      <c r="D66" s="467">
        <f>C66-5</f>
        <v>95</v>
      </c>
      <c r="E66" s="467">
        <f t="shared" ref="E66:H66" si="17">D66-5</f>
        <v>90</v>
      </c>
      <c r="F66" s="467">
        <f t="shared" si="17"/>
        <v>85</v>
      </c>
      <c r="G66" s="467">
        <f t="shared" si="17"/>
        <v>80</v>
      </c>
      <c r="H66" s="467">
        <f>G66-5</f>
        <v>75</v>
      </c>
      <c r="I66" s="467">
        <f>H66-5</f>
        <v>70</v>
      </c>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8">D68&amp;"（含）"&amp;"-"&amp;E68</f>
        <v>1（含）-2</v>
      </c>
      <c r="E67" s="478" t="str">
        <f t="shared" si="18"/>
        <v>2（含）-3</v>
      </c>
      <c r="F67" s="478" t="str">
        <f t="shared" si="18"/>
        <v>3（含）-4</v>
      </c>
      <c r="G67" s="478" t="str">
        <f t="shared" si="18"/>
        <v>4（含）-5</v>
      </c>
      <c r="H67" s="478" t="str">
        <f t="shared" si="18"/>
        <v>5（含）-6</v>
      </c>
      <c r="I67" s="478" t="str">
        <f t="shared" si="18"/>
        <v>6（含）-7</v>
      </c>
      <c r="J67" s="478" t="str">
        <f t="shared" si="18"/>
        <v>7（含）-8</v>
      </c>
      <c r="K67" s="478" t="str">
        <f t="shared" si="18"/>
        <v>8（含）-9</v>
      </c>
      <c r="L67" s="478" t="str">
        <f t="shared" si="18"/>
        <v>9（含）-10</v>
      </c>
      <c r="M67" s="387" t="str">
        <f>M68&amp;"（含）"&amp;"-"&amp;P68</f>
        <v>10（含）-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v>3</v>
      </c>
      <c r="G68" s="480">
        <v>4</v>
      </c>
      <c r="H68" s="480">
        <v>5</v>
      </c>
      <c r="I68" s="480">
        <v>6</v>
      </c>
      <c r="J68" s="480">
        <v>7</v>
      </c>
      <c r="K68" s="480">
        <v>8</v>
      </c>
      <c r="L68" s="480">
        <v>9</v>
      </c>
      <c r="M68" s="480">
        <v>10</v>
      </c>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20">D83-$K21</f>
        <v>100</v>
      </c>
      <c r="F83" s="475">
        <f t="shared" si="20"/>
        <v>100</v>
      </c>
      <c r="G83" s="475">
        <f t="shared" si="20"/>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516" t="s">
        <v>3457</v>
      </c>
      <c r="D86" s="3516" t="s">
        <v>3458</v>
      </c>
      <c r="E86" s="3516" t="s">
        <v>3459</v>
      </c>
      <c r="F86" s="3516" t="s">
        <v>3460</v>
      </c>
      <c r="G86" s="3516" t="s">
        <v>3461</v>
      </c>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1">C87-$K25</f>
        <v>100</v>
      </c>
      <c r="E87" s="475">
        <f t="shared" si="21"/>
        <v>100</v>
      </c>
      <c r="F87" s="475">
        <f t="shared" si="21"/>
        <v>100</v>
      </c>
      <c r="G87" s="475">
        <f t="shared" si="21"/>
        <v>100</v>
      </c>
      <c r="H87" s="475">
        <f t="shared" si="21"/>
        <v>100</v>
      </c>
      <c r="I87" s="475">
        <f t="shared" si="21"/>
        <v>100</v>
      </c>
      <c r="J87" s="475">
        <f t="shared" si="21"/>
        <v>100</v>
      </c>
      <c r="K87" s="475">
        <f t="shared" si="21"/>
        <v>100</v>
      </c>
      <c r="L87" s="475">
        <f t="shared" si="21"/>
        <v>100</v>
      </c>
      <c r="M87" s="475">
        <f t="shared" si="21"/>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3517" t="s">
        <v>3462</v>
      </c>
      <c r="D88" s="3517" t="s">
        <v>3463</v>
      </c>
      <c r="E88" s="3516"/>
      <c r="F88" s="3518"/>
      <c r="G88" s="3516"/>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3519">
        <v>100</v>
      </c>
      <c r="D89" s="3520">
        <v>90</v>
      </c>
      <c r="E89" s="3519"/>
      <c r="F89" s="3520"/>
      <c r="G89" s="3519"/>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517" t="s">
        <v>3464</v>
      </c>
      <c r="D90" s="3517" t="s">
        <v>3465</v>
      </c>
      <c r="E90" s="3517" t="s">
        <v>3466</v>
      </c>
      <c r="F90" s="3517" t="s">
        <v>3467</v>
      </c>
      <c r="G90" s="3517" t="s">
        <v>3468</v>
      </c>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2">D91-$K27</f>
        <v>100</v>
      </c>
      <c r="F91" s="475">
        <f t="shared" si="22"/>
        <v>100</v>
      </c>
      <c r="G91" s="475">
        <f t="shared" si="22"/>
        <v>100</v>
      </c>
      <c r="H91" s="475">
        <f t="shared" si="22"/>
        <v>100</v>
      </c>
      <c r="I91" s="475">
        <f t="shared" si="22"/>
        <v>100</v>
      </c>
      <c r="J91" s="475">
        <f t="shared" si="22"/>
        <v>100</v>
      </c>
      <c r="K91" s="475">
        <f t="shared" si="22"/>
        <v>100</v>
      </c>
      <c r="L91" s="475">
        <f t="shared" si="22"/>
        <v>100</v>
      </c>
      <c r="M91" s="475">
        <f t="shared" si="22"/>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3517" t="s">
        <v>3469</v>
      </c>
      <c r="D92" s="3517" t="s">
        <v>3470</v>
      </c>
      <c r="E92" s="3521" t="s">
        <v>3495</v>
      </c>
      <c r="F92" s="3521" t="s">
        <v>3496</v>
      </c>
      <c r="G92" s="485" t="s">
        <v>3497</v>
      </c>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3520">
        <v>100</v>
      </c>
      <c r="D93" s="3520">
        <v>60</v>
      </c>
      <c r="E93" s="467">
        <v>50</v>
      </c>
      <c r="F93" s="467">
        <v>40</v>
      </c>
      <c r="G93" s="467">
        <f>(C93+D93+E93+F93)/4</f>
        <v>62.5</v>
      </c>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3">C101-$K32</f>
        <v>100</v>
      </c>
      <c r="E101" s="475">
        <f t="shared" si="23"/>
        <v>100</v>
      </c>
      <c r="F101" s="475">
        <f t="shared" si="23"/>
        <v>100</v>
      </c>
      <c r="G101" s="475">
        <f t="shared" si="23"/>
        <v>100</v>
      </c>
      <c r="H101" s="475">
        <f t="shared" si="23"/>
        <v>100</v>
      </c>
      <c r="I101" s="475">
        <f t="shared" si="23"/>
        <v>100</v>
      </c>
      <c r="J101" s="475">
        <f t="shared" si="23"/>
        <v>100</v>
      </c>
      <c r="K101" s="475">
        <f t="shared" si="23"/>
        <v>100</v>
      </c>
      <c r="L101" s="475">
        <f t="shared" si="23"/>
        <v>100</v>
      </c>
      <c r="M101" s="476">
        <f t="shared" si="23"/>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0(含)-50</v>
      </c>
      <c r="D102" s="509" t="str">
        <f t="shared" ref="D102:L102" si="24">D103&amp;"(含)"&amp;"-"&amp;E103</f>
        <v>50(含)-100</v>
      </c>
      <c r="E102" s="509" t="str">
        <f t="shared" si="24"/>
        <v>100(含)-200</v>
      </c>
      <c r="F102" s="509" t="str">
        <f t="shared" si="24"/>
        <v>200(含)-300</v>
      </c>
      <c r="G102" s="509" t="str">
        <f t="shared" si="24"/>
        <v>300(含)-400</v>
      </c>
      <c r="H102" s="509" t="str">
        <f t="shared" si="24"/>
        <v>400(含)-</v>
      </c>
      <c r="I102" s="509" t="str">
        <f t="shared" si="24"/>
        <v>(含)-</v>
      </c>
      <c r="J102" s="509" t="str">
        <f t="shared" si="24"/>
        <v>(含)-</v>
      </c>
      <c r="K102" s="509" t="str">
        <f t="shared" si="24"/>
        <v>(含)-</v>
      </c>
      <c r="L102" s="509" t="str">
        <f t="shared" si="24"/>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3522">
        <v>0</v>
      </c>
      <c r="D103" s="3522">
        <v>50</v>
      </c>
      <c r="E103" s="3522">
        <v>100</v>
      </c>
      <c r="F103" s="3522">
        <v>200</v>
      </c>
      <c r="G103" s="3522">
        <v>300</v>
      </c>
      <c r="H103" s="3522">
        <v>400</v>
      </c>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3519">
        <v>100</v>
      </c>
      <c r="D104" s="3520">
        <f>C104-5</f>
        <v>95</v>
      </c>
      <c r="E104" s="3520">
        <f t="shared" ref="E104:H104" si="25">D104-5</f>
        <v>90</v>
      </c>
      <c r="F104" s="3520">
        <f t="shared" si="25"/>
        <v>85</v>
      </c>
      <c r="G104" s="3520">
        <f t="shared" si="25"/>
        <v>80</v>
      </c>
      <c r="H104" s="3520">
        <f t="shared" si="25"/>
        <v>75</v>
      </c>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517" t="s">
        <v>3445</v>
      </c>
      <c r="D105" s="3521" t="s">
        <v>3471</v>
      </c>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6">C106-$K34</f>
        <v>100</v>
      </c>
      <c r="E106" s="475">
        <f t="shared" si="26"/>
        <v>100</v>
      </c>
      <c r="F106" s="475">
        <f t="shared" si="26"/>
        <v>100</v>
      </c>
      <c r="G106" s="475">
        <f t="shared" si="26"/>
        <v>100</v>
      </c>
      <c r="H106" s="475">
        <f t="shared" si="26"/>
        <v>100</v>
      </c>
      <c r="I106" s="475">
        <f t="shared" si="26"/>
        <v>100</v>
      </c>
      <c r="J106" s="475">
        <f t="shared" si="26"/>
        <v>100</v>
      </c>
      <c r="K106" s="475">
        <f t="shared" si="26"/>
        <v>100</v>
      </c>
      <c r="L106" s="475">
        <f t="shared" si="26"/>
        <v>100</v>
      </c>
      <c r="M106" s="476">
        <f t="shared" si="26"/>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517" t="s">
        <v>3472</v>
      </c>
      <c r="D107" s="3517" t="s">
        <v>3473</v>
      </c>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8">D111+$K36</f>
        <v>100</v>
      </c>
      <c r="F111" s="475">
        <f t="shared" si="28"/>
        <v>100</v>
      </c>
      <c r="G111" s="475">
        <f t="shared" si="28"/>
        <v>100</v>
      </c>
      <c r="H111" s="475">
        <f t="shared" si="28"/>
        <v>100</v>
      </c>
      <c r="I111" s="475">
        <f t="shared" si="28"/>
        <v>100</v>
      </c>
      <c r="J111" s="475">
        <f t="shared" si="28"/>
        <v>100</v>
      </c>
      <c r="K111" s="475">
        <f t="shared" si="28"/>
        <v>100</v>
      </c>
      <c r="L111" s="475">
        <f t="shared" si="28"/>
        <v>100</v>
      </c>
      <c r="M111" s="475">
        <f t="shared" si="28"/>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3517" t="s">
        <v>3474</v>
      </c>
      <c r="D112" s="3517" t="s">
        <v>3475</v>
      </c>
      <c r="E112" s="3517" t="s">
        <v>3476</v>
      </c>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9">D113-$K37</f>
        <v>100</v>
      </c>
      <c r="F113" s="475">
        <f t="shared" si="29"/>
        <v>100</v>
      </c>
      <c r="G113" s="475">
        <f t="shared" si="29"/>
        <v>100</v>
      </c>
      <c r="H113" s="475">
        <f t="shared" si="29"/>
        <v>100</v>
      </c>
      <c r="I113" s="475">
        <f t="shared" si="29"/>
        <v>100</v>
      </c>
      <c r="J113" s="475">
        <f t="shared" si="29"/>
        <v>100</v>
      </c>
      <c r="K113" s="475">
        <f t="shared" si="29"/>
        <v>100</v>
      </c>
      <c r="L113" s="475">
        <f t="shared" si="29"/>
        <v>100</v>
      </c>
      <c r="M113" s="475">
        <f t="shared" si="29"/>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3517" t="s">
        <v>3477</v>
      </c>
      <c r="D114" s="3517" t="s">
        <v>3478</v>
      </c>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6">
        <f t="shared" si="30"/>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517" t="s">
        <v>3479</v>
      </c>
      <c r="D116" s="3516" t="s">
        <v>3480</v>
      </c>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3523" t="s">
        <v>3481</v>
      </c>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517" t="s">
        <v>3473</v>
      </c>
      <c r="D122" s="3517" t="s">
        <v>3482</v>
      </c>
      <c r="E122" s="3517" t="s">
        <v>3483</v>
      </c>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6">
        <f t="shared" si="32"/>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7" stopIfTrue="1" operator="containsText" text="超过">
      <formula>NOT(ISERROR(SEARCH("超过",F52)))</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13013.62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32" t="s">
        <v>1775</v>
      </c>
      <c r="Q4" s="3433"/>
      <c r="R4" s="3436" t="s">
        <v>1771</v>
      </c>
      <c r="S4" s="3437"/>
      <c r="T4" s="3436" t="s">
        <v>1772</v>
      </c>
      <c r="U4" s="3437"/>
      <c r="V4" s="3438" t="s">
        <v>1773</v>
      </c>
      <c r="W4" s="3438"/>
      <c r="X4" s="1809"/>
      <c r="Y4" s="3436" t="s">
        <v>1775</v>
      </c>
      <c r="Z4" s="3437"/>
      <c r="AA4" s="3440" t="s">
        <v>1771</v>
      </c>
      <c r="AB4" s="3440" t="s">
        <v>1772</v>
      </c>
      <c r="AC4" s="3429" t="s">
        <v>1773</v>
      </c>
    </row>
    <row r="5" spans="1:29" ht="15">
      <c r="A5" s="348"/>
      <c r="B5" s="349"/>
      <c r="C5" s="3417" t="s">
        <v>1673</v>
      </c>
      <c r="D5" s="3418"/>
      <c r="E5" s="3424" t="s">
        <v>1674</v>
      </c>
      <c r="F5" s="3425"/>
      <c r="G5" s="3417" t="s">
        <v>1675</v>
      </c>
      <c r="H5" s="3418"/>
      <c r="I5" s="3417" t="s">
        <v>1676</v>
      </c>
      <c r="J5" s="3418"/>
      <c r="K5" s="537"/>
      <c r="L5" s="2487"/>
      <c r="M5" s="2488"/>
      <c r="N5" s="2488"/>
      <c r="O5" s="2488"/>
      <c r="P5" s="3434"/>
      <c r="Q5" s="3406"/>
      <c r="R5" s="3411"/>
      <c r="S5" s="3412"/>
      <c r="T5" s="3411"/>
      <c r="U5" s="3412"/>
      <c r="V5" s="3385"/>
      <c r="W5" s="3385"/>
      <c r="X5" s="1265"/>
      <c r="Y5" s="3411"/>
      <c r="Z5" s="3412"/>
      <c r="AA5" s="3397"/>
      <c r="AB5" s="3397"/>
      <c r="AC5" s="3430"/>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35"/>
      <c r="Q6" s="3408"/>
      <c r="R6" s="3411"/>
      <c r="S6" s="3412"/>
      <c r="T6" s="3413"/>
      <c r="U6" s="3414"/>
      <c r="V6" s="3385"/>
      <c r="W6" s="3385"/>
      <c r="X6" s="1265"/>
      <c r="Y6" s="3413"/>
      <c r="Z6" s="3414"/>
      <c r="AA6" s="3398"/>
      <c r="AB6" s="3398"/>
      <c r="AC6" s="3431"/>
    </row>
    <row r="7" spans="1:29" s="102" customFormat="1" ht="15.75" thickBot="1">
      <c r="A7" s="352" t="s">
        <v>1679</v>
      </c>
      <c r="B7" s="353"/>
      <c r="C7" s="354">
        <f>'数据-取费表'!B2</f>
        <v>45902</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9" t="s">
        <v>1683</v>
      </c>
      <c r="Q8" s="3420"/>
      <c r="R8" s="664" t="s">
        <v>14</v>
      </c>
      <c r="S8" s="665">
        <f t="shared" si="0"/>
        <v>100</v>
      </c>
      <c r="T8" s="664" t="s">
        <v>14</v>
      </c>
      <c r="U8" s="665">
        <f t="shared" si="1"/>
        <v>100</v>
      </c>
      <c r="V8" s="664" t="s">
        <v>14</v>
      </c>
      <c r="W8" s="665">
        <f t="shared" si="2"/>
        <v>100</v>
      </c>
      <c r="X8" s="666"/>
      <c r="Y8" s="3419" t="s">
        <v>1683</v>
      </c>
      <c r="Z8" s="342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5"/>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5"/>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802">
        <f t="shared" si="5"/>
        <v>1</v>
      </c>
    </row>
    <row r="15" spans="1:29" ht="71.2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3" t="s">
        <v>1691</v>
      </c>
      <c r="Q15" s="1263" t="str">
        <f t="shared" si="6"/>
        <v>办公集聚程度</v>
      </c>
      <c r="R15" s="667" t="s">
        <v>14</v>
      </c>
      <c r="S15" s="668">
        <f t="shared" si="0"/>
        <v>100</v>
      </c>
      <c r="T15" s="667" t="s">
        <v>14</v>
      </c>
      <c r="U15" s="668">
        <f t="shared" si="1"/>
        <v>100</v>
      </c>
      <c r="V15" s="667" t="s">
        <v>14</v>
      </c>
      <c r="W15" s="668">
        <f t="shared" si="2"/>
        <v>100</v>
      </c>
      <c r="X15" s="1265"/>
      <c r="Y15" s="338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94"/>
      <c r="Q16" s="1263"/>
      <c r="R16" s="667"/>
      <c r="S16" s="668"/>
      <c r="T16" s="667"/>
      <c r="U16" s="668"/>
      <c r="V16" s="667"/>
      <c r="W16" s="668"/>
      <c r="X16" s="1265"/>
      <c r="Y16" s="3387"/>
      <c r="Z16" s="1264"/>
      <c r="AA16" s="1264">
        <v>1</v>
      </c>
      <c r="AB16" s="1264">
        <v>1</v>
      </c>
      <c r="AC16" s="1812">
        <v>1</v>
      </c>
    </row>
    <row r="17" spans="1:29" ht="71.2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4"/>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94"/>
      <c r="Q18" s="1263"/>
      <c r="R18" s="667"/>
      <c r="S18" s="668"/>
      <c r="T18" s="667"/>
      <c r="U18" s="668"/>
      <c r="V18" s="667"/>
      <c r="W18" s="668"/>
      <c r="X18" s="1265"/>
      <c r="Y18" s="3387"/>
      <c r="Z18" s="1264"/>
      <c r="AA18" s="1264">
        <v>1</v>
      </c>
      <c r="AB18" s="1264">
        <v>1</v>
      </c>
      <c r="AC18" s="1812">
        <v>1</v>
      </c>
    </row>
    <row r="19" spans="1:29" ht="42.7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94"/>
      <c r="Q20" s="1263"/>
      <c r="R20" s="667"/>
      <c r="S20" s="668"/>
      <c r="T20" s="667"/>
      <c r="U20" s="668"/>
      <c r="V20" s="667"/>
      <c r="W20" s="668"/>
      <c r="X20" s="1265"/>
      <c r="Y20" s="3387"/>
      <c r="Z20" s="1264"/>
      <c r="AA20" s="1264">
        <v>1</v>
      </c>
      <c r="AB20" s="1264">
        <v>1</v>
      </c>
      <c r="AC20" s="1812">
        <v>1</v>
      </c>
    </row>
    <row r="21" spans="1:29" ht="28.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94"/>
      <c r="Q22" s="1263"/>
      <c r="R22" s="667"/>
      <c r="S22" s="668"/>
      <c r="T22" s="667"/>
      <c r="U22" s="668"/>
      <c r="V22" s="667"/>
      <c r="W22" s="668"/>
      <c r="X22" s="1265"/>
      <c r="Y22" s="3387"/>
      <c r="Z22" s="1264"/>
      <c r="AA22" s="1264">
        <v>1</v>
      </c>
      <c r="AB22" s="1264">
        <v>1</v>
      </c>
      <c r="AC22" s="1812">
        <v>1</v>
      </c>
    </row>
    <row r="23" spans="1:29" ht="42.7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4"/>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94"/>
      <c r="Q24" s="1263"/>
      <c r="R24" s="667"/>
      <c r="S24" s="668"/>
      <c r="T24" s="667"/>
      <c r="U24" s="668"/>
      <c r="V24" s="667"/>
      <c r="W24" s="668"/>
      <c r="X24" s="1265"/>
      <c r="Y24" s="338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4"/>
      <c r="Q25" s="1263" t="str">
        <f>B25</f>
        <v>毗邻道路的类型与等级</v>
      </c>
      <c r="R25" s="667" t="s">
        <v>14</v>
      </c>
      <c r="S25" s="668">
        <f>F25</f>
        <v>100</v>
      </c>
      <c r="T25" s="667" t="s">
        <v>14</v>
      </c>
      <c r="U25" s="668">
        <f>H25</f>
        <v>100</v>
      </c>
      <c r="V25" s="667" t="s">
        <v>14</v>
      </c>
      <c r="W25" s="668">
        <f>J25</f>
        <v>100</v>
      </c>
      <c r="X25" s="1265"/>
      <c r="Y25" s="338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94"/>
      <c r="Q26" s="1263"/>
      <c r="R26" s="667"/>
      <c r="S26" s="668"/>
      <c r="T26" s="667"/>
      <c r="U26" s="668"/>
      <c r="V26" s="667"/>
      <c r="W26" s="668"/>
      <c r="X26" s="1265"/>
      <c r="Y26" s="338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4"/>
      <c r="Q27" s="1263" t="str">
        <f t="shared" ref="Q27:Q47" si="11">B27</f>
        <v>楼层</v>
      </c>
      <c r="R27" s="667" t="s">
        <v>14</v>
      </c>
      <c r="S27" s="668">
        <f>F27</f>
        <v>100</v>
      </c>
      <c r="T27" s="667" t="s">
        <v>14</v>
      </c>
      <c r="U27" s="668">
        <f>H27</f>
        <v>100</v>
      </c>
      <c r="V27" s="667" t="s">
        <v>14</v>
      </c>
      <c r="W27" s="668">
        <f>J27</f>
        <v>100</v>
      </c>
      <c r="X27" s="1265"/>
      <c r="Y27" s="338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4"/>
      <c r="Q28" s="530" t="str">
        <f t="shared" si="11"/>
        <v>朝向</v>
      </c>
      <c r="R28" s="664" t="s">
        <v>14</v>
      </c>
      <c r="S28" s="665">
        <f>F28</f>
        <v>100</v>
      </c>
      <c r="T28" s="664" t="s">
        <v>14</v>
      </c>
      <c r="U28" s="665">
        <f>H28</f>
        <v>100</v>
      </c>
      <c r="V28" s="664" t="s">
        <v>14</v>
      </c>
      <c r="W28" s="665">
        <f>J28</f>
        <v>100</v>
      </c>
      <c r="X28" s="666"/>
      <c r="Y28" s="338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4"/>
      <c r="Q29" s="1263">
        <f t="shared" si="11"/>
        <v>111</v>
      </c>
      <c r="R29" s="667" t="s">
        <v>14</v>
      </c>
      <c r="S29" s="668">
        <f t="shared" ref="S29:S47" si="12">F29</f>
        <v>100</v>
      </c>
      <c r="T29" s="667" t="s">
        <v>14</v>
      </c>
      <c r="U29" s="668">
        <f t="shared" ref="U29:U47" si="13">H29</f>
        <v>100</v>
      </c>
      <c r="V29" s="667" t="s">
        <v>14</v>
      </c>
      <c r="W29" s="668">
        <f t="shared" ref="W29:W47" si="14">J29</f>
        <v>100</v>
      </c>
      <c r="X29" s="1265"/>
      <c r="Y29" s="338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4"/>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4"/>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4"/>
      <c r="Q32" s="1263">
        <f t="shared" si="11"/>
        <v>111</v>
      </c>
      <c r="R32" s="667" t="s">
        <v>14</v>
      </c>
      <c r="S32" s="668">
        <f t="shared" si="12"/>
        <v>100</v>
      </c>
      <c r="T32" s="667" t="s">
        <v>14</v>
      </c>
      <c r="U32" s="668">
        <f t="shared" si="13"/>
        <v>100</v>
      </c>
      <c r="V32" s="667" t="s">
        <v>14</v>
      </c>
      <c r="W32" s="668">
        <f t="shared" si="14"/>
        <v>100</v>
      </c>
      <c r="X32" s="1265"/>
      <c r="Y32" s="338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88" t="s">
        <v>1696</v>
      </c>
      <c r="Q33" s="1263" t="str">
        <f t="shared" si="11"/>
        <v>建筑类型</v>
      </c>
      <c r="R33" s="667" t="s">
        <v>14</v>
      </c>
      <c r="S33" s="668">
        <f t="shared" si="12"/>
        <v>100</v>
      </c>
      <c r="T33" s="667" t="s">
        <v>14</v>
      </c>
      <c r="U33" s="668">
        <f t="shared" si="13"/>
        <v>100</v>
      </c>
      <c r="V33" s="667" t="s">
        <v>14</v>
      </c>
      <c r="W33" s="668">
        <f t="shared" si="14"/>
        <v>100</v>
      </c>
      <c r="X33" s="1265"/>
      <c r="Y33" s="339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89"/>
      <c r="Q34" s="531" t="str">
        <f t="shared" si="11"/>
        <v>项目建筑规模</v>
      </c>
      <c r="R34" s="669" t="s">
        <v>14</v>
      </c>
      <c r="S34" s="670" t="e">
        <f t="shared" si="12"/>
        <v>#N/A</v>
      </c>
      <c r="T34" s="669" t="s">
        <v>14</v>
      </c>
      <c r="U34" s="670" t="e">
        <f t="shared" si="13"/>
        <v>#N/A</v>
      </c>
      <c r="V34" s="669" t="s">
        <v>14</v>
      </c>
      <c r="W34" s="670" t="e">
        <f t="shared" si="14"/>
        <v>#N/A</v>
      </c>
      <c r="X34" s="671"/>
      <c r="Y34" s="339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89"/>
      <c r="Q35" s="1263" t="str">
        <f t="shared" si="11"/>
        <v>建筑结构</v>
      </c>
      <c r="R35" s="667" t="s">
        <v>14</v>
      </c>
      <c r="S35" s="668">
        <f t="shared" si="12"/>
        <v>100</v>
      </c>
      <c r="T35" s="667" t="s">
        <v>14</v>
      </c>
      <c r="U35" s="668">
        <f t="shared" si="13"/>
        <v>100</v>
      </c>
      <c r="V35" s="667" t="s">
        <v>14</v>
      </c>
      <c r="W35" s="668">
        <f t="shared" si="14"/>
        <v>100</v>
      </c>
      <c r="X35" s="1265"/>
      <c r="Y35" s="339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89"/>
      <c r="Q36" s="1263" t="str">
        <f t="shared" si="11"/>
        <v>公共部分装修</v>
      </c>
      <c r="R36" s="667" t="s">
        <v>14</v>
      </c>
      <c r="S36" s="668">
        <f t="shared" si="12"/>
        <v>100</v>
      </c>
      <c r="T36" s="667" t="s">
        <v>14</v>
      </c>
      <c r="U36" s="668">
        <f t="shared" si="13"/>
        <v>100</v>
      </c>
      <c r="V36" s="667" t="s">
        <v>14</v>
      </c>
      <c r="W36" s="668">
        <f t="shared" si="14"/>
        <v>100</v>
      </c>
      <c r="X36" s="1265"/>
      <c r="Y36" s="339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89"/>
      <c r="Q37" s="1263" t="str">
        <f t="shared" si="11"/>
        <v>成新度</v>
      </c>
      <c r="R37" s="667" t="s">
        <v>14</v>
      </c>
      <c r="S37" s="668" t="e">
        <f t="shared" si="12"/>
        <v>#N/A</v>
      </c>
      <c r="T37" s="667" t="s">
        <v>14</v>
      </c>
      <c r="U37" s="668" t="e">
        <f t="shared" si="13"/>
        <v>#N/A</v>
      </c>
      <c r="V37" s="667" t="s">
        <v>14</v>
      </c>
      <c r="W37" s="668" t="e">
        <f t="shared" si="14"/>
        <v>#N/A</v>
      </c>
      <c r="X37" s="1265"/>
      <c r="Y37" s="339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9"/>
      <c r="Q38" s="530" t="str">
        <f t="shared" si="11"/>
        <v>写字楼等级</v>
      </c>
      <c r="R38" s="664" t="s">
        <v>14</v>
      </c>
      <c r="S38" s="665">
        <f t="shared" si="12"/>
        <v>100</v>
      </c>
      <c r="T38" s="664" t="s">
        <v>14</v>
      </c>
      <c r="U38" s="665">
        <f t="shared" si="13"/>
        <v>100</v>
      </c>
      <c r="V38" s="664" t="s">
        <v>14</v>
      </c>
      <c r="W38" s="665">
        <f t="shared" si="14"/>
        <v>100</v>
      </c>
      <c r="X38" s="666"/>
      <c r="Y38" s="339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89" t="s">
        <v>1696</v>
      </c>
      <c r="Q39" s="1263" t="str">
        <f t="shared" si="11"/>
        <v>物业管理</v>
      </c>
      <c r="R39" s="667" t="s">
        <v>14</v>
      </c>
      <c r="S39" s="668">
        <f t="shared" si="12"/>
        <v>100</v>
      </c>
      <c r="T39" s="667" t="s">
        <v>14</v>
      </c>
      <c r="U39" s="668">
        <f t="shared" si="13"/>
        <v>100</v>
      </c>
      <c r="V39" s="667" t="s">
        <v>14</v>
      </c>
      <c r="W39" s="668">
        <f t="shared" si="14"/>
        <v>100</v>
      </c>
      <c r="X39" s="1265"/>
      <c r="Y39" s="339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9"/>
      <c r="Q40" s="1263" t="str">
        <f t="shared" si="11"/>
        <v>市政基础设施</v>
      </c>
      <c r="R40" s="667" t="s">
        <v>14</v>
      </c>
      <c r="S40" s="668">
        <f t="shared" si="12"/>
        <v>100</v>
      </c>
      <c r="T40" s="667" t="s">
        <v>14</v>
      </c>
      <c r="U40" s="668">
        <f t="shared" si="13"/>
        <v>100</v>
      </c>
      <c r="V40" s="667" t="s">
        <v>14</v>
      </c>
      <c r="W40" s="668">
        <f t="shared" si="14"/>
        <v>100</v>
      </c>
      <c r="X40" s="1265"/>
      <c r="Y40" s="339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89"/>
      <c r="Q41" s="1263" t="str">
        <f t="shared" si="11"/>
        <v>层高</v>
      </c>
      <c r="R41" s="667" t="s">
        <v>14</v>
      </c>
      <c r="S41" s="668">
        <f t="shared" si="12"/>
        <v>100</v>
      </c>
      <c r="T41" s="667" t="s">
        <v>14</v>
      </c>
      <c r="U41" s="668">
        <f t="shared" si="13"/>
        <v>100</v>
      </c>
      <c r="V41" s="667" t="s">
        <v>14</v>
      </c>
      <c r="W41" s="668">
        <f t="shared" si="14"/>
        <v>100</v>
      </c>
      <c r="X41" s="1265"/>
      <c r="Y41" s="339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9"/>
      <c r="Q42" s="531" t="str">
        <f t="shared" si="11"/>
        <v>单套建筑面积</v>
      </c>
      <c r="R42" s="669" t="s">
        <v>14</v>
      </c>
      <c r="S42" s="670">
        <f t="shared" si="12"/>
        <v>100</v>
      </c>
      <c r="T42" s="669" t="s">
        <v>14</v>
      </c>
      <c r="U42" s="670">
        <f t="shared" si="13"/>
        <v>100</v>
      </c>
      <c r="V42" s="669" t="s">
        <v>14</v>
      </c>
      <c r="W42" s="670">
        <f t="shared" si="14"/>
        <v>100</v>
      </c>
      <c r="X42" s="671"/>
      <c r="Y42" s="339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89"/>
      <c r="Q43" s="1263" t="str">
        <f t="shared" si="11"/>
        <v>内部装修</v>
      </c>
      <c r="R43" s="667" t="s">
        <v>14</v>
      </c>
      <c r="S43" s="668">
        <f t="shared" si="12"/>
        <v>100</v>
      </c>
      <c r="T43" s="667" t="s">
        <v>14</v>
      </c>
      <c r="U43" s="668">
        <f t="shared" si="13"/>
        <v>100</v>
      </c>
      <c r="V43" s="667" t="s">
        <v>14</v>
      </c>
      <c r="W43" s="668">
        <f t="shared" si="14"/>
        <v>100</v>
      </c>
      <c r="X43" s="1265"/>
      <c r="Y43" s="3391"/>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89"/>
      <c r="Q44" s="1263" t="str">
        <f t="shared" si="11"/>
        <v>内部装修维护情况</v>
      </c>
      <c r="R44" s="667" t="s">
        <v>14</v>
      </c>
      <c r="S44" s="668">
        <f t="shared" si="12"/>
        <v>100</v>
      </c>
      <c r="T44" s="667" t="s">
        <v>14</v>
      </c>
      <c r="U44" s="668">
        <f t="shared" si="13"/>
        <v>100</v>
      </c>
      <c r="V44" s="667" t="s">
        <v>14</v>
      </c>
      <c r="W44" s="668">
        <f t="shared" si="14"/>
        <v>100</v>
      </c>
      <c r="X44" s="1265"/>
      <c r="Y44" s="339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9"/>
      <c r="Q45" s="530">
        <f t="shared" si="11"/>
        <v>111</v>
      </c>
      <c r="R45" s="664" t="s">
        <v>14</v>
      </c>
      <c r="S45" s="665">
        <f t="shared" si="12"/>
        <v>100</v>
      </c>
      <c r="T45" s="664" t="s">
        <v>14</v>
      </c>
      <c r="U45" s="665">
        <f t="shared" si="13"/>
        <v>100</v>
      </c>
      <c r="V45" s="664" t="s">
        <v>14</v>
      </c>
      <c r="W45" s="665">
        <f t="shared" si="14"/>
        <v>100</v>
      </c>
      <c r="X45" s="666"/>
      <c r="Y45" s="339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9"/>
      <c r="Q46" s="1263">
        <f t="shared" si="11"/>
        <v>111</v>
      </c>
      <c r="R46" s="667" t="s">
        <v>14</v>
      </c>
      <c r="S46" s="668">
        <f t="shared" si="12"/>
        <v>100</v>
      </c>
      <c r="T46" s="667" t="s">
        <v>14</v>
      </c>
      <c r="U46" s="668">
        <f t="shared" si="13"/>
        <v>100</v>
      </c>
      <c r="V46" s="667" t="s">
        <v>14</v>
      </c>
      <c r="W46" s="668">
        <f t="shared" si="14"/>
        <v>100</v>
      </c>
      <c r="X46" s="1265"/>
      <c r="Y46" s="339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0"/>
      <c r="Q47" s="1263">
        <f t="shared" si="11"/>
        <v>111</v>
      </c>
      <c r="R47" s="667" t="s">
        <v>14</v>
      </c>
      <c r="S47" s="668">
        <f t="shared" si="12"/>
        <v>100</v>
      </c>
      <c r="T47" s="667" t="s">
        <v>14</v>
      </c>
      <c r="U47" s="668">
        <f t="shared" si="13"/>
        <v>100</v>
      </c>
      <c r="V47" s="667" t="s">
        <v>14</v>
      </c>
      <c r="W47" s="668">
        <f t="shared" si="14"/>
        <v>100</v>
      </c>
      <c r="X47" s="1265"/>
      <c r="Y47" s="3392"/>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95" t="str">
        <f>A48</f>
        <v>成交单价（元/平方米）</v>
      </c>
      <c r="Q48" s="3384"/>
      <c r="R48" s="3385">
        <f>E48</f>
        <v>0</v>
      </c>
      <c r="S48" s="3385"/>
      <c r="T48" s="3385">
        <f>G48</f>
        <v>0</v>
      </c>
      <c r="U48" s="3385"/>
      <c r="V48" s="3385">
        <f>I48</f>
        <v>0</v>
      </c>
      <c r="W48" s="3385"/>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95" t="str">
        <f>A49</f>
        <v>比较价值（元/平方米）</v>
      </c>
      <c r="Q49" s="3384"/>
      <c r="R49" s="3385" t="e">
        <f>IF(F1="售价",ROUND(PRODUCT(R48,AA7:AA47),0),ROUND(PRODUCT(R48,AA7:AA47),1))</f>
        <v>#DIV/0!</v>
      </c>
      <c r="S49" s="3385"/>
      <c r="T49" s="3385" t="e">
        <f>IF(F1="售价",ROUND(PRODUCT(T48,AB7:AB47),0),ROUND(PRODUCT(T48,AB7:AB47),1))</f>
        <v>#DIV/0!</v>
      </c>
      <c r="U49" s="3385"/>
      <c r="V49" s="3385" t="e">
        <f>IF(F1="售价",ROUND(PRODUCT(V48,AC7:AC47),0),ROUND(PRODUCT(V48,AC7:AC47),1))</f>
        <v>#DIV/0!</v>
      </c>
      <c r="W49" s="338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26" t="str">
        <f>A50</f>
        <v>估价对象XX用房的比较价值（楼面单价，元/平方米）</v>
      </c>
      <c r="Q50" s="3427"/>
      <c r="R50" s="3428" t="e">
        <f>IF(F1="售价",ROUND(IF(D49="简单平均",AVERAGE(R49:V49),R49*F49+T49*H49+V49*J49),0),ROUND(IF(D49="简单平均",AVERAGE(R49:V49),R49*F49+T49*H49+V49*J49),1))</f>
        <v>#DIV/0!</v>
      </c>
      <c r="S50" s="3428"/>
      <c r="T50" s="3428"/>
      <c r="U50" s="3428"/>
      <c r="V50" s="3428"/>
      <c r="W50" s="3428"/>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13013.62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860"/>
      <c r="M4" s="861"/>
      <c r="N4" s="861"/>
      <c r="O4" s="861"/>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860"/>
      <c r="M5" s="861"/>
      <c r="N5" s="861"/>
      <c r="O5" s="861"/>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537" t="s">
        <v>1678</v>
      </c>
      <c r="L6" s="860"/>
      <c r="M6" s="861"/>
      <c r="N6" s="861"/>
      <c r="O6" s="861"/>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45902</v>
      </c>
      <c r="D7" s="355">
        <v>100</v>
      </c>
      <c r="E7" s="356"/>
      <c r="F7" s="357">
        <f>SUMIF(52:52,YEAR(E7)&amp;"-"&amp;MONTH(E7),53:53)</f>
        <v>0</v>
      </c>
      <c r="G7" s="356"/>
      <c r="H7" s="355">
        <f>SUMIF(52:52,YEAR(G7)&amp;"-"&amp;MONTH(G7),53:53)</f>
        <v>0</v>
      </c>
      <c r="I7" s="356"/>
      <c r="J7" s="355">
        <f>SUMIF(52:52,YEAR(I7)&amp;"-"&amp;MONTH(I7),53:53)</f>
        <v>0</v>
      </c>
      <c r="K7" s="38"/>
      <c r="L7" s="862"/>
      <c r="M7" s="863"/>
      <c r="N7" s="863"/>
      <c r="O7" s="863"/>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9" t="s">
        <v>1683</v>
      </c>
      <c r="Q8" s="3420"/>
      <c r="R8" s="664" t="s">
        <v>14</v>
      </c>
      <c r="S8" s="665">
        <f t="shared" si="0"/>
        <v>100</v>
      </c>
      <c r="T8" s="664" t="s">
        <v>14</v>
      </c>
      <c r="U8" s="665">
        <f t="shared" si="1"/>
        <v>100</v>
      </c>
      <c r="V8" s="664" t="s">
        <v>14</v>
      </c>
      <c r="W8" s="665">
        <f t="shared" si="2"/>
        <v>100</v>
      </c>
      <c r="X8" s="666"/>
      <c r="Y8" s="3419" t="s">
        <v>1683</v>
      </c>
      <c r="Z8" s="342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4"/>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57">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7"/>
      <c r="Q16" s="1263"/>
      <c r="R16" s="667"/>
      <c r="S16" s="668"/>
      <c r="T16" s="667"/>
      <c r="U16" s="668"/>
      <c r="V16" s="667"/>
      <c r="W16" s="668"/>
      <c r="X16" s="1265"/>
      <c r="Y16" s="3387"/>
      <c r="Z16" s="1264"/>
      <c r="AA16" s="1264">
        <v>1</v>
      </c>
      <c r="AB16" s="1264">
        <v>1</v>
      </c>
      <c r="AC16" s="1264">
        <v>1</v>
      </c>
    </row>
    <row r="17" spans="1:29" ht="85.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7"/>
      <c r="Q18" s="1263"/>
      <c r="R18" s="667"/>
      <c r="S18" s="668"/>
      <c r="T18" s="667"/>
      <c r="U18" s="668"/>
      <c r="V18" s="667"/>
      <c r="W18" s="668"/>
      <c r="X18" s="1265"/>
      <c r="Y18" s="3387"/>
      <c r="Z18" s="1264"/>
      <c r="AA18" s="1264">
        <v>1</v>
      </c>
      <c r="AB18" s="1264">
        <v>1</v>
      </c>
      <c r="AC18" s="1264">
        <v>1</v>
      </c>
    </row>
    <row r="19" spans="1:29" ht="42.7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7"/>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7"/>
      <c r="Q20" s="1263"/>
      <c r="R20" s="667"/>
      <c r="S20" s="668"/>
      <c r="T20" s="667"/>
      <c r="U20" s="668"/>
      <c r="V20" s="667"/>
      <c r="W20" s="668"/>
      <c r="X20" s="1265"/>
      <c r="Y20" s="3387"/>
      <c r="Z20" s="1264"/>
      <c r="AA20" s="1264">
        <v>1</v>
      </c>
      <c r="AB20" s="1264">
        <v>1</v>
      </c>
      <c r="AC20" s="1264">
        <v>1</v>
      </c>
    </row>
    <row r="21" spans="1:29" ht="28.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7"/>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7"/>
      <c r="Q22" s="1263"/>
      <c r="R22" s="667"/>
      <c r="S22" s="668"/>
      <c r="T22" s="667"/>
      <c r="U22" s="668"/>
      <c r="V22" s="667"/>
      <c r="W22" s="668"/>
      <c r="X22" s="1265"/>
      <c r="Y22" s="3387"/>
      <c r="Z22" s="1264"/>
      <c r="AA22" s="1264">
        <v>1</v>
      </c>
      <c r="AB22" s="1264">
        <v>1</v>
      </c>
      <c r="AC22" s="1264">
        <v>1</v>
      </c>
    </row>
    <row r="23" spans="1:29" ht="71.2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7"/>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7"/>
      <c r="Q24" s="1263"/>
      <c r="R24" s="667"/>
      <c r="S24" s="668"/>
      <c r="T24" s="667"/>
      <c r="U24" s="668"/>
      <c r="V24" s="667"/>
      <c r="W24" s="668"/>
      <c r="X24" s="1265"/>
      <c r="Y24" s="338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7"/>
      <c r="Q25" s="1263">
        <f>B25</f>
        <v>111</v>
      </c>
      <c r="R25" s="667" t="s">
        <v>14</v>
      </c>
      <c r="S25" s="668">
        <f>F25</f>
        <v>100</v>
      </c>
      <c r="T25" s="667" t="s">
        <v>14</v>
      </c>
      <c r="U25" s="668">
        <f>H25</f>
        <v>100</v>
      </c>
      <c r="V25" s="667" t="s">
        <v>14</v>
      </c>
      <c r="W25" s="668">
        <f>J25</f>
        <v>100</v>
      </c>
      <c r="X25" s="1265"/>
      <c r="Y25" s="338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7"/>
      <c r="Q26" s="1263">
        <f t="shared" ref="Q26:Q40" si="11">B26</f>
        <v>111</v>
      </c>
      <c r="R26" s="667" t="s">
        <v>14</v>
      </c>
      <c r="S26" s="668">
        <f>F26</f>
        <v>100</v>
      </c>
      <c r="T26" s="667" t="s">
        <v>14</v>
      </c>
      <c r="U26" s="668">
        <f>H26</f>
        <v>100</v>
      </c>
      <c r="V26" s="667" t="s">
        <v>14</v>
      </c>
      <c r="W26" s="668">
        <f>J26</f>
        <v>100</v>
      </c>
      <c r="X26" s="1265"/>
      <c r="Y26" s="338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7"/>
      <c r="Q27" s="530">
        <f t="shared" si="11"/>
        <v>111</v>
      </c>
      <c r="R27" s="664" t="s">
        <v>14</v>
      </c>
      <c r="S27" s="665">
        <f>F27</f>
        <v>100</v>
      </c>
      <c r="T27" s="664" t="s">
        <v>14</v>
      </c>
      <c r="U27" s="665">
        <f>H27</f>
        <v>100</v>
      </c>
      <c r="V27" s="664" t="s">
        <v>14</v>
      </c>
      <c r="W27" s="665">
        <f>J27</f>
        <v>100</v>
      </c>
      <c r="X27" s="666"/>
      <c r="Y27" s="338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7"/>
      <c r="Q28" s="1263">
        <f t="shared" si="11"/>
        <v>111</v>
      </c>
      <c r="R28" s="667" t="s">
        <v>14</v>
      </c>
      <c r="S28" s="668">
        <f t="shared" ref="S28:S40" si="12">F28</f>
        <v>100</v>
      </c>
      <c r="T28" s="667" t="s">
        <v>14</v>
      </c>
      <c r="U28" s="668">
        <f t="shared" ref="U28:U40" si="13">H28</f>
        <v>100</v>
      </c>
      <c r="V28" s="667" t="s">
        <v>14</v>
      </c>
      <c r="W28" s="668">
        <f t="shared" ref="W28:W40" si="14">J28</f>
        <v>100</v>
      </c>
      <c r="X28" s="1265"/>
      <c r="Y28" s="338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1" t="s">
        <v>1696</v>
      </c>
      <c r="Q29" s="1263" t="str">
        <f t="shared" si="11"/>
        <v>建筑类型</v>
      </c>
      <c r="R29" s="667" t="s">
        <v>14</v>
      </c>
      <c r="S29" s="668">
        <f t="shared" si="12"/>
        <v>100</v>
      </c>
      <c r="T29" s="667" t="s">
        <v>14</v>
      </c>
      <c r="U29" s="668">
        <f t="shared" si="13"/>
        <v>100</v>
      </c>
      <c r="V29" s="667" t="s">
        <v>14</v>
      </c>
      <c r="W29" s="668">
        <f t="shared" si="14"/>
        <v>100</v>
      </c>
      <c r="X29" s="1265"/>
      <c r="Y29" s="339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1"/>
      <c r="Q30" s="531" t="str">
        <f t="shared" si="11"/>
        <v>项目建筑规模</v>
      </c>
      <c r="R30" s="669" t="s">
        <v>14</v>
      </c>
      <c r="S30" s="670" t="e">
        <f t="shared" si="12"/>
        <v>#N/A</v>
      </c>
      <c r="T30" s="669" t="s">
        <v>14</v>
      </c>
      <c r="U30" s="670" t="e">
        <f t="shared" si="13"/>
        <v>#N/A</v>
      </c>
      <c r="V30" s="669" t="s">
        <v>14</v>
      </c>
      <c r="W30" s="670" t="e">
        <f t="shared" si="14"/>
        <v>#N/A</v>
      </c>
      <c r="X30" s="671"/>
      <c r="Y30" s="339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1"/>
      <c r="Q31" s="1263" t="str">
        <f t="shared" si="11"/>
        <v>建筑结构</v>
      </c>
      <c r="R31" s="667" t="s">
        <v>14</v>
      </c>
      <c r="S31" s="668">
        <f t="shared" si="12"/>
        <v>100</v>
      </c>
      <c r="T31" s="667" t="s">
        <v>14</v>
      </c>
      <c r="U31" s="668">
        <f t="shared" si="13"/>
        <v>100</v>
      </c>
      <c r="V31" s="667" t="s">
        <v>14</v>
      </c>
      <c r="W31" s="668">
        <f t="shared" si="14"/>
        <v>100</v>
      </c>
      <c r="X31" s="1265"/>
      <c r="Y31" s="339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1"/>
      <c r="Q32" s="1263" t="str">
        <f t="shared" si="11"/>
        <v>公共部分装修</v>
      </c>
      <c r="R32" s="667" t="s">
        <v>14</v>
      </c>
      <c r="S32" s="668">
        <f t="shared" si="12"/>
        <v>100</v>
      </c>
      <c r="T32" s="667" t="s">
        <v>14</v>
      </c>
      <c r="U32" s="668">
        <f t="shared" si="13"/>
        <v>100</v>
      </c>
      <c r="V32" s="667" t="s">
        <v>14</v>
      </c>
      <c r="W32" s="668">
        <f t="shared" si="14"/>
        <v>100</v>
      </c>
      <c r="X32" s="1265"/>
      <c r="Y32" s="339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1"/>
      <c r="Q33" s="1263" t="str">
        <f t="shared" si="11"/>
        <v>成新度</v>
      </c>
      <c r="R33" s="667" t="s">
        <v>14</v>
      </c>
      <c r="S33" s="668" t="e">
        <f t="shared" si="12"/>
        <v>#N/A</v>
      </c>
      <c r="T33" s="667" t="s">
        <v>14</v>
      </c>
      <c r="U33" s="668" t="e">
        <f t="shared" si="13"/>
        <v>#N/A</v>
      </c>
      <c r="V33" s="667" t="s">
        <v>14</v>
      </c>
      <c r="W33" s="668" t="e">
        <f t="shared" si="14"/>
        <v>#N/A</v>
      </c>
      <c r="X33" s="1265"/>
      <c r="Y33" s="339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1"/>
      <c r="Q34" s="530" t="str">
        <f t="shared" si="11"/>
        <v>物业管理</v>
      </c>
      <c r="R34" s="664" t="s">
        <v>14</v>
      </c>
      <c r="S34" s="665">
        <f t="shared" si="12"/>
        <v>100</v>
      </c>
      <c r="T34" s="664" t="s">
        <v>14</v>
      </c>
      <c r="U34" s="665">
        <f t="shared" si="13"/>
        <v>100</v>
      </c>
      <c r="V34" s="664" t="s">
        <v>14</v>
      </c>
      <c r="W34" s="665">
        <f t="shared" si="14"/>
        <v>100</v>
      </c>
      <c r="X34" s="666"/>
      <c r="Y34" s="339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1" t="s">
        <v>1696</v>
      </c>
      <c r="Q35" s="1263" t="str">
        <f t="shared" si="11"/>
        <v>市政基础设施</v>
      </c>
      <c r="R35" s="667" t="s">
        <v>14</v>
      </c>
      <c r="S35" s="668">
        <f t="shared" si="12"/>
        <v>100</v>
      </c>
      <c r="T35" s="667" t="s">
        <v>14</v>
      </c>
      <c r="U35" s="668">
        <f t="shared" si="13"/>
        <v>100</v>
      </c>
      <c r="V35" s="667" t="s">
        <v>14</v>
      </c>
      <c r="W35" s="668">
        <f t="shared" si="14"/>
        <v>100</v>
      </c>
      <c r="X35" s="1265"/>
      <c r="Y35" s="339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1"/>
      <c r="Q36" s="1263" t="str">
        <f t="shared" si="11"/>
        <v>内部装修</v>
      </c>
      <c r="R36" s="667" t="s">
        <v>14</v>
      </c>
      <c r="S36" s="668">
        <f t="shared" si="12"/>
        <v>100</v>
      </c>
      <c r="T36" s="667" t="s">
        <v>14</v>
      </c>
      <c r="U36" s="668">
        <f t="shared" si="13"/>
        <v>100</v>
      </c>
      <c r="V36" s="667" t="s">
        <v>14</v>
      </c>
      <c r="W36" s="668">
        <f t="shared" si="14"/>
        <v>100</v>
      </c>
      <c r="X36" s="1265"/>
      <c r="Y36" s="339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1"/>
      <c r="Q37" s="1263" t="str">
        <f t="shared" si="11"/>
        <v>内部装修状况</v>
      </c>
      <c r="R37" s="667" t="s">
        <v>14</v>
      </c>
      <c r="S37" s="668">
        <f t="shared" si="12"/>
        <v>100</v>
      </c>
      <c r="T37" s="667" t="s">
        <v>14</v>
      </c>
      <c r="U37" s="668">
        <f t="shared" si="13"/>
        <v>100</v>
      </c>
      <c r="V37" s="667" t="s">
        <v>14</v>
      </c>
      <c r="W37" s="668">
        <f t="shared" si="14"/>
        <v>100</v>
      </c>
      <c r="X37" s="1265"/>
      <c r="Y37" s="339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1"/>
      <c r="Q38" s="531">
        <f t="shared" si="11"/>
        <v>111</v>
      </c>
      <c r="R38" s="669" t="s">
        <v>14</v>
      </c>
      <c r="S38" s="670">
        <f t="shared" si="12"/>
        <v>100</v>
      </c>
      <c r="T38" s="669" t="s">
        <v>14</v>
      </c>
      <c r="U38" s="670">
        <f t="shared" si="13"/>
        <v>100</v>
      </c>
      <c r="V38" s="669" t="s">
        <v>14</v>
      </c>
      <c r="W38" s="670">
        <f t="shared" si="14"/>
        <v>100</v>
      </c>
      <c r="X38" s="671"/>
      <c r="Y38" s="339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1"/>
      <c r="Q39" s="1263">
        <f t="shared" si="11"/>
        <v>111</v>
      </c>
      <c r="R39" s="667" t="s">
        <v>14</v>
      </c>
      <c r="S39" s="668">
        <f t="shared" si="12"/>
        <v>100</v>
      </c>
      <c r="T39" s="667" t="s">
        <v>14</v>
      </c>
      <c r="U39" s="668">
        <f t="shared" si="13"/>
        <v>100</v>
      </c>
      <c r="V39" s="667" t="s">
        <v>14</v>
      </c>
      <c r="W39" s="668">
        <f t="shared" si="14"/>
        <v>100</v>
      </c>
      <c r="X39" s="1265"/>
      <c r="Y39" s="339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2"/>
      <c r="Q40" s="1263">
        <f t="shared" si="11"/>
        <v>111</v>
      </c>
      <c r="R40" s="667" t="s">
        <v>14</v>
      </c>
      <c r="S40" s="668">
        <f t="shared" si="12"/>
        <v>100</v>
      </c>
      <c r="T40" s="667" t="s">
        <v>14</v>
      </c>
      <c r="U40" s="668">
        <f t="shared" si="13"/>
        <v>100</v>
      </c>
      <c r="V40" s="667" t="s">
        <v>14</v>
      </c>
      <c r="W40" s="668">
        <f t="shared" si="14"/>
        <v>100</v>
      </c>
      <c r="X40" s="1265"/>
      <c r="Y40" s="339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4" t="str">
        <f>A41</f>
        <v>成交单价（元/平方米）</v>
      </c>
      <c r="Q41" s="3384"/>
      <c r="R41" s="3385">
        <f>E41</f>
        <v>0</v>
      </c>
      <c r="S41" s="3385"/>
      <c r="T41" s="3385">
        <f>G41</f>
        <v>0</v>
      </c>
      <c r="U41" s="3385"/>
      <c r="V41" s="3385">
        <f>I41</f>
        <v>0</v>
      </c>
      <c r="W41" s="3385"/>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4" t="str">
        <f>A42</f>
        <v>比较价值（元/平方米）</v>
      </c>
      <c r="Q42" s="3384"/>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1" t="str">
        <f>A43</f>
        <v>估价对象XX用房的比较价值（楼面单价，元/平方米）</v>
      </c>
      <c r="Q43" s="3382"/>
      <c r="R43" s="3383" t="e">
        <f>IF(F1="售价",ROUND(IF(D42="简单平均",AVERAGE(R42:V42),R42*F42+T42*H42+V42*J42),0),ROUND(IF(D42="简单平均",AVERAGE(R42:V42),R42*F42+T42*H42+V42*J42),1))</f>
        <v>#DIV/0!</v>
      </c>
      <c r="S43" s="3383"/>
      <c r="T43" s="3383"/>
      <c r="U43" s="3383"/>
      <c r="V43" s="3383"/>
      <c r="W43" s="338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受贵公司委托，我公司对房地产抵押价值进行了预评估。</v>
      </c>
    </row>
    <row r="5" spans="1:1" ht="18.75">
      <c r="A5" s="1383" t="s">
        <v>899</v>
      </c>
    </row>
    <row r="6" spans="1:1" ht="18.75">
      <c r="A6" s="1384" t="s">
        <v>900</v>
      </c>
    </row>
    <row r="7" spans="1:1" ht="18">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估价对象为房地产，为所有。根据《国有土地使用证》[]，估价对象（分摊）出让国有建设用地使用权面积为0平方米，建筑面积为13013.62平方米。</v>
      </c>
    </row>
    <row r="8" spans="1:1" ht="57.75">
      <c r="A8" s="1385" t="s">
        <v>901</v>
      </c>
    </row>
    <row r="9" spans="1:1" ht="18.75">
      <c r="A9" s="1384" t="s">
        <v>902</v>
      </c>
    </row>
    <row r="10" spans="1:1" ht="18">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估价对象为房地产,属开发建设的，该项目尚在开发建设中。根据《国有土地使用证》[]，估价对象（分摊）出让国有建设用地使用权面积为0平方米，规划建筑面积为13013.62平方米。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2025年9月2日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45902</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9" t="s">
        <v>1680</v>
      </c>
      <c r="Q7" s="3421"/>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4"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4"/>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85.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7"/>
      <c r="Q15" s="1263"/>
      <c r="R15" s="667"/>
      <c r="S15" s="668"/>
      <c r="T15" s="667"/>
      <c r="U15" s="668"/>
      <c r="V15" s="667"/>
      <c r="W15" s="668"/>
      <c r="X15" s="1265"/>
      <c r="Y15" s="3387"/>
      <c r="Z15" s="1264"/>
      <c r="AA15" s="1264">
        <v>1</v>
      </c>
      <c r="AB15" s="1264">
        <v>1</v>
      </c>
      <c r="AC15" s="1264">
        <v>1</v>
      </c>
    </row>
    <row r="16" spans="1:29" ht="42.7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7"/>
      <c r="Q17" s="1263"/>
      <c r="R17" s="667"/>
      <c r="S17" s="668"/>
      <c r="T17" s="667"/>
      <c r="U17" s="668"/>
      <c r="V17" s="667"/>
      <c r="W17" s="668"/>
      <c r="X17" s="1265"/>
      <c r="Y17" s="3387"/>
      <c r="Z17" s="1264"/>
      <c r="AA17" s="1264">
        <v>1</v>
      </c>
      <c r="AB17" s="1264">
        <v>1</v>
      </c>
      <c r="AC17" s="1264">
        <v>1</v>
      </c>
    </row>
    <row r="18" spans="1:29" ht="28.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7"/>
      <c r="Q19" s="1263"/>
      <c r="R19" s="667"/>
      <c r="S19" s="668"/>
      <c r="T19" s="667"/>
      <c r="U19" s="668"/>
      <c r="V19" s="667"/>
      <c r="W19" s="668"/>
      <c r="X19" s="1265"/>
      <c r="Y19" s="3387"/>
      <c r="Z19" s="1264"/>
      <c r="AA19" s="1264">
        <v>1</v>
      </c>
      <c r="AB19" s="1264">
        <v>1</v>
      </c>
      <c r="AC19" s="1264">
        <v>1</v>
      </c>
    </row>
    <row r="20" spans="1:29" ht="57">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7"/>
      <c r="Q21" s="1263"/>
      <c r="R21" s="667"/>
      <c r="S21" s="668"/>
      <c r="T21" s="667"/>
      <c r="U21" s="668"/>
      <c r="V21" s="667"/>
      <c r="W21" s="668"/>
      <c r="X21" s="1265"/>
      <c r="Y21" s="338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7"/>
      <c r="Q24" s="1263">
        <f t="shared" ref="Q24:Q36"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1"/>
      <c r="Q27" s="531" t="str">
        <f t="shared" si="11"/>
        <v>项目停车位配比</v>
      </c>
      <c r="R27" s="669" t="s">
        <v>14</v>
      </c>
      <c r="S27" s="670">
        <f t="shared" si="12"/>
        <v>100</v>
      </c>
      <c r="T27" s="669" t="s">
        <v>14</v>
      </c>
      <c r="U27" s="670">
        <f t="shared" si="13"/>
        <v>100</v>
      </c>
      <c r="V27" s="669" t="s">
        <v>14</v>
      </c>
      <c r="W27" s="670">
        <f t="shared" si="14"/>
        <v>100</v>
      </c>
      <c r="X27" s="671"/>
      <c r="Y27" s="339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1"/>
      <c r="Q28" s="1263" t="str">
        <f t="shared" si="11"/>
        <v>公共部分装修</v>
      </c>
      <c r="R28" s="667" t="s">
        <v>14</v>
      </c>
      <c r="S28" s="668">
        <f t="shared" si="12"/>
        <v>100</v>
      </c>
      <c r="T28" s="667" t="s">
        <v>14</v>
      </c>
      <c r="U28" s="668">
        <f t="shared" si="13"/>
        <v>100</v>
      </c>
      <c r="V28" s="667" t="s">
        <v>14</v>
      </c>
      <c r="W28" s="668">
        <f t="shared" si="14"/>
        <v>100</v>
      </c>
      <c r="X28" s="1265"/>
      <c r="Y28" s="339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1"/>
      <c r="Q29" s="1263" t="str">
        <f t="shared" si="11"/>
        <v>成新率</v>
      </c>
      <c r="R29" s="667" t="s">
        <v>14</v>
      </c>
      <c r="S29" s="668" t="e">
        <f t="shared" si="12"/>
        <v>#N/A</v>
      </c>
      <c r="T29" s="667" t="s">
        <v>14</v>
      </c>
      <c r="U29" s="668" t="e">
        <f t="shared" si="13"/>
        <v>#N/A</v>
      </c>
      <c r="V29" s="667" t="s">
        <v>14</v>
      </c>
      <c r="W29" s="668" t="e">
        <f t="shared" si="14"/>
        <v>#N/A</v>
      </c>
      <c r="X29" s="1265"/>
      <c r="Y29" s="339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1"/>
      <c r="Q30" s="1263" t="str">
        <f t="shared" si="11"/>
        <v>物业等级</v>
      </c>
      <c r="R30" s="667" t="s">
        <v>14</v>
      </c>
      <c r="S30" s="668">
        <f t="shared" si="12"/>
        <v>100</v>
      </c>
      <c r="T30" s="667" t="s">
        <v>14</v>
      </c>
      <c r="U30" s="668">
        <f t="shared" si="13"/>
        <v>100</v>
      </c>
      <c r="V30" s="667" t="s">
        <v>14</v>
      </c>
      <c r="W30" s="668">
        <f t="shared" si="14"/>
        <v>100</v>
      </c>
      <c r="X30" s="1265"/>
      <c r="Y30" s="339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1"/>
      <c r="Q31" s="530" t="str">
        <f t="shared" si="11"/>
        <v>停车位面积</v>
      </c>
      <c r="R31" s="664" t="s">
        <v>14</v>
      </c>
      <c r="S31" s="665" t="e">
        <f t="shared" si="12"/>
        <v>#N/A</v>
      </c>
      <c r="T31" s="664" t="s">
        <v>14</v>
      </c>
      <c r="U31" s="665" t="e">
        <f t="shared" si="13"/>
        <v>#N/A</v>
      </c>
      <c r="V31" s="664" t="s">
        <v>14</v>
      </c>
      <c r="W31" s="665" t="e">
        <f t="shared" si="14"/>
        <v>#N/A</v>
      </c>
      <c r="X31" s="666"/>
      <c r="Y31" s="339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1" t="s">
        <v>1696</v>
      </c>
      <c r="Q32" s="1263" t="str">
        <f t="shared" si="11"/>
        <v>车位类型</v>
      </c>
      <c r="R32" s="667" t="s">
        <v>14</v>
      </c>
      <c r="S32" s="668">
        <f t="shared" si="12"/>
        <v>100</v>
      </c>
      <c r="T32" s="667" t="s">
        <v>14</v>
      </c>
      <c r="U32" s="668">
        <f t="shared" si="13"/>
        <v>100</v>
      </c>
      <c r="V32" s="667" t="s">
        <v>14</v>
      </c>
      <c r="W32" s="668">
        <f t="shared" si="14"/>
        <v>100</v>
      </c>
      <c r="X32" s="1265"/>
      <c r="Y32" s="339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1"/>
      <c r="Q33" s="1263" t="str">
        <f t="shared" si="11"/>
        <v>是否直接入户</v>
      </c>
      <c r="R33" s="667" t="s">
        <v>14</v>
      </c>
      <c r="S33" s="668">
        <f t="shared" si="12"/>
        <v>100</v>
      </c>
      <c r="T33" s="667" t="s">
        <v>14</v>
      </c>
      <c r="U33" s="668">
        <f t="shared" si="13"/>
        <v>100</v>
      </c>
      <c r="V33" s="667" t="s">
        <v>14</v>
      </c>
      <c r="W33" s="668">
        <f t="shared" si="14"/>
        <v>100</v>
      </c>
      <c r="X33" s="1265"/>
      <c r="Y33" s="339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1"/>
      <c r="Q35" s="531">
        <f t="shared" si="11"/>
        <v>111</v>
      </c>
      <c r="R35" s="669" t="s">
        <v>14</v>
      </c>
      <c r="S35" s="670">
        <f t="shared" si="12"/>
        <v>100</v>
      </c>
      <c r="T35" s="669" t="s">
        <v>14</v>
      </c>
      <c r="U35" s="670">
        <f t="shared" si="13"/>
        <v>100</v>
      </c>
      <c r="V35" s="669" t="s">
        <v>14</v>
      </c>
      <c r="W35" s="670">
        <f t="shared" si="14"/>
        <v>100</v>
      </c>
      <c r="X35" s="671"/>
      <c r="Y35" s="339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1"/>
      <c r="Q36" s="1263">
        <f t="shared" si="11"/>
        <v>111</v>
      </c>
      <c r="R36" s="667" t="s">
        <v>14</v>
      </c>
      <c r="S36" s="668">
        <f t="shared" si="12"/>
        <v>100</v>
      </c>
      <c r="T36" s="667" t="s">
        <v>14</v>
      </c>
      <c r="U36" s="668">
        <f t="shared" si="13"/>
        <v>100</v>
      </c>
      <c r="V36" s="667" t="s">
        <v>14</v>
      </c>
      <c r="W36" s="668">
        <f t="shared" si="14"/>
        <v>100</v>
      </c>
      <c r="X36" s="1265"/>
      <c r="Y36" s="3391"/>
      <c r="Z36" s="1264">
        <f t="shared" si="15"/>
        <v>111</v>
      </c>
      <c r="AA36" s="1264">
        <f t="shared" si="3"/>
        <v>1</v>
      </c>
      <c r="AB36" s="1264">
        <f t="shared" si="4"/>
        <v>1</v>
      </c>
      <c r="AC36" s="1264">
        <f t="shared" si="5"/>
        <v>1</v>
      </c>
    </row>
    <row r="37" spans="1:29" ht="15">
      <c r="A37" s="416" t="s">
        <v>1844</v>
      </c>
      <c r="B37" s="1821" t="s">
        <v>3343</v>
      </c>
      <c r="C37" s="1081" t="s">
        <v>0</v>
      </c>
      <c r="D37" s="418"/>
      <c r="E37" s="419"/>
      <c r="F37" s="420"/>
      <c r="G37" s="421"/>
      <c r="H37" s="422"/>
      <c r="I37" s="419"/>
      <c r="J37" s="422"/>
      <c r="K37" s="545"/>
      <c r="L37" s="2495"/>
      <c r="M37" s="2488"/>
      <c r="N37" s="2488"/>
      <c r="O37" s="2488"/>
      <c r="P37" s="3384" t="str">
        <f>A37</f>
        <v>成交单价</v>
      </c>
      <c r="Q37" s="3384"/>
      <c r="R37" s="3385">
        <f>E37</f>
        <v>0</v>
      </c>
      <c r="S37" s="3385"/>
      <c r="T37" s="3385">
        <f>G37</f>
        <v>0</v>
      </c>
      <c r="U37" s="3385"/>
      <c r="V37" s="3385">
        <f>I37</f>
        <v>0</v>
      </c>
      <c r="W37" s="3385"/>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84" t="str">
        <f>A38</f>
        <v>比较价值（元/平方米）</v>
      </c>
      <c r="Q38" s="3384"/>
      <c r="R38" s="3385" t="e">
        <f>IF(F1="售价",ROUND(PRODUCT(R37,AA7:AA36),0),ROUND(PRODUCT(R37,AA7:AA36),1))</f>
        <v>#DIV/0!</v>
      </c>
      <c r="S38" s="3385"/>
      <c r="T38" s="3385" t="e">
        <f>IF(F1="售价",ROUND(PRODUCT(T37,AB7:AB36),0),ROUND(PRODUCT(T37,AB7:AB36),1))</f>
        <v>#DIV/0!</v>
      </c>
      <c r="U38" s="3385"/>
      <c r="V38" s="3385" t="e">
        <f>IF(F1="售价",ROUND(PRODUCT(V37,AC7:AC36),0),ROUND(PRODUCT(V37,AC7:AC36),1))</f>
        <v>#DIV/0!</v>
      </c>
      <c r="W38" s="338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81" t="str">
        <f>A39</f>
        <v>估价对象XX用房的比较价值（楼面单价，元/平方米）</v>
      </c>
      <c r="Q39" s="3382"/>
      <c r="R39" s="3442" t="e">
        <f>IF(F1="售价",ROUND(IF(D38="简单平均",AVERAGE(R38:W38),R38*F38+T38*H38+V38*J38),0),ROUND(IF(D38="简单平均",AVERAGE(R38:V38),R38*F38+T38*H38+V38*J38),1))</f>
        <v>#DIV/0!</v>
      </c>
      <c r="S39" s="3442"/>
      <c r="T39" s="3442"/>
      <c r="U39" s="3442"/>
      <c r="V39" s="3442"/>
      <c r="W39" s="3442"/>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45902</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9" t="s">
        <v>1680</v>
      </c>
      <c r="Q7" s="3421"/>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4"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4"/>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85.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7"/>
      <c r="Q15" s="1263"/>
      <c r="R15" s="667"/>
      <c r="S15" s="668"/>
      <c r="T15" s="667"/>
      <c r="U15" s="668"/>
      <c r="V15" s="667"/>
      <c r="W15" s="668"/>
      <c r="X15" s="1265"/>
      <c r="Y15" s="3387"/>
      <c r="Z15" s="1264"/>
      <c r="AA15" s="1264">
        <v>1</v>
      </c>
      <c r="AB15" s="1264">
        <v>1</v>
      </c>
      <c r="AC15" s="1264">
        <v>1</v>
      </c>
    </row>
    <row r="16" spans="1:29" ht="42.7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7"/>
      <c r="Q17" s="1263"/>
      <c r="R17" s="667"/>
      <c r="S17" s="668"/>
      <c r="T17" s="667"/>
      <c r="U17" s="668"/>
      <c r="V17" s="667"/>
      <c r="W17" s="668"/>
      <c r="X17" s="1265"/>
      <c r="Y17" s="3387"/>
      <c r="Z17" s="1264"/>
      <c r="AA17" s="1264">
        <v>1</v>
      </c>
      <c r="AB17" s="1264">
        <v>1</v>
      </c>
      <c r="AC17" s="1264">
        <v>1</v>
      </c>
    </row>
    <row r="18" spans="1:29" ht="28.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7"/>
      <c r="Q19" s="1263"/>
      <c r="R19" s="667"/>
      <c r="S19" s="668"/>
      <c r="T19" s="667"/>
      <c r="U19" s="668"/>
      <c r="V19" s="667"/>
      <c r="W19" s="668"/>
      <c r="X19" s="1265"/>
      <c r="Y19" s="3387"/>
      <c r="Z19" s="1264"/>
      <c r="AA19" s="1264">
        <v>1</v>
      </c>
      <c r="AB19" s="1264">
        <v>1</v>
      </c>
      <c r="AC19" s="1264">
        <v>1</v>
      </c>
    </row>
    <row r="20" spans="1:29" ht="57">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7"/>
      <c r="Q21" s="1263"/>
      <c r="R21" s="667"/>
      <c r="S21" s="668"/>
      <c r="T21" s="667"/>
      <c r="U21" s="668"/>
      <c r="V21" s="667"/>
      <c r="W21" s="668"/>
      <c r="X21" s="1265"/>
      <c r="Y21" s="338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7"/>
      <c r="Q24" s="1263">
        <f t="shared" ref="Q24:Q34"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1"/>
      <c r="Q27" s="531" t="str">
        <f t="shared" si="11"/>
        <v>成新率</v>
      </c>
      <c r="R27" s="669" t="s">
        <v>14</v>
      </c>
      <c r="S27" s="670" t="e">
        <f t="shared" si="12"/>
        <v>#N/A</v>
      </c>
      <c r="T27" s="669" t="s">
        <v>14</v>
      </c>
      <c r="U27" s="670" t="e">
        <f t="shared" si="13"/>
        <v>#N/A</v>
      </c>
      <c r="V27" s="669" t="s">
        <v>14</v>
      </c>
      <c r="W27" s="670" t="e">
        <f t="shared" si="14"/>
        <v>#N/A</v>
      </c>
      <c r="X27" s="671"/>
      <c r="Y27" s="339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1"/>
      <c r="Q28" s="1263" t="str">
        <f t="shared" si="11"/>
        <v>物业等级</v>
      </c>
      <c r="R28" s="667" t="s">
        <v>14</v>
      </c>
      <c r="S28" s="668">
        <f t="shared" si="12"/>
        <v>100</v>
      </c>
      <c r="T28" s="667" t="s">
        <v>14</v>
      </c>
      <c r="U28" s="668">
        <f t="shared" si="13"/>
        <v>100</v>
      </c>
      <c r="V28" s="667" t="s">
        <v>14</v>
      </c>
      <c r="W28" s="668">
        <f t="shared" si="14"/>
        <v>100</v>
      </c>
      <c r="X28" s="1265"/>
      <c r="Y28" s="339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1"/>
      <c r="Q29" s="1263" t="str">
        <f t="shared" si="11"/>
        <v>有无电梯</v>
      </c>
      <c r="R29" s="667" t="s">
        <v>14</v>
      </c>
      <c r="S29" s="668">
        <f t="shared" si="12"/>
        <v>100</v>
      </c>
      <c r="T29" s="667" t="s">
        <v>14</v>
      </c>
      <c r="U29" s="668">
        <f t="shared" si="13"/>
        <v>100</v>
      </c>
      <c r="V29" s="667" t="s">
        <v>14</v>
      </c>
      <c r="W29" s="668">
        <f t="shared" si="14"/>
        <v>100</v>
      </c>
      <c r="X29" s="1265"/>
      <c r="Y29" s="339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1"/>
      <c r="Q30" s="1263" t="str">
        <f t="shared" si="11"/>
        <v>建筑面积</v>
      </c>
      <c r="R30" s="667" t="s">
        <v>14</v>
      </c>
      <c r="S30" s="668" t="e">
        <f t="shared" si="12"/>
        <v>#N/A</v>
      </c>
      <c r="T30" s="667" t="s">
        <v>14</v>
      </c>
      <c r="U30" s="668" t="e">
        <f t="shared" si="13"/>
        <v>#N/A</v>
      </c>
      <c r="V30" s="667" t="s">
        <v>14</v>
      </c>
      <c r="W30" s="668" t="e">
        <f t="shared" si="14"/>
        <v>#N/A</v>
      </c>
      <c r="X30" s="1265"/>
      <c r="Y30" s="339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1"/>
      <c r="Q31" s="530" t="str">
        <f t="shared" si="11"/>
        <v>是否封闭</v>
      </c>
      <c r="R31" s="664" t="s">
        <v>14</v>
      </c>
      <c r="S31" s="665">
        <f t="shared" si="12"/>
        <v>100</v>
      </c>
      <c r="T31" s="664" t="s">
        <v>14</v>
      </c>
      <c r="U31" s="665">
        <f t="shared" si="13"/>
        <v>100</v>
      </c>
      <c r="V31" s="664" t="s">
        <v>14</v>
      </c>
      <c r="W31" s="665">
        <f t="shared" si="14"/>
        <v>100</v>
      </c>
      <c r="X31" s="666"/>
      <c r="Y31" s="339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1" t="s">
        <v>1696</v>
      </c>
      <c r="Q32" s="1263">
        <f t="shared" si="11"/>
        <v>111</v>
      </c>
      <c r="R32" s="667" t="s">
        <v>14</v>
      </c>
      <c r="S32" s="668">
        <f t="shared" si="12"/>
        <v>100</v>
      </c>
      <c r="T32" s="667" t="s">
        <v>14</v>
      </c>
      <c r="U32" s="668">
        <f t="shared" si="13"/>
        <v>100</v>
      </c>
      <c r="V32" s="667" t="s">
        <v>14</v>
      </c>
      <c r="W32" s="668">
        <f t="shared" si="14"/>
        <v>100</v>
      </c>
      <c r="X32" s="1265"/>
      <c r="Y32" s="339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1"/>
      <c r="Q33" s="1263">
        <f t="shared" si="11"/>
        <v>111</v>
      </c>
      <c r="R33" s="667" t="s">
        <v>14</v>
      </c>
      <c r="S33" s="668">
        <f t="shared" si="12"/>
        <v>100</v>
      </c>
      <c r="T33" s="667" t="s">
        <v>14</v>
      </c>
      <c r="U33" s="668">
        <f t="shared" si="13"/>
        <v>100</v>
      </c>
      <c r="V33" s="667" t="s">
        <v>14</v>
      </c>
      <c r="W33" s="668">
        <f t="shared" si="14"/>
        <v>100</v>
      </c>
      <c r="X33" s="1265"/>
      <c r="Y33" s="339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84" t="str">
        <f>A35</f>
        <v>成交单价（元/平方米）</v>
      </c>
      <c r="Q35" s="3384"/>
      <c r="R35" s="3385">
        <f>E35</f>
        <v>0</v>
      </c>
      <c r="S35" s="3385"/>
      <c r="T35" s="3385">
        <f>G35</f>
        <v>0</v>
      </c>
      <c r="U35" s="3385"/>
      <c r="V35" s="3385">
        <f>I35</f>
        <v>0</v>
      </c>
      <c r="W35" s="3385"/>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84" t="str">
        <f>A36</f>
        <v>比较价值（元/平方米）</v>
      </c>
      <c r="Q36" s="3384"/>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81" t="str">
        <f>A37</f>
        <v>估价对象XX用房的比较价值（楼面单价，元/平方米）</v>
      </c>
      <c r="Q37" s="3382"/>
      <c r="R37" s="3442" t="e">
        <f>IF(F1="售价",ROUND(IF(D36="简单平均",AVERAGE(R36:W36),R36*F36+T36*H36+V36*J36),0),ROUND(IF(D36="简单平均",AVERAGE(R36:V36),R36*F36+T36*H36+V36*J36),1))</f>
        <v>#DIV/0!</v>
      </c>
      <c r="S37" s="3442"/>
      <c r="T37" s="3442"/>
      <c r="U37" s="3442"/>
      <c r="V37" s="3442"/>
      <c r="W37" s="3442"/>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O12" sqref="O1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45902</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9" t="s">
        <v>1683</v>
      </c>
      <c r="Q8" s="3420"/>
      <c r="R8" s="664" t="s">
        <v>14</v>
      </c>
      <c r="S8" s="665">
        <f t="shared" si="0"/>
        <v>0</v>
      </c>
      <c r="T8" s="664" t="s">
        <v>14</v>
      </c>
      <c r="U8" s="665">
        <f t="shared" si="1"/>
        <v>0</v>
      </c>
      <c r="V8" s="664" t="s">
        <v>14</v>
      </c>
      <c r="W8" s="665">
        <f t="shared" si="2"/>
        <v>0</v>
      </c>
      <c r="X8" s="666"/>
      <c r="Y8" s="3419" t="s">
        <v>1683</v>
      </c>
      <c r="Z8" s="342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271</v>
      </c>
      <c r="G10" s="402"/>
      <c r="H10" s="119">
        <f>ROUND(100/'数据-取费表'!G16,0)</f>
        <v>271</v>
      </c>
      <c r="I10" s="402"/>
      <c r="J10" s="119">
        <f>ROUND(100/'数据-取费表'!G16,0)</f>
        <v>271</v>
      </c>
      <c r="K10" s="592"/>
      <c r="L10" s="2490"/>
      <c r="M10" s="2491"/>
      <c r="N10" s="2491"/>
      <c r="O10" s="2542"/>
      <c r="P10" s="3384"/>
      <c r="Q10" s="530" t="str">
        <f t="shared" si="6"/>
        <v>土地使用年限（年）</v>
      </c>
      <c r="R10" s="664" t="s">
        <v>14</v>
      </c>
      <c r="S10" s="665">
        <f t="shared" si="0"/>
        <v>271</v>
      </c>
      <c r="T10" s="664" t="s">
        <v>14</v>
      </c>
      <c r="U10" s="665">
        <f t="shared" si="1"/>
        <v>271</v>
      </c>
      <c r="V10" s="664" t="s">
        <v>14</v>
      </c>
      <c r="W10" s="665">
        <f t="shared" si="2"/>
        <v>271</v>
      </c>
      <c r="X10" s="666"/>
      <c r="Y10" s="3259"/>
      <c r="Z10" s="50" t="str">
        <f t="shared" si="7"/>
        <v>土地使用年限（年）</v>
      </c>
      <c r="AA10" s="50">
        <f t="shared" si="3"/>
        <v>0.36900369003690037</v>
      </c>
      <c r="AB10" s="50">
        <f t="shared" si="4"/>
        <v>0.36900369003690037</v>
      </c>
      <c r="AC10" s="50">
        <f t="shared" si="5"/>
        <v>0.36900369003690037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4"/>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4"/>
      <c r="Q12" s="530" t="str">
        <f t="shared" si="6"/>
        <v>配建</v>
      </c>
      <c r="R12" s="664" t="s">
        <v>14</v>
      </c>
      <c r="S12" s="665">
        <f t="shared" si="0"/>
        <v>100</v>
      </c>
      <c r="T12" s="664" t="s">
        <v>14</v>
      </c>
      <c r="U12" s="665">
        <f t="shared" si="1"/>
        <v>100</v>
      </c>
      <c r="V12" s="664" t="s">
        <v>14</v>
      </c>
      <c r="W12" s="665">
        <f t="shared" si="2"/>
        <v>100</v>
      </c>
      <c r="X12" s="666"/>
      <c r="Y12" s="325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6" t="s">
        <v>1691</v>
      </c>
      <c r="Q15" s="1263" t="str">
        <f t="shared" si="6"/>
        <v>居住社区成熟度</v>
      </c>
      <c r="R15" s="667" t="s">
        <v>14</v>
      </c>
      <c r="S15" s="668">
        <f t="shared" si="0"/>
        <v>100</v>
      </c>
      <c r="T15" s="667" t="s">
        <v>14</v>
      </c>
      <c r="U15" s="668">
        <f t="shared" si="1"/>
        <v>100</v>
      </c>
      <c r="V15" s="667" t="s">
        <v>14</v>
      </c>
      <c r="W15" s="668">
        <f t="shared" si="2"/>
        <v>100</v>
      </c>
      <c r="X15" s="1265"/>
      <c r="Y15" s="338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7"/>
      <c r="Q16" s="1263"/>
      <c r="R16" s="667"/>
      <c r="S16" s="668"/>
      <c r="T16" s="667"/>
      <c r="U16" s="668"/>
      <c r="V16" s="667"/>
      <c r="W16" s="668"/>
      <c r="X16" s="1265"/>
      <c r="Y16" s="3387"/>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7"/>
      <c r="Q17" s="1263" t="str">
        <f>B17</f>
        <v>商业繁华度</v>
      </c>
      <c r="R17" s="667" t="s">
        <v>14</v>
      </c>
      <c r="S17" s="668">
        <f>F17</f>
        <v>100</v>
      </c>
      <c r="T17" s="667" t="s">
        <v>14</v>
      </c>
      <c r="U17" s="668">
        <f>H17</f>
        <v>100</v>
      </c>
      <c r="V17" s="667" t="s">
        <v>14</v>
      </c>
      <c r="W17" s="668">
        <f>J17</f>
        <v>100</v>
      </c>
      <c r="X17" s="1265"/>
      <c r="Y17" s="338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7"/>
      <c r="Q18" s="1263"/>
      <c r="R18" s="667"/>
      <c r="S18" s="668"/>
      <c r="T18" s="667"/>
      <c r="U18" s="668"/>
      <c r="V18" s="667"/>
      <c r="W18" s="668"/>
      <c r="X18" s="1265"/>
      <c r="Y18" s="3387"/>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7"/>
      <c r="Q19" s="1263" t="str">
        <f>B19</f>
        <v>办公集聚程度</v>
      </c>
      <c r="R19" s="667" t="s">
        <v>14</v>
      </c>
      <c r="S19" s="668">
        <f>F19</f>
        <v>100</v>
      </c>
      <c r="T19" s="667" t="s">
        <v>14</v>
      </c>
      <c r="U19" s="668">
        <f>H19</f>
        <v>100</v>
      </c>
      <c r="V19" s="667" t="s">
        <v>14</v>
      </c>
      <c r="W19" s="668">
        <f>J19</f>
        <v>100</v>
      </c>
      <c r="X19" s="1265"/>
      <c r="Y19" s="338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7"/>
      <c r="Q20" s="1263"/>
      <c r="R20" s="667"/>
      <c r="S20" s="668"/>
      <c r="T20" s="667"/>
      <c r="U20" s="668"/>
      <c r="V20" s="667"/>
      <c r="W20" s="668"/>
      <c r="X20" s="1265"/>
      <c r="Y20" s="3387"/>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7"/>
      <c r="Q21" s="1263" t="str">
        <f>B21</f>
        <v>交通便捷度</v>
      </c>
      <c r="R21" s="667" t="s">
        <v>14</v>
      </c>
      <c r="S21" s="668">
        <f>F21</f>
        <v>100</v>
      </c>
      <c r="T21" s="667" t="s">
        <v>14</v>
      </c>
      <c r="U21" s="668">
        <f>H21</f>
        <v>100</v>
      </c>
      <c r="V21" s="667" t="s">
        <v>14</v>
      </c>
      <c r="W21" s="668">
        <f>J21</f>
        <v>100</v>
      </c>
      <c r="X21" s="1265"/>
      <c r="Y21" s="338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7"/>
      <c r="Q22" s="1263"/>
      <c r="R22" s="667"/>
      <c r="S22" s="668"/>
      <c r="T22" s="667"/>
      <c r="U22" s="668"/>
      <c r="V22" s="667"/>
      <c r="W22" s="668"/>
      <c r="X22" s="1265"/>
      <c r="Y22" s="338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7"/>
      <c r="Q23" s="1263" t="str">
        <f t="shared" ref="Q23:Q37" si="8">B23</f>
        <v>区域土地利用方向</v>
      </c>
      <c r="R23" s="667" t="s">
        <v>14</v>
      </c>
      <c r="S23" s="668">
        <f>F23</f>
        <v>100</v>
      </c>
      <c r="T23" s="667" t="s">
        <v>14</v>
      </c>
      <c r="U23" s="668">
        <f>H23</f>
        <v>100</v>
      </c>
      <c r="V23" s="667" t="s">
        <v>14</v>
      </c>
      <c r="W23" s="668">
        <f>J23</f>
        <v>100</v>
      </c>
      <c r="X23" s="1265"/>
      <c r="Y23" s="338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7"/>
      <c r="Q24" s="1263"/>
      <c r="R24" s="667"/>
      <c r="S24" s="668"/>
      <c r="T24" s="667"/>
      <c r="U24" s="668"/>
      <c r="V24" s="667"/>
      <c r="W24" s="668"/>
      <c r="X24" s="1265"/>
      <c r="Y24" s="3387"/>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7"/>
      <c r="Q25" s="1263" t="str">
        <f t="shared" si="8"/>
        <v>自然及人文环境状况</v>
      </c>
      <c r="R25" s="667" t="s">
        <v>14</v>
      </c>
      <c r="S25" s="668">
        <f>F25</f>
        <v>100</v>
      </c>
      <c r="T25" s="667" t="s">
        <v>14</v>
      </c>
      <c r="U25" s="668">
        <f>H25</f>
        <v>100</v>
      </c>
      <c r="V25" s="667" t="s">
        <v>14</v>
      </c>
      <c r="W25" s="668">
        <f>J25</f>
        <v>100</v>
      </c>
      <c r="X25" s="1265"/>
      <c r="Y25" s="338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7"/>
      <c r="Q26" s="1263"/>
      <c r="R26" s="667"/>
      <c r="S26" s="668"/>
      <c r="T26" s="667"/>
      <c r="U26" s="668"/>
      <c r="V26" s="667"/>
      <c r="W26" s="668"/>
      <c r="X26" s="1265"/>
      <c r="Y26" s="3387"/>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7"/>
      <c r="Q27" s="530" t="str">
        <f t="shared" si="8"/>
        <v>公共配套设施</v>
      </c>
      <c r="R27" s="664" t="s">
        <v>14</v>
      </c>
      <c r="S27" s="665">
        <f>F27</f>
        <v>100</v>
      </c>
      <c r="T27" s="664" t="s">
        <v>14</v>
      </c>
      <c r="U27" s="665">
        <f>H27</f>
        <v>100</v>
      </c>
      <c r="V27" s="664" t="s">
        <v>14</v>
      </c>
      <c r="W27" s="665">
        <f>J27</f>
        <v>100</v>
      </c>
      <c r="X27" s="666"/>
      <c r="Y27" s="338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7"/>
      <c r="Q28" s="530"/>
      <c r="R28" s="664"/>
      <c r="S28" s="665"/>
      <c r="T28" s="664"/>
      <c r="U28" s="665"/>
      <c r="V28" s="664"/>
      <c r="W28" s="665"/>
      <c r="X28" s="666"/>
      <c r="Y28" s="3387"/>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7"/>
      <c r="Q29" s="530" t="str">
        <f t="shared" ref="Q29" si="9">B29</f>
        <v>基础设施水平</v>
      </c>
      <c r="R29" s="664" t="s">
        <v>14</v>
      </c>
      <c r="S29" s="665">
        <f>F29</f>
        <v>100</v>
      </c>
      <c r="T29" s="664" t="s">
        <v>14</v>
      </c>
      <c r="U29" s="665">
        <f>H29</f>
        <v>100</v>
      </c>
      <c r="V29" s="664" t="s">
        <v>14</v>
      </c>
      <c r="W29" s="665">
        <f>J29</f>
        <v>100</v>
      </c>
      <c r="X29" s="666"/>
      <c r="Y29" s="338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7"/>
      <c r="Q30" s="530"/>
      <c r="R30" s="664"/>
      <c r="S30" s="665"/>
      <c r="T30" s="664"/>
      <c r="U30" s="665"/>
      <c r="V30" s="664"/>
      <c r="W30" s="665"/>
      <c r="X30" s="666"/>
      <c r="Y30" s="338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7"/>
      <c r="Q32" s="1263" t="str">
        <f t="shared" si="8"/>
        <v>毗邻道路的类型与等级</v>
      </c>
      <c r="R32" s="667" t="s">
        <v>14</v>
      </c>
      <c r="S32" s="668">
        <f t="shared" si="10"/>
        <v>100</v>
      </c>
      <c r="T32" s="667" t="s">
        <v>14</v>
      </c>
      <c r="U32" s="668">
        <f t="shared" si="11"/>
        <v>100</v>
      </c>
      <c r="V32" s="667" t="s">
        <v>14</v>
      </c>
      <c r="W32" s="668">
        <f t="shared" si="12"/>
        <v>100</v>
      </c>
      <c r="X32" s="1265"/>
      <c r="Y32" s="338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7"/>
      <c r="Q33" s="1263"/>
      <c r="R33" s="667"/>
      <c r="S33" s="668"/>
      <c r="T33" s="667"/>
      <c r="U33" s="668"/>
      <c r="V33" s="667"/>
      <c r="W33" s="668"/>
      <c r="X33" s="1265"/>
      <c r="Y33" s="338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7"/>
      <c r="Q34" s="1263" t="str">
        <f t="shared" si="8"/>
        <v>土地级别</v>
      </c>
      <c r="R34" s="667" t="s">
        <v>14</v>
      </c>
      <c r="S34" s="668">
        <f t="shared" si="10"/>
        <v>100</v>
      </c>
      <c r="T34" s="667" t="s">
        <v>14</v>
      </c>
      <c r="U34" s="668">
        <f t="shared" si="11"/>
        <v>100</v>
      </c>
      <c r="V34" s="667" t="s">
        <v>14</v>
      </c>
      <c r="W34" s="668">
        <f t="shared" si="12"/>
        <v>100</v>
      </c>
      <c r="X34" s="1265"/>
      <c r="Y34" s="338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7"/>
      <c r="Q35" s="1263">
        <f t="shared" si="8"/>
        <v>111</v>
      </c>
      <c r="R35" s="667" t="s">
        <v>14</v>
      </c>
      <c r="S35" s="668">
        <f t="shared" si="10"/>
        <v>100</v>
      </c>
      <c r="T35" s="667" t="s">
        <v>14</v>
      </c>
      <c r="U35" s="668">
        <f t="shared" si="11"/>
        <v>100</v>
      </c>
      <c r="V35" s="667" t="s">
        <v>14</v>
      </c>
      <c r="W35" s="668">
        <f t="shared" si="12"/>
        <v>100</v>
      </c>
      <c r="X35" s="1265"/>
      <c r="Y35" s="338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1" t="s">
        <v>1696</v>
      </c>
      <c r="Q36" s="1263">
        <f t="shared" si="8"/>
        <v>111</v>
      </c>
      <c r="R36" s="667" t="s">
        <v>14</v>
      </c>
      <c r="S36" s="668">
        <f t="shared" si="10"/>
        <v>100</v>
      </c>
      <c r="T36" s="667" t="s">
        <v>14</v>
      </c>
      <c r="U36" s="668">
        <f t="shared" si="11"/>
        <v>100</v>
      </c>
      <c r="V36" s="667" t="s">
        <v>14</v>
      </c>
      <c r="W36" s="668">
        <f t="shared" si="12"/>
        <v>100</v>
      </c>
      <c r="X36" s="1265"/>
      <c r="Y36" s="339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1"/>
      <c r="Q37" s="1263">
        <f t="shared" si="8"/>
        <v>111</v>
      </c>
      <c r="R37" s="669" t="s">
        <v>14</v>
      </c>
      <c r="S37" s="670">
        <f t="shared" si="10"/>
        <v>100</v>
      </c>
      <c r="T37" s="669" t="s">
        <v>14</v>
      </c>
      <c r="U37" s="670">
        <f t="shared" si="11"/>
        <v>100</v>
      </c>
      <c r="V37" s="669" t="s">
        <v>14</v>
      </c>
      <c r="W37" s="670">
        <f t="shared" si="12"/>
        <v>100</v>
      </c>
      <c r="X37" s="671"/>
      <c r="Y37" s="339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1"/>
      <c r="Q38" s="1263" t="str">
        <f>B38</f>
        <v>宗地面积</v>
      </c>
      <c r="R38" s="667" t="s">
        <v>14</v>
      </c>
      <c r="S38" s="668" t="e">
        <f t="shared" si="10"/>
        <v>#N/A</v>
      </c>
      <c r="T38" s="667" t="s">
        <v>14</v>
      </c>
      <c r="U38" s="668" t="e">
        <f t="shared" si="11"/>
        <v>#N/A</v>
      </c>
      <c r="V38" s="667" t="s">
        <v>14</v>
      </c>
      <c r="W38" s="668" t="e">
        <f t="shared" si="12"/>
        <v>#N/A</v>
      </c>
      <c r="X38" s="1265"/>
      <c r="Y38" s="339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1"/>
      <c r="Q39" s="1263" t="str">
        <f t="shared" ref="Q39:Q45" si="14">B39</f>
        <v>宗地形状</v>
      </c>
      <c r="R39" s="667" t="s">
        <v>14</v>
      </c>
      <c r="S39" s="668">
        <f t="shared" si="10"/>
        <v>100</v>
      </c>
      <c r="T39" s="667" t="s">
        <v>14</v>
      </c>
      <c r="U39" s="668">
        <f t="shared" si="11"/>
        <v>100</v>
      </c>
      <c r="V39" s="667" t="s">
        <v>14</v>
      </c>
      <c r="W39" s="668">
        <f t="shared" si="12"/>
        <v>100</v>
      </c>
      <c r="X39" s="1265"/>
      <c r="Y39" s="339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1"/>
      <c r="Q40" s="1263" t="str">
        <f t="shared" si="14"/>
        <v>临街宽度及深度</v>
      </c>
      <c r="R40" s="667" t="s">
        <v>14</v>
      </c>
      <c r="S40" s="668">
        <f t="shared" si="10"/>
        <v>100</v>
      </c>
      <c r="T40" s="667" t="s">
        <v>14</v>
      </c>
      <c r="U40" s="668">
        <f t="shared" si="11"/>
        <v>100</v>
      </c>
      <c r="V40" s="667" t="s">
        <v>14</v>
      </c>
      <c r="W40" s="668">
        <f t="shared" si="12"/>
        <v>100</v>
      </c>
      <c r="X40" s="1265"/>
      <c r="Y40" s="339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1"/>
      <c r="Q41" s="1263" t="str">
        <f t="shared" si="14"/>
        <v>宗地开发程度</v>
      </c>
      <c r="R41" s="664" t="s">
        <v>14</v>
      </c>
      <c r="S41" s="665">
        <f t="shared" si="10"/>
        <v>100</v>
      </c>
      <c r="T41" s="664" t="s">
        <v>14</v>
      </c>
      <c r="U41" s="665">
        <f t="shared" si="11"/>
        <v>100</v>
      </c>
      <c r="V41" s="664" t="s">
        <v>14</v>
      </c>
      <c r="W41" s="665">
        <f t="shared" si="12"/>
        <v>100</v>
      </c>
      <c r="X41" s="666"/>
      <c r="Y41" s="339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1" t="s">
        <v>1696</v>
      </c>
      <c r="Q42" s="1263" t="str">
        <f t="shared" si="14"/>
        <v>工程地质条件</v>
      </c>
      <c r="R42" s="667" t="s">
        <v>14</v>
      </c>
      <c r="S42" s="668">
        <f t="shared" si="10"/>
        <v>100</v>
      </c>
      <c r="T42" s="667" t="s">
        <v>14</v>
      </c>
      <c r="U42" s="668">
        <f t="shared" si="11"/>
        <v>100</v>
      </c>
      <c r="V42" s="667" t="s">
        <v>14</v>
      </c>
      <c r="W42" s="668">
        <f t="shared" si="12"/>
        <v>100</v>
      </c>
      <c r="X42" s="1265"/>
      <c r="Y42" s="339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1"/>
      <c r="Q43" s="1263">
        <f t="shared" si="14"/>
        <v>111</v>
      </c>
      <c r="R43" s="667" t="s">
        <v>14</v>
      </c>
      <c r="S43" s="668">
        <f t="shared" si="10"/>
        <v>100</v>
      </c>
      <c r="T43" s="667" t="s">
        <v>14</v>
      </c>
      <c r="U43" s="668">
        <f t="shared" si="11"/>
        <v>100</v>
      </c>
      <c r="V43" s="667" t="s">
        <v>14</v>
      </c>
      <c r="W43" s="668">
        <f t="shared" si="12"/>
        <v>100</v>
      </c>
      <c r="X43" s="1265"/>
      <c r="Y43" s="339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1"/>
      <c r="Q44" s="1263">
        <f t="shared" si="14"/>
        <v>111</v>
      </c>
      <c r="R44" s="667" t="s">
        <v>14</v>
      </c>
      <c r="S44" s="668">
        <f t="shared" si="10"/>
        <v>100</v>
      </c>
      <c r="T44" s="667" t="s">
        <v>14</v>
      </c>
      <c r="U44" s="668">
        <f t="shared" si="11"/>
        <v>100</v>
      </c>
      <c r="V44" s="667" t="s">
        <v>14</v>
      </c>
      <c r="W44" s="668">
        <f t="shared" si="12"/>
        <v>100</v>
      </c>
      <c r="X44" s="1265"/>
      <c r="Y44" s="339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1"/>
      <c r="Q45" s="1263">
        <f t="shared" si="14"/>
        <v>111</v>
      </c>
      <c r="R45" s="669" t="s">
        <v>14</v>
      </c>
      <c r="S45" s="670">
        <f t="shared" si="10"/>
        <v>100</v>
      </c>
      <c r="T45" s="669" t="s">
        <v>14</v>
      </c>
      <c r="U45" s="670">
        <f t="shared" si="11"/>
        <v>100</v>
      </c>
      <c r="V45" s="669" t="s">
        <v>14</v>
      </c>
      <c r="W45" s="670">
        <f t="shared" si="12"/>
        <v>100</v>
      </c>
      <c r="X45" s="671"/>
      <c r="Y45" s="3391"/>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84" t="str">
        <f>A46</f>
        <v>成交单价</v>
      </c>
      <c r="Q46" s="3384"/>
      <c r="R46" s="3385">
        <f>E46</f>
        <v>0</v>
      </c>
      <c r="S46" s="3385"/>
      <c r="T46" s="3385">
        <f>G46</f>
        <v>0</v>
      </c>
      <c r="U46" s="3385"/>
      <c r="V46" s="3385">
        <f>I46</f>
        <v>0</v>
      </c>
      <c r="W46" s="3385"/>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84" t="str">
        <f>A47</f>
        <v>比较价值（元/平方米）</v>
      </c>
      <c r="Q47" s="3384"/>
      <c r="R47" s="3443" t="e">
        <f>ROUND(PRODUCT(R46,AA7:AA45),0)</f>
        <v>#DIV/0!</v>
      </c>
      <c r="S47" s="3443"/>
      <c r="T47" s="3443" t="e">
        <f>ROUND(PRODUCT(T46,AB7:AB45),0)</f>
        <v>#DIV/0!</v>
      </c>
      <c r="U47" s="3443"/>
      <c r="V47" s="3443" t="e">
        <f>ROUND(PRODUCT(V46,AC7:AC45),0)</f>
        <v>#DIV/0!</v>
      </c>
      <c r="W47" s="344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81" t="str">
        <f>A48</f>
        <v>估价对象XX用房的比较价值（楼面单价，元/平方米）</v>
      </c>
      <c r="Q48" s="3382"/>
      <c r="R48" s="3444" t="e">
        <f>ROUND(IF(D47="简单平均",AVERAGE(R47:W47),R47*F47+T47*H47+V47*J47),0)</f>
        <v>#DIV/0!</v>
      </c>
      <c r="S48" s="3444"/>
      <c r="T48" s="3444"/>
      <c r="U48" s="3444"/>
      <c r="V48" s="3444"/>
      <c r="W48" s="3444"/>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9" t="s">
        <v>1887</v>
      </c>
      <c r="H55" s="3445"/>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13013.62</v>
      </c>
      <c r="F56" s="833" t="e">
        <f t="shared" ref="F56:F64" si="15">ROUND(B56*E56/10000,0)</f>
        <v>#DIV/0!</v>
      </c>
      <c r="G56" s="3395"/>
      <c r="H56" s="3384"/>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13013.62</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46" t="s">
        <v>1919</v>
      </c>
      <c r="D6" s="3447"/>
      <c r="E6" s="3448" t="s">
        <v>1919</v>
      </c>
      <c r="F6" s="3449"/>
      <c r="G6" s="3446" t="s">
        <v>1919</v>
      </c>
      <c r="H6" s="3447"/>
      <c r="I6" s="3446" t="s">
        <v>1919</v>
      </c>
      <c r="J6" s="3447"/>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45902</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9" t="s">
        <v>1683</v>
      </c>
      <c r="Q8" s="3420"/>
      <c r="R8" s="664" t="s">
        <v>14</v>
      </c>
      <c r="S8" s="665">
        <f t="shared" si="0"/>
        <v>0</v>
      </c>
      <c r="T8" s="664" t="s">
        <v>14</v>
      </c>
      <c r="U8" s="665">
        <f t="shared" si="1"/>
        <v>0</v>
      </c>
      <c r="V8" s="664" t="s">
        <v>14</v>
      </c>
      <c r="W8" s="665">
        <f t="shared" si="2"/>
        <v>0</v>
      </c>
      <c r="X8" s="666"/>
      <c r="Y8" s="3419" t="s">
        <v>1683</v>
      </c>
      <c r="Z8" s="342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271</v>
      </c>
      <c r="G10" s="371"/>
      <c r="H10" s="119">
        <f>ROUND(100/'数据-取费表'!G16,0)</f>
        <v>271</v>
      </c>
      <c r="I10" s="371"/>
      <c r="J10" s="119">
        <f>ROUND(100/'数据-取费表'!G16,0)</f>
        <v>271</v>
      </c>
      <c r="K10" s="592"/>
      <c r="L10" s="2490"/>
      <c r="M10" s="2491"/>
      <c r="N10" s="2491"/>
      <c r="O10" s="2542"/>
      <c r="P10" s="3384"/>
      <c r="Q10" s="530" t="str">
        <f t="shared" si="6"/>
        <v>土地使用年限（年）</v>
      </c>
      <c r="R10" s="664" t="s">
        <v>14</v>
      </c>
      <c r="S10" s="665">
        <f t="shared" si="0"/>
        <v>271</v>
      </c>
      <c r="T10" s="664" t="s">
        <v>14</v>
      </c>
      <c r="U10" s="665">
        <f t="shared" si="1"/>
        <v>271</v>
      </c>
      <c r="V10" s="664" t="s">
        <v>14</v>
      </c>
      <c r="W10" s="665">
        <f t="shared" si="2"/>
        <v>271</v>
      </c>
      <c r="X10" s="666"/>
      <c r="Y10" s="3259"/>
      <c r="Z10" s="50" t="str">
        <f t="shared" si="7"/>
        <v>土地使用年限（年）</v>
      </c>
      <c r="AA10" s="50">
        <f t="shared" si="3"/>
        <v>0.36900369003690037</v>
      </c>
      <c r="AB10" s="50">
        <f t="shared" si="4"/>
        <v>0.36900369003690037</v>
      </c>
      <c r="AC10" s="50">
        <f t="shared" si="5"/>
        <v>0.36900369003690037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4"/>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57">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7"/>
      <c r="Q16" s="1263"/>
      <c r="R16" s="667"/>
      <c r="S16" s="668"/>
      <c r="T16" s="667"/>
      <c r="U16" s="668"/>
      <c r="V16" s="667"/>
      <c r="W16" s="668"/>
      <c r="X16" s="1265"/>
      <c r="Y16" s="3387"/>
      <c r="Z16" s="1264"/>
      <c r="AA16" s="1264">
        <v>1</v>
      </c>
      <c r="AB16" s="1264">
        <v>1</v>
      </c>
      <c r="AC16" s="1264">
        <v>1</v>
      </c>
    </row>
    <row r="17" spans="1:29" ht="85.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7"/>
      <c r="Q18" s="1263"/>
      <c r="R18" s="667"/>
      <c r="S18" s="668"/>
      <c r="T18" s="667"/>
      <c r="U18" s="668"/>
      <c r="V18" s="667"/>
      <c r="W18" s="668"/>
      <c r="X18" s="1265"/>
      <c r="Y18" s="338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7"/>
      <c r="Q19" s="1263" t="str">
        <f t="shared" ref="Q19:Q33" si="8">B19</f>
        <v>区域土地利用方向</v>
      </c>
      <c r="R19" s="667" t="s">
        <v>14</v>
      </c>
      <c r="S19" s="668">
        <f>F19</f>
        <v>100</v>
      </c>
      <c r="T19" s="667" t="s">
        <v>14</v>
      </c>
      <c r="U19" s="668">
        <f>H19</f>
        <v>100</v>
      </c>
      <c r="V19" s="667" t="s">
        <v>14</v>
      </c>
      <c r="W19" s="668">
        <f>J19</f>
        <v>100</v>
      </c>
      <c r="X19" s="1265"/>
      <c r="Y19" s="338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7"/>
      <c r="Q20" s="1263"/>
      <c r="R20" s="667"/>
      <c r="S20" s="668"/>
      <c r="T20" s="667"/>
      <c r="U20" s="668"/>
      <c r="V20" s="667"/>
      <c r="W20" s="668"/>
      <c r="X20" s="1265"/>
      <c r="Y20" s="3387"/>
      <c r="Z20" s="1264"/>
      <c r="AA20" s="1264"/>
      <c r="AB20" s="1264"/>
      <c r="AC20" s="1264"/>
    </row>
    <row r="21" spans="1:29" ht="71.2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7"/>
      <c r="Q21" s="1263" t="str">
        <f t="shared" si="8"/>
        <v>环境状况</v>
      </c>
      <c r="R21" s="667" t="s">
        <v>14</v>
      </c>
      <c r="S21" s="668">
        <f>F21</f>
        <v>100</v>
      </c>
      <c r="T21" s="667" t="s">
        <v>14</v>
      </c>
      <c r="U21" s="668">
        <f>H21</f>
        <v>100</v>
      </c>
      <c r="V21" s="667" t="s">
        <v>14</v>
      </c>
      <c r="W21" s="668">
        <f>J21</f>
        <v>100</v>
      </c>
      <c r="X21" s="1265"/>
      <c r="Y21" s="338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7"/>
      <c r="Q22" s="1263"/>
      <c r="R22" s="667"/>
      <c r="S22" s="668"/>
      <c r="T22" s="667"/>
      <c r="U22" s="668"/>
      <c r="V22" s="667"/>
      <c r="W22" s="668"/>
      <c r="X22" s="1265"/>
      <c r="Y22" s="3387"/>
      <c r="Z22" s="1264"/>
      <c r="AA22" s="1264">
        <v>1</v>
      </c>
      <c r="AB22" s="1264">
        <v>1</v>
      </c>
      <c r="AC22" s="1264">
        <v>1</v>
      </c>
    </row>
    <row r="23" spans="1:29" s="102" customFormat="1" ht="42.7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7"/>
      <c r="Q23" s="530" t="str">
        <f t="shared" si="8"/>
        <v>公共配套设施</v>
      </c>
      <c r="R23" s="664" t="s">
        <v>14</v>
      </c>
      <c r="S23" s="665">
        <f>F23</f>
        <v>100</v>
      </c>
      <c r="T23" s="664" t="s">
        <v>14</v>
      </c>
      <c r="U23" s="665">
        <f>H23</f>
        <v>100</v>
      </c>
      <c r="V23" s="664" t="s">
        <v>14</v>
      </c>
      <c r="W23" s="665">
        <f>J23</f>
        <v>100</v>
      </c>
      <c r="X23" s="666"/>
      <c r="Y23" s="338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7"/>
      <c r="Q24" s="530"/>
      <c r="R24" s="664"/>
      <c r="S24" s="665"/>
      <c r="T24" s="664"/>
      <c r="U24" s="665"/>
      <c r="V24" s="664"/>
      <c r="W24" s="665"/>
      <c r="X24" s="666"/>
      <c r="Y24" s="3387"/>
      <c r="Z24" s="50"/>
      <c r="AA24" s="50">
        <v>1</v>
      </c>
      <c r="AB24" s="50">
        <v>1</v>
      </c>
      <c r="AC24" s="50">
        <v>1</v>
      </c>
    </row>
    <row r="25" spans="1:29" s="102" customFormat="1" ht="28.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7"/>
      <c r="Q25" s="530" t="str">
        <f t="shared" ref="Q25" si="9">B25</f>
        <v>基础设施水平</v>
      </c>
      <c r="R25" s="664" t="s">
        <v>14</v>
      </c>
      <c r="S25" s="665">
        <f>F25</f>
        <v>100</v>
      </c>
      <c r="T25" s="664" t="s">
        <v>14</v>
      </c>
      <c r="U25" s="665">
        <f>H25</f>
        <v>100</v>
      </c>
      <c r="V25" s="664" t="s">
        <v>14</v>
      </c>
      <c r="W25" s="665">
        <f>J25</f>
        <v>100</v>
      </c>
      <c r="X25" s="666"/>
      <c r="Y25" s="338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7"/>
      <c r="Q26" s="530"/>
      <c r="R26" s="664"/>
      <c r="S26" s="665"/>
      <c r="T26" s="664"/>
      <c r="U26" s="665"/>
      <c r="V26" s="664"/>
      <c r="W26" s="665"/>
      <c r="X26" s="666"/>
      <c r="Y26" s="338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7"/>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7"/>
      <c r="Q28" s="1263" t="str">
        <f t="shared" si="8"/>
        <v>毗邻道路的类型与等级</v>
      </c>
      <c r="R28" s="667" t="s">
        <v>14</v>
      </c>
      <c r="S28" s="668">
        <f t="shared" si="10"/>
        <v>100</v>
      </c>
      <c r="T28" s="667" t="s">
        <v>14</v>
      </c>
      <c r="U28" s="668">
        <f t="shared" si="11"/>
        <v>100</v>
      </c>
      <c r="V28" s="667" t="s">
        <v>14</v>
      </c>
      <c r="W28" s="668">
        <f t="shared" si="12"/>
        <v>100</v>
      </c>
      <c r="X28" s="1265"/>
      <c r="Y28" s="338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7"/>
      <c r="Q29" s="1263"/>
      <c r="R29" s="667"/>
      <c r="S29" s="668"/>
      <c r="T29" s="667"/>
      <c r="U29" s="668"/>
      <c r="V29" s="667"/>
      <c r="W29" s="668"/>
      <c r="X29" s="1265"/>
      <c r="Y29" s="338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7"/>
      <c r="Q30" s="1263" t="str">
        <f t="shared" si="8"/>
        <v>土地级别</v>
      </c>
      <c r="R30" s="667" t="s">
        <v>14</v>
      </c>
      <c r="S30" s="668">
        <f t="shared" si="10"/>
        <v>100</v>
      </c>
      <c r="T30" s="667" t="s">
        <v>14</v>
      </c>
      <c r="U30" s="668">
        <f t="shared" si="11"/>
        <v>100</v>
      </c>
      <c r="V30" s="667" t="s">
        <v>14</v>
      </c>
      <c r="W30" s="668">
        <f t="shared" si="12"/>
        <v>100</v>
      </c>
      <c r="X30" s="1265"/>
      <c r="Y30" s="338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7"/>
      <c r="Q31" s="1263">
        <f t="shared" si="8"/>
        <v>111</v>
      </c>
      <c r="R31" s="667" t="s">
        <v>14</v>
      </c>
      <c r="S31" s="668">
        <f t="shared" si="10"/>
        <v>100</v>
      </c>
      <c r="T31" s="667" t="s">
        <v>14</v>
      </c>
      <c r="U31" s="668">
        <f t="shared" si="11"/>
        <v>100</v>
      </c>
      <c r="V31" s="667" t="s">
        <v>14</v>
      </c>
      <c r="W31" s="668">
        <f t="shared" si="12"/>
        <v>100</v>
      </c>
      <c r="X31" s="1265"/>
      <c r="Y31" s="338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1" t="s">
        <v>1696</v>
      </c>
      <c r="Q32" s="1263">
        <f t="shared" si="8"/>
        <v>111</v>
      </c>
      <c r="R32" s="667" t="s">
        <v>14</v>
      </c>
      <c r="S32" s="668">
        <f t="shared" si="10"/>
        <v>100</v>
      </c>
      <c r="T32" s="667" t="s">
        <v>14</v>
      </c>
      <c r="U32" s="668">
        <f t="shared" si="11"/>
        <v>100</v>
      </c>
      <c r="V32" s="667" t="s">
        <v>14</v>
      </c>
      <c r="W32" s="668">
        <f t="shared" si="12"/>
        <v>100</v>
      </c>
      <c r="X32" s="1265"/>
      <c r="Y32" s="3391"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1"/>
      <c r="Q33" s="1263">
        <f t="shared" si="8"/>
        <v>111</v>
      </c>
      <c r="R33" s="669" t="s">
        <v>14</v>
      </c>
      <c r="S33" s="670">
        <f t="shared" si="10"/>
        <v>100</v>
      </c>
      <c r="T33" s="669" t="s">
        <v>14</v>
      </c>
      <c r="U33" s="670">
        <f t="shared" si="11"/>
        <v>100</v>
      </c>
      <c r="V33" s="669" t="s">
        <v>14</v>
      </c>
      <c r="W33" s="670">
        <f t="shared" si="12"/>
        <v>100</v>
      </c>
      <c r="X33" s="671"/>
      <c r="Y33" s="339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1"/>
      <c r="Q34" s="1263" t="str">
        <f>B34</f>
        <v>宗地面积</v>
      </c>
      <c r="R34" s="667" t="s">
        <v>14</v>
      </c>
      <c r="S34" s="668" t="e">
        <f t="shared" si="10"/>
        <v>#N/A</v>
      </c>
      <c r="T34" s="667" t="s">
        <v>14</v>
      </c>
      <c r="U34" s="668" t="e">
        <f t="shared" si="11"/>
        <v>#N/A</v>
      </c>
      <c r="V34" s="667" t="s">
        <v>14</v>
      </c>
      <c r="W34" s="668" t="e">
        <f t="shared" si="12"/>
        <v>#N/A</v>
      </c>
      <c r="X34" s="1265"/>
      <c r="Y34" s="339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1"/>
      <c r="Q35" s="1263" t="str">
        <f t="shared" ref="Q35:Q40" si="14">B35</f>
        <v>宗地形状</v>
      </c>
      <c r="R35" s="667" t="s">
        <v>14</v>
      </c>
      <c r="S35" s="668">
        <f t="shared" si="10"/>
        <v>100</v>
      </c>
      <c r="T35" s="667" t="s">
        <v>14</v>
      </c>
      <c r="U35" s="668">
        <f t="shared" si="11"/>
        <v>100</v>
      </c>
      <c r="V35" s="667" t="s">
        <v>14</v>
      </c>
      <c r="W35" s="668">
        <f t="shared" si="12"/>
        <v>100</v>
      </c>
      <c r="X35" s="1265"/>
      <c r="Y35" s="339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1"/>
      <c r="Q36" s="1263" t="str">
        <f t="shared" si="14"/>
        <v>宗地开发程度</v>
      </c>
      <c r="R36" s="664" t="s">
        <v>14</v>
      </c>
      <c r="S36" s="665">
        <f t="shared" si="10"/>
        <v>100</v>
      </c>
      <c r="T36" s="664" t="s">
        <v>14</v>
      </c>
      <c r="U36" s="665">
        <f t="shared" si="11"/>
        <v>100</v>
      </c>
      <c r="V36" s="664" t="s">
        <v>14</v>
      </c>
      <c r="W36" s="665">
        <f t="shared" si="12"/>
        <v>100</v>
      </c>
      <c r="X36" s="666"/>
      <c r="Y36" s="339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1" t="s">
        <v>1696</v>
      </c>
      <c r="Q37" s="1263" t="str">
        <f t="shared" si="14"/>
        <v>工程地质条件</v>
      </c>
      <c r="R37" s="667" t="s">
        <v>14</v>
      </c>
      <c r="S37" s="668">
        <f t="shared" si="10"/>
        <v>100</v>
      </c>
      <c r="T37" s="667" t="s">
        <v>14</v>
      </c>
      <c r="U37" s="668">
        <f t="shared" si="11"/>
        <v>100</v>
      </c>
      <c r="V37" s="667" t="s">
        <v>14</v>
      </c>
      <c r="W37" s="668">
        <f t="shared" si="12"/>
        <v>100</v>
      </c>
      <c r="X37" s="1265"/>
      <c r="Y37" s="339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1"/>
      <c r="Q38" s="1263">
        <f t="shared" si="14"/>
        <v>111</v>
      </c>
      <c r="R38" s="667" t="s">
        <v>14</v>
      </c>
      <c r="S38" s="668">
        <f t="shared" si="10"/>
        <v>100</v>
      </c>
      <c r="T38" s="667" t="s">
        <v>14</v>
      </c>
      <c r="U38" s="668">
        <f t="shared" si="11"/>
        <v>100</v>
      </c>
      <c r="V38" s="667" t="s">
        <v>14</v>
      </c>
      <c r="W38" s="668">
        <f t="shared" si="12"/>
        <v>100</v>
      </c>
      <c r="X38" s="1265"/>
      <c r="Y38" s="339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1"/>
      <c r="Q39" s="1263">
        <f t="shared" si="14"/>
        <v>111</v>
      </c>
      <c r="R39" s="667" t="s">
        <v>14</v>
      </c>
      <c r="S39" s="668">
        <f t="shared" si="10"/>
        <v>100</v>
      </c>
      <c r="T39" s="667" t="s">
        <v>14</v>
      </c>
      <c r="U39" s="668">
        <f t="shared" si="11"/>
        <v>100</v>
      </c>
      <c r="V39" s="667" t="s">
        <v>14</v>
      </c>
      <c r="W39" s="668">
        <f t="shared" si="12"/>
        <v>100</v>
      </c>
      <c r="X39" s="1265"/>
      <c r="Y39" s="339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1"/>
      <c r="Q40" s="1263">
        <f t="shared" si="14"/>
        <v>111</v>
      </c>
      <c r="R40" s="669" t="s">
        <v>14</v>
      </c>
      <c r="S40" s="670">
        <f t="shared" si="10"/>
        <v>100</v>
      </c>
      <c r="T40" s="669" t="s">
        <v>14</v>
      </c>
      <c r="U40" s="670">
        <f t="shared" si="11"/>
        <v>100</v>
      </c>
      <c r="V40" s="669" t="s">
        <v>14</v>
      </c>
      <c r="W40" s="670">
        <f t="shared" si="12"/>
        <v>100</v>
      </c>
      <c r="X40" s="671"/>
      <c r="Y40" s="3391"/>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84" t="str">
        <f>A41</f>
        <v>成交单价</v>
      </c>
      <c r="Q41" s="3384"/>
      <c r="R41" s="3385">
        <f>E41</f>
        <v>0</v>
      </c>
      <c r="S41" s="3385"/>
      <c r="T41" s="3385">
        <f>G41</f>
        <v>0</v>
      </c>
      <c r="U41" s="3385"/>
      <c r="V41" s="3385">
        <f>I41</f>
        <v>0</v>
      </c>
      <c r="W41" s="3385"/>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84" t="str">
        <f>A42</f>
        <v>比较价值（元/平方米）</v>
      </c>
      <c r="Q42" s="3384"/>
      <c r="R42" s="3443" t="e">
        <f>ROUND(PRODUCT(R41,AA7:AA40),0)</f>
        <v>#DIV/0!</v>
      </c>
      <c r="S42" s="3443"/>
      <c r="T42" s="3443" t="e">
        <f>ROUND(PRODUCT(T41,AB7:AB40),0)</f>
        <v>#DIV/0!</v>
      </c>
      <c r="U42" s="3443"/>
      <c r="V42" s="3443" t="e">
        <f>ROUND(PRODUCT(V41,AC7:AC40),0)</f>
        <v>#DIV/0!</v>
      </c>
      <c r="W42" s="344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81" t="str">
        <f>A43</f>
        <v>估价对象XX用房的比较价值（楼面单价，元/平方米）</v>
      </c>
      <c r="Q43" s="3382"/>
      <c r="R43" s="3444" t="e">
        <f>ROUND(IF(D42="简单平均",AVERAGE(R42:W42),R42*F42+T42*H42+V42*J42),0)</f>
        <v>#DIV/0!</v>
      </c>
      <c r="S43" s="3444"/>
      <c r="T43" s="3444"/>
      <c r="U43" s="3444"/>
      <c r="V43" s="3444"/>
      <c r="W43" s="3444"/>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9" t="s">
        <v>1887</v>
      </c>
      <c r="H50" s="3445"/>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13013.62</v>
      </c>
      <c r="F51" s="611" t="e">
        <f t="shared" ref="F51:F60" si="15">ROUND(B51*E51/10000,0)</f>
        <v>#DIV/0!</v>
      </c>
      <c r="G51" s="3395"/>
      <c r="H51" s="3384"/>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3" t="s">
        <v>2084</v>
      </c>
      <c r="D1" s="3454"/>
      <c r="E1" s="3454"/>
      <c r="F1" s="3454"/>
      <c r="G1" s="3454"/>
      <c r="H1" s="3454"/>
      <c r="I1" s="3454"/>
      <c r="J1" s="3454"/>
      <c r="K1" s="3454"/>
      <c r="L1" s="3454"/>
      <c r="M1" s="3454"/>
      <c r="N1" s="3454"/>
      <c r="O1" s="3454"/>
      <c r="P1" s="3454"/>
      <c r="Q1" s="3454"/>
      <c r="R1" s="3454"/>
      <c r="S1" s="345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0" t="s">
        <v>27</v>
      </c>
      <c r="D22" s="3451"/>
      <c r="E22" s="3451"/>
      <c r="F22" s="3451"/>
      <c r="G22" s="3451"/>
      <c r="H22" s="3451"/>
      <c r="I22" s="3451"/>
      <c r="J22" s="3451"/>
      <c r="K22" s="3451"/>
      <c r="L22" s="3451"/>
      <c r="M22" s="3451"/>
      <c r="N22" s="3451"/>
      <c r="O22" s="3451"/>
      <c r="P22" s="3451"/>
      <c r="Q22" s="345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5" zoomScale="85" zoomScaleNormal="80" zoomScaleSheetLayoutView="85" workbookViewId="0">
      <selection activeCell="C5" sqref="C5 C22:C24 S2 C2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63"/>
      <c r="B4" s="3464"/>
      <c r="C4" s="3464"/>
      <c r="D4" s="3465"/>
      <c r="E4" s="3465"/>
      <c r="F4" s="3465"/>
      <c r="G4" s="3465"/>
      <c r="H4" s="3465"/>
      <c r="I4" s="3465"/>
      <c r="J4" s="346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60" t="s">
        <v>1960</v>
      </c>
      <c r="X8" s="346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62"/>
      <c r="X9" s="3065" t="s">
        <v>3257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62"/>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t="e">
        <f>ROUND(G18/I18,2)</f>
        <v>#DIV/0!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7" t="s">
        <v>3245</v>
      </c>
      <c r="B20" s="159" t="s">
        <v>1994</v>
      </c>
      <c r="C20" s="3032" t="e">
        <f>ROUND(IF(F21="与级别开发程度一致",0,(G21-E21)/C21),0)</f>
        <v>#DIV/0!</v>
      </c>
      <c r="D20" s="3047" t="s">
        <v>1998</v>
      </c>
      <c r="E20" s="3048"/>
      <c r="F20" s="3473" t="s">
        <v>1995</v>
      </c>
      <c r="G20" s="3474"/>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68"/>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5.7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45902</v>
      </c>
      <c r="H23" s="3049"/>
      <c r="I23" s="3050" t="str">
        <f>IF(H23="季度增幅（自定义）",SUMIF(N25:N28,E2,O25:O28),"")</f>
        <v/>
      </c>
      <c r="J23" s="3142"/>
      <c r="K23" s="1061"/>
      <c r="L23" s="1897" t="s">
        <v>2004</v>
      </c>
      <c r="M23" s="1241">
        <f>ROUND(SUMIF(地价!B2:G2,E2,地价!B16:G16),0)</f>
        <v>0</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3324</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3251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3249</v>
      </c>
      <c r="G33" s="1941"/>
      <c r="H33" s="1941"/>
      <c r="I33" s="1941"/>
      <c r="J33" s="1942"/>
      <c r="K33" s="1056"/>
      <c r="L33" s="3054" t="s">
        <v>3252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3253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3254</v>
      </c>
      <c r="L36" s="3143">
        <f ca="1">'数据-取费表'!B40</f>
        <v>3.1899999999999998E-2</v>
      </c>
      <c r="M36" s="2366">
        <f ca="1">ROUND($L$36*(1+M31),3)</f>
        <v>0.04</v>
      </c>
      <c r="N36" s="2366">
        <f ca="1">ROUND($L$36*(1+N31),3)</f>
        <v>3.7999999999999999E-2</v>
      </c>
      <c r="O36" s="2366">
        <f ca="1">ROUND($L$36*(1+O31),3)</f>
        <v>3.6999999999999998E-2</v>
      </c>
      <c r="P36" s="2366">
        <f ca="1">ROUND($L$36*(1+P31),3)</f>
        <v>3.5000000000000003E-2</v>
      </c>
      <c r="Q36" s="2366">
        <f ca="1">ROUND($L$36*(1+Q31),3)</f>
        <v>3.6999999999999998E-2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1"/>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3255</v>
      </c>
      <c r="L37" s="1964">
        <f ca="1">L36+K38</f>
        <v>3.6899999999999995E-2</v>
      </c>
      <c r="M37" s="2366">
        <f ca="1">ROUND($L$37*(1+M31),3)</f>
        <v>4.5999999999999999E-2</v>
      </c>
      <c r="N37" s="2366">
        <f t="shared" ref="N37:Q37" ca="1" si="3">ROUND($L$37*(1+N31),3)</f>
        <v>4.3999999999999997E-2</v>
      </c>
      <c r="O37" s="2366">
        <f t="shared" ca="1" si="3"/>
        <v>4.2000000000000003E-2</v>
      </c>
      <c r="P37" s="2366">
        <f t="shared" ca="1" si="3"/>
        <v>4.1000000000000002E-2</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2"/>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2"/>
      <c r="B39" s="1884" t="s">
        <v>3248</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3256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3258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3258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3258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f>估价对象房地状况!G16</f>
        <v>0</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3259</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f>估价对象房地状况!G19</f>
        <v>0</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f>估价对象房地状况!G20</f>
        <v>0</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f>估价对象房地状况!G18</f>
        <v>0</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3260</v>
      </c>
      <c r="B92" s="2310"/>
      <c r="C92" s="2310" t="s">
        <v>3269</v>
      </c>
      <c r="D92" s="2310" t="s">
        <v>3270</v>
      </c>
      <c r="E92" s="3053" t="s">
        <v>3271</v>
      </c>
      <c r="F92" s="3083" t="s">
        <v>3272</v>
      </c>
      <c r="G92" s="2310" t="s">
        <v>3273</v>
      </c>
      <c r="H92" s="3090" t="s">
        <v>3276</v>
      </c>
      <c r="I92" s="2310" t="s">
        <v>3277</v>
      </c>
      <c r="J92" s="2150" t="s">
        <v>3278</v>
      </c>
      <c r="K92" s="2150" t="s">
        <v>3279</v>
      </c>
      <c r="L92" s="2150" t="s">
        <v>3280</v>
      </c>
      <c r="M92" s="2150" t="s">
        <v>3281</v>
      </c>
      <c r="N92" s="2150" t="s">
        <v>3282</v>
      </c>
    </row>
    <row r="93" spans="1:37" ht="24">
      <c r="A93" s="3071" t="s">
        <v>3261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3262</v>
      </c>
      <c r="B94" s="3072">
        <f>估价对象房地状况!C18</f>
        <v>0</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3258</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3263</v>
      </c>
      <c r="B96" s="3087" t="s">
        <v>3274</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3264</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3265</v>
      </c>
      <c r="B98" s="3088" t="s">
        <v>3275</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3266</v>
      </c>
      <c r="B99" s="3072">
        <f>估价对象房地状况!C21</f>
        <v>0</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3267</v>
      </c>
      <c r="B100" s="3072">
        <f>估价对象房地状况!C22</f>
        <v>0</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3268</v>
      </c>
      <c r="B101" s="3089">
        <f>估价对象房地状况!C20</f>
        <v>0</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69" t="s">
        <v>3283</v>
      </c>
      <c r="B103" s="3469"/>
      <c r="C103" s="3469"/>
      <c r="D103" s="3469"/>
      <c r="E103" s="3469"/>
      <c r="F103" s="3469"/>
      <c r="G103" s="3469"/>
      <c r="H103" s="3469"/>
      <c r="I103" s="3469"/>
      <c r="J103" s="3469"/>
      <c r="K103" s="1667"/>
      <c r="L103" s="1667"/>
      <c r="M103" s="1667"/>
      <c r="N103" s="1667"/>
    </row>
    <row r="104" spans="1:14">
      <c r="A104" s="3470" t="s">
        <v>3284</v>
      </c>
      <c r="B104" s="3470" t="s">
        <v>3285</v>
      </c>
      <c r="C104" s="3091" t="s">
        <v>3286</v>
      </c>
      <c r="D104" s="3092"/>
      <c r="E104" s="3092"/>
      <c r="F104" s="3092"/>
      <c r="G104" s="3092"/>
      <c r="H104" s="3092"/>
      <c r="I104" s="3092"/>
      <c r="J104" s="3093"/>
      <c r="K104" s="3094"/>
      <c r="L104" s="3094"/>
      <c r="M104" s="3094"/>
      <c r="N104" s="3094"/>
    </row>
    <row r="105" spans="1:14">
      <c r="A105" s="3470"/>
      <c r="B105" s="3470"/>
      <c r="C105" s="3095" t="s">
        <v>3287</v>
      </c>
      <c r="D105" s="3095" t="s">
        <v>3288</v>
      </c>
      <c r="E105" s="3095" t="s">
        <v>3289</v>
      </c>
      <c r="F105" s="3095" t="s">
        <v>3290</v>
      </c>
      <c r="G105" s="3095" t="s">
        <v>3291</v>
      </c>
      <c r="H105" s="3095" t="s">
        <v>3292</v>
      </c>
      <c r="I105" s="3095" t="s">
        <v>3293</v>
      </c>
      <c r="J105" s="3095" t="s">
        <v>3294</v>
      </c>
      <c r="K105" s="3095" t="s">
        <v>3295</v>
      </c>
      <c r="L105" s="3095" t="s">
        <v>3296</v>
      </c>
      <c r="M105" s="3095" t="s">
        <v>3297</v>
      </c>
      <c r="N105" s="3095" t="s">
        <v>3298</v>
      </c>
    </row>
    <row r="106" spans="1:14">
      <c r="A106" s="3456" t="s">
        <v>3299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7"/>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7"/>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7"/>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7"/>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7"/>
      <c r="B111" s="3095" t="s">
        <v>3257</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8"/>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59" t="s">
        <v>3300</v>
      </c>
      <c r="B113" s="3459"/>
      <c r="C113" s="3459"/>
      <c r="D113" s="3459"/>
      <c r="E113" s="3459"/>
      <c r="F113" s="3459"/>
      <c r="G113" s="3459"/>
      <c r="H113" s="3459"/>
      <c r="I113" s="3459"/>
      <c r="J113" s="3459"/>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3301</v>
      </c>
      <c r="B116" s="3115">
        <f>G3</f>
        <v>0</v>
      </c>
      <c r="C116" s="3100" t="s">
        <v>3302</v>
      </c>
      <c r="D116" s="3101">
        <f>SUMPRODUCT((A118:A122=F116)*(B117:M117=H116)*B118:M122)</f>
        <v>0</v>
      </c>
      <c r="E116" s="162" t="s">
        <v>3303</v>
      </c>
      <c r="F116" s="3102">
        <f>E2</f>
        <v>0</v>
      </c>
      <c r="G116" s="162" t="s">
        <v>3304</v>
      </c>
      <c r="H116" s="3102">
        <f>G2</f>
        <v>0</v>
      </c>
      <c r="I116" s="162"/>
      <c r="J116" s="3103"/>
      <c r="K116" s="3103"/>
      <c r="L116" s="3103"/>
      <c r="M116" s="3103"/>
      <c r="N116" s="3098"/>
    </row>
    <row r="117" spans="1:14">
      <c r="A117" s="3104"/>
      <c r="B117" s="3105" t="s">
        <v>3305</v>
      </c>
      <c r="C117" s="3105" t="s">
        <v>3306</v>
      </c>
      <c r="D117" s="3105" t="s">
        <v>3307</v>
      </c>
      <c r="E117" s="3106" t="s">
        <v>3308</v>
      </c>
      <c r="F117" s="3106" t="s">
        <v>3309</v>
      </c>
      <c r="G117" s="3106" t="s">
        <v>3310</v>
      </c>
      <c r="H117" s="3107" t="s">
        <v>3311</v>
      </c>
      <c r="I117" s="3107" t="s">
        <v>3312</v>
      </c>
      <c r="J117" s="3108" t="s">
        <v>3313</v>
      </c>
      <c r="K117" s="3108" t="s">
        <v>3314</v>
      </c>
      <c r="L117" s="3108" t="s">
        <v>3315</v>
      </c>
      <c r="M117" s="3109" t="s">
        <v>3316</v>
      </c>
      <c r="N117" s="3098"/>
    </row>
    <row r="118" spans="1:14">
      <c r="A118" s="3058" t="s">
        <v>3317</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3318</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3319</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3320</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2603</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F42FB-0930-4BD8-9DC2-33576AEF6D78}">
  <sheetPr>
    <tabColor rgb="FF92D050"/>
    <pageSetUpPr fitToPage="1"/>
  </sheetPr>
  <dimension ref="A1:AC131"/>
  <sheetViews>
    <sheetView view="pageBreakPreview" topLeftCell="A22" zoomScale="85" zoomScaleNormal="70" zoomScaleSheetLayoutView="85" workbookViewId="0">
      <selection activeCell="K43" sqref="K4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5" t="s">
        <v>3492</v>
      </c>
      <c r="F1" s="1735" t="s">
        <v>3493</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11789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9059</v>
      </c>
      <c r="C3" s="344" t="s">
        <v>1665</v>
      </c>
      <c r="D3" s="343">
        <f>IF(D1="",'数据-汇总表'!E3,SUMIF('数据-汇总表'!$C19:$C33,D1,'数据-汇总表'!$E19:$E33))</f>
        <v>13013.62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1666</v>
      </c>
      <c r="B4" s="346"/>
      <c r="C4" s="3399" t="s">
        <v>1667</v>
      </c>
      <c r="D4" s="3400"/>
      <c r="E4" s="3401" t="s">
        <v>1668</v>
      </c>
      <c r="F4" s="3402"/>
      <c r="G4" s="3399" t="s">
        <v>1669</v>
      </c>
      <c r="H4" s="3400"/>
      <c r="I4" s="3399" t="s">
        <v>1670</v>
      </c>
      <c r="J4" s="3400"/>
      <c r="K4" s="537" t="s">
        <v>1671</v>
      </c>
      <c r="L4" s="2487"/>
      <c r="M4" s="2488"/>
      <c r="N4" s="2488"/>
      <c r="O4" s="2488"/>
      <c r="P4" s="3403" t="s">
        <v>1672</v>
      </c>
      <c r="Q4" s="3404"/>
      <c r="R4" s="3409" t="s">
        <v>1668</v>
      </c>
      <c r="S4" s="3410"/>
      <c r="T4" s="3409" t="s">
        <v>1669</v>
      </c>
      <c r="U4" s="3410"/>
      <c r="V4" s="3385" t="s">
        <v>1670</v>
      </c>
      <c r="W4" s="3385"/>
      <c r="X4" s="1265"/>
      <c r="Y4" s="3409" t="s">
        <v>1672</v>
      </c>
      <c r="Z4" s="3410"/>
      <c r="AA4" s="3396" t="s">
        <v>1668</v>
      </c>
      <c r="AB4" s="3385" t="s">
        <v>1669</v>
      </c>
      <c r="AC4" s="3396" t="s">
        <v>1670</v>
      </c>
    </row>
    <row r="5" spans="1:29" ht="15">
      <c r="A5" s="348"/>
      <c r="B5" s="349"/>
      <c r="C5" s="3417" t="s">
        <v>1673</v>
      </c>
      <c r="D5" s="3418"/>
      <c r="E5" s="3524" t="str">
        <f>大宗买卖!C1</f>
        <v>广东省深圳市宝安区西乡街道西乡大道西侧大益广场1栋3层</v>
      </c>
      <c r="F5" s="3425"/>
      <c r="G5" s="3525" t="str">
        <f>大宗买卖!D1</f>
        <v>深圳市宝安区西乡街道银田路锦明花园1栋A2、A3座201房</v>
      </c>
      <c r="H5" s="3418"/>
      <c r="I5" s="3525" t="str">
        <f>大宗买卖!F1</f>
        <v>深圳市南山区创业路北怡海广场裙楼4A房产</v>
      </c>
      <c r="J5" s="3418"/>
      <c r="K5" s="537"/>
      <c r="L5" s="2487"/>
      <c r="M5" s="2488"/>
      <c r="N5" s="2488"/>
      <c r="O5" s="2488"/>
      <c r="P5" s="3405"/>
      <c r="Q5" s="3406"/>
      <c r="R5" s="3411"/>
      <c r="S5" s="3412"/>
      <c r="T5" s="3411"/>
      <c r="U5" s="3412"/>
      <c r="V5" s="3385"/>
      <c r="W5" s="3385"/>
      <c r="X5" s="1265"/>
      <c r="Y5" s="3411"/>
      <c r="Z5" s="3412"/>
      <c r="AA5" s="3397"/>
      <c r="AB5" s="3385"/>
      <c r="AC5" s="3397"/>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85"/>
      <c r="AC6" s="3398"/>
    </row>
    <row r="7" spans="1:29" s="102" customFormat="1" ht="15.75" thickBot="1">
      <c r="A7" s="352" t="s">
        <v>1679</v>
      </c>
      <c r="B7" s="353"/>
      <c r="C7" s="354">
        <f>'数据-取费表'!B2</f>
        <v>45902</v>
      </c>
      <c r="D7" s="355">
        <v>100</v>
      </c>
      <c r="E7" s="356">
        <f>C7</f>
        <v>45902</v>
      </c>
      <c r="F7" s="357">
        <f>SUMIF(58:58,YEAR(E7)&amp;"-"&amp;MONTH(E7),59:59)</f>
        <v>100</v>
      </c>
      <c r="G7" s="356">
        <f>C7</f>
        <v>45902</v>
      </c>
      <c r="H7" s="355">
        <f>SUMIF(58:58,YEAR(G7)&amp;"-"&amp;MONTH(G7),59:59)</f>
        <v>100</v>
      </c>
      <c r="I7" s="356">
        <f>C7</f>
        <v>45902</v>
      </c>
      <c r="J7" s="355">
        <f>SUMIF(58:58,YEAR(I7)&amp;"-"&amp;MONTH(I7),59:59)</f>
        <v>100</v>
      </c>
      <c r="K7" s="38"/>
      <c r="L7" s="2489"/>
      <c r="M7" s="2440"/>
      <c r="N7" s="2440"/>
      <c r="O7" s="2440"/>
      <c r="P7" s="3419" t="s">
        <v>1680</v>
      </c>
      <c r="Q7" s="3421"/>
      <c r="R7" s="664" t="s">
        <v>14</v>
      </c>
      <c r="S7" s="665">
        <f t="shared" ref="S7:S15" si="0">F7</f>
        <v>100</v>
      </c>
      <c r="T7" s="664" t="s">
        <v>14</v>
      </c>
      <c r="U7" s="665">
        <f t="shared" ref="U7:U15" si="1">H7</f>
        <v>100</v>
      </c>
      <c r="V7" s="664" t="s">
        <v>14</v>
      </c>
      <c r="W7" s="665">
        <f t="shared" ref="W7:W15" si="2">J7</f>
        <v>100</v>
      </c>
      <c r="X7" s="666"/>
      <c r="Y7" s="3419" t="s">
        <v>1680</v>
      </c>
      <c r="Z7" s="3420"/>
      <c r="AA7" s="50">
        <f>D7/F7</f>
        <v>1</v>
      </c>
      <c r="AB7" s="50">
        <f>D7/H7</f>
        <v>1</v>
      </c>
      <c r="AC7" s="50">
        <f>D7/J7</f>
        <v>1</v>
      </c>
    </row>
    <row r="8" spans="1:29" s="102" customFormat="1" ht="15.75" thickBot="1">
      <c r="A8" s="352" t="s">
        <v>1681</v>
      </c>
      <c r="B8" s="353"/>
      <c r="C8" s="358" t="s">
        <v>3487</v>
      </c>
      <c r="D8" s="355">
        <v>100</v>
      </c>
      <c r="E8" s="358" t="s">
        <v>3487</v>
      </c>
      <c r="F8" s="357">
        <f>SUMIF(61:61,E8,62:62)-SUMIF(61:61,C8,62:62)+100</f>
        <v>100</v>
      </c>
      <c r="G8" s="358" t="s">
        <v>3487</v>
      </c>
      <c r="H8" s="355">
        <f>SUMIF(61:61,G8,62:62)-SUMIF(61:61,C8,62:62)+100</f>
        <v>100</v>
      </c>
      <c r="I8" s="358" t="s">
        <v>3487</v>
      </c>
      <c r="J8" s="355">
        <f>SUMIF(61:61,I8,62:62)-SUMIF(61:61,C8,62:62)+100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4"/>
      <c r="H10" s="119">
        <f>SUMIF(65:65,G10,66:66)-SUMIF(65:65,C10,66:66)+100</f>
        <v>100</v>
      </c>
      <c r="I10" s="3134"/>
      <c r="J10" s="119">
        <f>SUMIF(65:65,I10,66:66)-SUMIF(65:65,C10,66:66)+100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95"/>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5"/>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93" t="s">
        <v>1691</v>
      </c>
      <c r="Q15" s="1263" t="str">
        <f t="shared" si="6"/>
        <v>商业繁华度</v>
      </c>
      <c r="R15" s="667" t="s">
        <v>14</v>
      </c>
      <c r="S15" s="668">
        <f t="shared" si="0"/>
        <v>100</v>
      </c>
      <c r="T15" s="667" t="s">
        <v>14</v>
      </c>
      <c r="U15" s="668">
        <f t="shared" si="1"/>
        <v>100</v>
      </c>
      <c r="V15" s="667" t="s">
        <v>14</v>
      </c>
      <c r="W15" s="668">
        <f t="shared" si="2"/>
        <v>100</v>
      </c>
      <c r="X15" s="1265"/>
      <c r="Y15" s="338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94"/>
      <c r="Q16" s="1263"/>
      <c r="R16" s="667"/>
      <c r="S16" s="668"/>
      <c r="T16" s="667"/>
      <c r="U16" s="668"/>
      <c r="V16" s="667"/>
      <c r="W16" s="668"/>
      <c r="X16" s="1265"/>
      <c r="Y16" s="3387"/>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94"/>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94"/>
      <c r="Q18" s="1263"/>
      <c r="R18" s="667"/>
      <c r="S18" s="668"/>
      <c r="T18" s="667"/>
      <c r="U18" s="668"/>
      <c r="V18" s="667"/>
      <c r="W18" s="668"/>
      <c r="X18" s="1265"/>
      <c r="Y18" s="3387"/>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94"/>
      <c r="Q20" s="1263"/>
      <c r="R20" s="667"/>
      <c r="S20" s="668"/>
      <c r="T20" s="667"/>
      <c r="U20" s="668"/>
      <c r="V20" s="667"/>
      <c r="W20" s="668"/>
      <c r="X20" s="1265"/>
      <c r="Y20" s="3387"/>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94"/>
      <c r="Q22" s="1263"/>
      <c r="R22" s="667"/>
      <c r="S22" s="668"/>
      <c r="T22" s="667"/>
      <c r="U22" s="668"/>
      <c r="V22" s="667"/>
      <c r="W22" s="668"/>
      <c r="X22" s="1265"/>
      <c r="Y22" s="3387"/>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94"/>
      <c r="Q23" s="1263" t="str">
        <f>B23</f>
        <v>自然及人文环境</v>
      </c>
      <c r="R23" s="667" t="s">
        <v>14</v>
      </c>
      <c r="S23" s="668">
        <f>F23</f>
        <v>100</v>
      </c>
      <c r="T23" s="667" t="s">
        <v>14</v>
      </c>
      <c r="U23" s="668">
        <f>H23</f>
        <v>100</v>
      </c>
      <c r="V23" s="667" t="s">
        <v>14</v>
      </c>
      <c r="W23" s="668">
        <f>J23</f>
        <v>100</v>
      </c>
      <c r="X23" s="1265"/>
      <c r="Y23" s="338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94"/>
      <c r="Q24" s="1263"/>
      <c r="R24" s="667"/>
      <c r="S24" s="668"/>
      <c r="T24" s="667"/>
      <c r="U24" s="668"/>
      <c r="V24" s="667"/>
      <c r="W24" s="668"/>
      <c r="X24" s="1265"/>
      <c r="Y24" s="338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94"/>
      <c r="Q25" s="1263" t="str">
        <f t="shared" ref="Q25:Q46" si="11">B25</f>
        <v>临街状况</v>
      </c>
      <c r="R25" s="667" t="s">
        <v>14</v>
      </c>
      <c r="S25" s="668">
        <f>F25</f>
        <v>100</v>
      </c>
      <c r="T25" s="667" t="s">
        <v>14</v>
      </c>
      <c r="U25" s="668">
        <f>H25</f>
        <v>100</v>
      </c>
      <c r="V25" s="667" t="s">
        <v>14</v>
      </c>
      <c r="W25" s="668">
        <f>J25</f>
        <v>100</v>
      </c>
      <c r="X25" s="1265"/>
      <c r="Y25" s="338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94"/>
      <c r="Q26" s="1263" t="str">
        <f t="shared" si="11"/>
        <v>平面位置/可视性</v>
      </c>
      <c r="R26" s="667" t="s">
        <v>14</v>
      </c>
      <c r="S26" s="668">
        <f>F26</f>
        <v>100</v>
      </c>
      <c r="T26" s="667" t="s">
        <v>14</v>
      </c>
      <c r="U26" s="668">
        <f>H26</f>
        <v>100</v>
      </c>
      <c r="V26" s="667" t="s">
        <v>14</v>
      </c>
      <c r="W26" s="668">
        <f>J26</f>
        <v>100</v>
      </c>
      <c r="X26" s="1265"/>
      <c r="Y26" s="338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94"/>
      <c r="Q27" s="530" t="str">
        <f t="shared" si="11"/>
        <v>人流量</v>
      </c>
      <c r="R27" s="664" t="s">
        <v>14</v>
      </c>
      <c r="S27" s="665">
        <f>F27</f>
        <v>100</v>
      </c>
      <c r="T27" s="664" t="s">
        <v>14</v>
      </c>
      <c r="U27" s="665">
        <f>H27</f>
        <v>100</v>
      </c>
      <c r="V27" s="664" t="s">
        <v>14</v>
      </c>
      <c r="W27" s="665">
        <f>J27</f>
        <v>100</v>
      </c>
      <c r="X27" s="666"/>
      <c r="Y27" s="3387"/>
      <c r="Z27" s="50" t="str">
        <f>Q27</f>
        <v>人流量</v>
      </c>
      <c r="AA27" s="1264">
        <f>D27/F27</f>
        <v>1</v>
      </c>
      <c r="AB27" s="1264">
        <f>D27/H27</f>
        <v>1</v>
      </c>
      <c r="AC27" s="1264">
        <f>D27/J27</f>
        <v>1</v>
      </c>
    </row>
    <row r="28" spans="1:29" ht="15">
      <c r="A28" s="367"/>
      <c r="B28" s="364" t="s">
        <v>1783</v>
      </c>
      <c r="C28" s="542" t="s">
        <v>3498</v>
      </c>
      <c r="D28" s="374">
        <v>100</v>
      </c>
      <c r="E28" s="542" t="s">
        <v>3494</v>
      </c>
      <c r="F28" s="400">
        <f>SUMIF(92:92,E28,93:93)-SUMIF(92:92,C28,93:93)+100</f>
        <v>87.5</v>
      </c>
      <c r="G28" s="542" t="s">
        <v>3470</v>
      </c>
      <c r="H28" s="374">
        <f>SUMIF(92:92,G28,93:93)-SUMIF(92:92,C28,93:93)+100</f>
        <v>97.5</v>
      </c>
      <c r="I28" s="542" t="s">
        <v>3498</v>
      </c>
      <c r="J28" s="374">
        <f>SUMIF(92:92,I28,93:93)-SUMIF(92:92,C28,93:93)+100</f>
        <v>100</v>
      </c>
      <c r="K28" s="539"/>
      <c r="L28" s="2493"/>
      <c r="M28" s="2488"/>
      <c r="N28" s="2488"/>
      <c r="O28" s="2488"/>
      <c r="P28" s="3394"/>
      <c r="Q28" s="1263" t="str">
        <f t="shared" si="11"/>
        <v>楼层</v>
      </c>
      <c r="R28" s="667" t="s">
        <v>14</v>
      </c>
      <c r="S28" s="668">
        <f t="shared" ref="S28:S46" si="12">F28</f>
        <v>87.5</v>
      </c>
      <c r="T28" s="667" t="s">
        <v>14</v>
      </c>
      <c r="U28" s="668">
        <f t="shared" ref="U28:U46" si="13">H28</f>
        <v>97.5</v>
      </c>
      <c r="V28" s="667" t="s">
        <v>14</v>
      </c>
      <c r="W28" s="668">
        <f t="shared" ref="W28:W46" si="14">J28</f>
        <v>100</v>
      </c>
      <c r="X28" s="1265"/>
      <c r="Y28" s="3387"/>
      <c r="Z28" s="1264" t="str">
        <f t="shared" ref="Z28:Z46" si="15">Q28</f>
        <v>楼层</v>
      </c>
      <c r="AA28" s="1264">
        <f t="shared" si="3"/>
        <v>1.1428571428571428</v>
      </c>
      <c r="AB28" s="1264">
        <f t="shared" si="4"/>
        <v>1.0256410256410255</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4"/>
      <c r="Q29" s="1263">
        <f t="shared" si="11"/>
        <v>111</v>
      </c>
      <c r="R29" s="667" t="s">
        <v>14</v>
      </c>
      <c r="S29" s="668">
        <f t="shared" si="12"/>
        <v>100</v>
      </c>
      <c r="T29" s="667" t="s">
        <v>14</v>
      </c>
      <c r="U29" s="668">
        <f t="shared" si="13"/>
        <v>100</v>
      </c>
      <c r="V29" s="667" t="s">
        <v>14</v>
      </c>
      <c r="W29" s="668">
        <f t="shared" si="14"/>
        <v>100</v>
      </c>
      <c r="X29" s="1265"/>
      <c r="Y29" s="338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4"/>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4"/>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8" t="s">
        <v>1696</v>
      </c>
      <c r="Q32" s="1263" t="str">
        <f t="shared" si="11"/>
        <v>商业类型</v>
      </c>
      <c r="R32" s="667" t="s">
        <v>14</v>
      </c>
      <c r="S32" s="668">
        <f t="shared" si="12"/>
        <v>100</v>
      </c>
      <c r="T32" s="667" t="s">
        <v>14</v>
      </c>
      <c r="U32" s="668">
        <f t="shared" si="13"/>
        <v>100</v>
      </c>
      <c r="V32" s="667" t="s">
        <v>14</v>
      </c>
      <c r="W32" s="668">
        <f t="shared" si="14"/>
        <v>100</v>
      </c>
      <c r="X32" s="1265"/>
      <c r="Y32" s="3391" t="s">
        <v>1696</v>
      </c>
      <c r="Z32" s="1264" t="str">
        <f t="shared" si="15"/>
        <v>商业类型</v>
      </c>
      <c r="AA32" s="1264">
        <f t="shared" si="3"/>
        <v>1</v>
      </c>
      <c r="AB32" s="1264">
        <f t="shared" si="4"/>
        <v>1</v>
      </c>
      <c r="AC32" s="1264">
        <f t="shared" si="5"/>
        <v>1</v>
      </c>
    </row>
    <row r="33" spans="1:29" s="408" customFormat="1" ht="15">
      <c r="A33" s="406"/>
      <c r="B33" s="364" t="s">
        <v>1697</v>
      </c>
      <c r="C33" s="407">
        <f>'数据-汇总表'!E3</f>
        <v>13013.62</v>
      </c>
      <c r="D33" s="119">
        <v>100</v>
      </c>
      <c r="E33" s="369">
        <v>2210.09</v>
      </c>
      <c r="F33" s="364">
        <f>LOOKUP(E33,103:103,104:104)-LOOKUP(C33,103:103,104:104)+100</f>
        <v>100</v>
      </c>
      <c r="G33" s="368">
        <v>1339.15</v>
      </c>
      <c r="H33" s="119">
        <f>LOOKUP(G33,103:103,104:104)-LOOKUP(C33,103:103,104:104)+100</f>
        <v>100</v>
      </c>
      <c r="I33" s="368">
        <v>1593.85</v>
      </c>
      <c r="J33" s="119">
        <f>LOOKUP(I33,103:103,104:104)-LOOKUP(C33,103:103,104:104)+100</f>
        <v>100</v>
      </c>
      <c r="K33" s="539"/>
      <c r="L33" s="2492"/>
      <c r="M33" s="2494"/>
      <c r="N33" s="2494"/>
      <c r="O33" s="2494"/>
      <c r="P33" s="3389"/>
      <c r="Q33" s="531" t="str">
        <f t="shared" si="11"/>
        <v>项目建筑规模</v>
      </c>
      <c r="R33" s="669" t="s">
        <v>14</v>
      </c>
      <c r="S33" s="670">
        <f t="shared" si="12"/>
        <v>100</v>
      </c>
      <c r="T33" s="669" t="s">
        <v>14</v>
      </c>
      <c r="U33" s="670">
        <f t="shared" si="13"/>
        <v>100</v>
      </c>
      <c r="V33" s="669" t="s">
        <v>14</v>
      </c>
      <c r="W33" s="670">
        <f t="shared" si="14"/>
        <v>100</v>
      </c>
      <c r="X33" s="671"/>
      <c r="Y33" s="3391"/>
      <c r="Z33" s="672" t="str">
        <f t="shared" si="15"/>
        <v>项目建筑规模</v>
      </c>
      <c r="AA33" s="1264">
        <f t="shared" si="3"/>
        <v>1</v>
      </c>
      <c r="AB33" s="1264">
        <f t="shared" si="4"/>
        <v>1</v>
      </c>
      <c r="AC33" s="1264">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9"/>
      <c r="Q34" s="1263" t="str">
        <f t="shared" si="11"/>
        <v>建筑结构</v>
      </c>
      <c r="R34" s="667" t="s">
        <v>14</v>
      </c>
      <c r="S34" s="668">
        <f t="shared" si="12"/>
        <v>100</v>
      </c>
      <c r="T34" s="667" t="s">
        <v>14</v>
      </c>
      <c r="U34" s="668">
        <f t="shared" si="13"/>
        <v>100</v>
      </c>
      <c r="V34" s="667" t="s">
        <v>14</v>
      </c>
      <c r="W34" s="668">
        <f t="shared" si="14"/>
        <v>100</v>
      </c>
      <c r="X34" s="1265"/>
      <c r="Y34" s="339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9"/>
      <c r="Q35" s="1263" t="str">
        <f t="shared" si="11"/>
        <v>公共部分装修</v>
      </c>
      <c r="R35" s="667" t="s">
        <v>14</v>
      </c>
      <c r="S35" s="668">
        <f t="shared" si="12"/>
        <v>100</v>
      </c>
      <c r="T35" s="667" t="s">
        <v>14</v>
      </c>
      <c r="U35" s="668">
        <f t="shared" si="13"/>
        <v>100</v>
      </c>
      <c r="V35" s="667" t="s">
        <v>14</v>
      </c>
      <c r="W35" s="668">
        <f t="shared" si="14"/>
        <v>100</v>
      </c>
      <c r="X35" s="1265"/>
      <c r="Y35" s="3391"/>
      <c r="Z35" s="1264" t="str">
        <f t="shared" si="15"/>
        <v>公共部分装修</v>
      </c>
      <c r="AA35" s="1264">
        <f t="shared" si="3"/>
        <v>1</v>
      </c>
      <c r="AB35" s="1264">
        <f t="shared" si="4"/>
        <v>1</v>
      </c>
      <c r="AC35" s="1264">
        <f t="shared" si="5"/>
        <v>1</v>
      </c>
    </row>
    <row r="36" spans="1:29" ht="15">
      <c r="A36" s="409"/>
      <c r="B36" s="364" t="s">
        <v>1786</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c r="L36" s="2493"/>
      <c r="M36" s="2488"/>
      <c r="N36" s="2488"/>
      <c r="O36" s="2488"/>
      <c r="P36" s="3389"/>
      <c r="Q36" s="1263" t="str">
        <f t="shared" si="11"/>
        <v>成新度</v>
      </c>
      <c r="R36" s="667" t="s">
        <v>14</v>
      </c>
      <c r="S36" s="668">
        <f t="shared" si="12"/>
        <v>100</v>
      </c>
      <c r="T36" s="667" t="s">
        <v>14</v>
      </c>
      <c r="U36" s="668">
        <f t="shared" si="13"/>
        <v>100</v>
      </c>
      <c r="V36" s="667" t="s">
        <v>14</v>
      </c>
      <c r="W36" s="668">
        <f t="shared" si="14"/>
        <v>100</v>
      </c>
      <c r="X36" s="1265"/>
      <c r="Y36" s="3391"/>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9"/>
      <c r="Q37" s="530" t="str">
        <f t="shared" si="11"/>
        <v>市政基础设施</v>
      </c>
      <c r="R37" s="664" t="s">
        <v>14</v>
      </c>
      <c r="S37" s="665">
        <f t="shared" si="12"/>
        <v>100</v>
      </c>
      <c r="T37" s="664" t="s">
        <v>14</v>
      </c>
      <c r="U37" s="665">
        <f t="shared" si="13"/>
        <v>100</v>
      </c>
      <c r="V37" s="664" t="s">
        <v>14</v>
      </c>
      <c r="W37" s="665">
        <f t="shared" si="14"/>
        <v>100</v>
      </c>
      <c r="X37" s="666"/>
      <c r="Y37" s="339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89" t="s">
        <v>1696</v>
      </c>
      <c r="Q38" s="1263" t="str">
        <f t="shared" si="11"/>
        <v>业态</v>
      </c>
      <c r="R38" s="667" t="s">
        <v>14</v>
      </c>
      <c r="S38" s="668">
        <f t="shared" si="12"/>
        <v>100</v>
      </c>
      <c r="T38" s="667" t="s">
        <v>14</v>
      </c>
      <c r="U38" s="668">
        <f t="shared" si="13"/>
        <v>100</v>
      </c>
      <c r="V38" s="667" t="s">
        <v>14</v>
      </c>
      <c r="W38" s="668">
        <f t="shared" si="14"/>
        <v>100</v>
      </c>
      <c r="X38" s="1265"/>
      <c r="Y38" s="339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89"/>
      <c r="Q39" s="1263" t="str">
        <f t="shared" si="11"/>
        <v>层高</v>
      </c>
      <c r="R39" s="667" t="s">
        <v>14</v>
      </c>
      <c r="S39" s="668">
        <f t="shared" si="12"/>
        <v>100</v>
      </c>
      <c r="T39" s="667" t="s">
        <v>14</v>
      </c>
      <c r="U39" s="668">
        <f t="shared" si="13"/>
        <v>100</v>
      </c>
      <c r="V39" s="667" t="s">
        <v>14</v>
      </c>
      <c r="W39" s="668">
        <f t="shared" si="14"/>
        <v>100</v>
      </c>
      <c r="X39" s="1265"/>
      <c r="Y39" s="339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9"/>
      <c r="Q40" s="1263" t="str">
        <f t="shared" si="11"/>
        <v>单套建筑面积</v>
      </c>
      <c r="R40" s="667" t="s">
        <v>14</v>
      </c>
      <c r="S40" s="668">
        <f t="shared" si="12"/>
        <v>100</v>
      </c>
      <c r="T40" s="667" t="s">
        <v>14</v>
      </c>
      <c r="U40" s="668">
        <f t="shared" si="13"/>
        <v>100</v>
      </c>
      <c r="V40" s="667" t="s">
        <v>14</v>
      </c>
      <c r="W40" s="668">
        <f t="shared" si="14"/>
        <v>100</v>
      </c>
      <c r="X40" s="1265"/>
      <c r="Y40" s="339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9"/>
      <c r="Q41" s="531" t="str">
        <f t="shared" si="11"/>
        <v>进深比</v>
      </c>
      <c r="R41" s="669" t="s">
        <v>14</v>
      </c>
      <c r="S41" s="670">
        <f t="shared" si="12"/>
        <v>100</v>
      </c>
      <c r="T41" s="669" t="s">
        <v>14</v>
      </c>
      <c r="U41" s="670">
        <f t="shared" si="13"/>
        <v>100</v>
      </c>
      <c r="V41" s="669" t="s">
        <v>14</v>
      </c>
      <c r="W41" s="670">
        <f t="shared" si="14"/>
        <v>100</v>
      </c>
      <c r="X41" s="671"/>
      <c r="Y41" s="3391"/>
      <c r="Z41" s="672" t="str">
        <f t="shared" si="15"/>
        <v>进深比</v>
      </c>
      <c r="AA41" s="1264">
        <f t="shared" si="3"/>
        <v>1</v>
      </c>
      <c r="AB41" s="1264">
        <f t="shared" si="4"/>
        <v>1</v>
      </c>
      <c r="AC41" s="1264">
        <f t="shared" si="5"/>
        <v>1</v>
      </c>
    </row>
    <row r="42" spans="1:29" ht="15">
      <c r="A42" s="409"/>
      <c r="B42" s="364" t="s">
        <v>1792</v>
      </c>
      <c r="C42" s="1760" t="s">
        <v>3473</v>
      </c>
      <c r="D42" s="374">
        <v>100</v>
      </c>
      <c r="E42" s="1760" t="s">
        <v>3473</v>
      </c>
      <c r="F42" s="400">
        <f>SUMIF(122:122,E42,123:123)-SUMIF(122:122,C42,123:123)+100</f>
        <v>100</v>
      </c>
      <c r="G42" s="1760" t="s">
        <v>3473</v>
      </c>
      <c r="H42" s="374">
        <f>SUMIF(122:122,G42,123:123)-SUMIF(122:122,C42,123:123)+100</f>
        <v>100</v>
      </c>
      <c r="I42" s="1760" t="s">
        <v>3483</v>
      </c>
      <c r="J42" s="374">
        <f>SUMIF(122:122,I42,123:123)-SUMIF(122:122,C42,123:123)+100</f>
        <v>94</v>
      </c>
      <c r="K42" s="538">
        <v>3</v>
      </c>
      <c r="L42" s="2493"/>
      <c r="M42" s="2488"/>
      <c r="N42" s="2488"/>
      <c r="O42" s="2488"/>
      <c r="P42" s="3389"/>
      <c r="Q42" s="1263" t="str">
        <f t="shared" si="11"/>
        <v>内部装修</v>
      </c>
      <c r="R42" s="667" t="s">
        <v>14</v>
      </c>
      <c r="S42" s="668">
        <f t="shared" si="12"/>
        <v>100</v>
      </c>
      <c r="T42" s="667" t="s">
        <v>14</v>
      </c>
      <c r="U42" s="668">
        <f t="shared" si="13"/>
        <v>100</v>
      </c>
      <c r="V42" s="667" t="s">
        <v>14</v>
      </c>
      <c r="W42" s="668">
        <f t="shared" si="14"/>
        <v>94</v>
      </c>
      <c r="X42" s="1265"/>
      <c r="Y42" s="3391"/>
      <c r="Z42" s="1264" t="str">
        <f t="shared" si="15"/>
        <v>内部装修</v>
      </c>
      <c r="AA42" s="1264">
        <f t="shared" si="3"/>
        <v>1</v>
      </c>
      <c r="AB42" s="1264">
        <f t="shared" si="4"/>
        <v>1</v>
      </c>
      <c r="AC42" s="1264">
        <f t="shared" si="5"/>
        <v>1.0638297872340425</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89"/>
      <c r="Q43" s="1263" t="str">
        <f t="shared" si="11"/>
        <v>内部装修维护情况</v>
      </c>
      <c r="R43" s="667" t="s">
        <v>14</v>
      </c>
      <c r="S43" s="668">
        <f t="shared" si="12"/>
        <v>100</v>
      </c>
      <c r="T43" s="667" t="s">
        <v>14</v>
      </c>
      <c r="U43" s="668">
        <f t="shared" si="13"/>
        <v>100</v>
      </c>
      <c r="V43" s="667" t="s">
        <v>14</v>
      </c>
      <c r="W43" s="668">
        <f t="shared" si="14"/>
        <v>100</v>
      </c>
      <c r="X43" s="1265"/>
      <c r="Y43" s="339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9"/>
      <c r="Q44" s="530">
        <f t="shared" si="11"/>
        <v>111</v>
      </c>
      <c r="R44" s="664" t="s">
        <v>14</v>
      </c>
      <c r="S44" s="665">
        <f t="shared" si="12"/>
        <v>100</v>
      </c>
      <c r="T44" s="664" t="s">
        <v>14</v>
      </c>
      <c r="U44" s="665">
        <f t="shared" si="13"/>
        <v>100</v>
      </c>
      <c r="V44" s="664" t="s">
        <v>14</v>
      </c>
      <c r="W44" s="665">
        <f t="shared" si="14"/>
        <v>100</v>
      </c>
      <c r="X44" s="666"/>
      <c r="Y44" s="339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9"/>
      <c r="Q45" s="1263">
        <f t="shared" si="11"/>
        <v>111</v>
      </c>
      <c r="R45" s="667" t="s">
        <v>14</v>
      </c>
      <c r="S45" s="668">
        <f t="shared" si="12"/>
        <v>100</v>
      </c>
      <c r="T45" s="667" t="s">
        <v>14</v>
      </c>
      <c r="U45" s="668">
        <f t="shared" si="13"/>
        <v>100</v>
      </c>
      <c r="V45" s="667" t="s">
        <v>14</v>
      </c>
      <c r="W45" s="668">
        <f t="shared" si="14"/>
        <v>100</v>
      </c>
      <c r="X45" s="1265"/>
      <c r="Y45" s="339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0"/>
      <c r="Q46" s="1263">
        <f t="shared" si="11"/>
        <v>111</v>
      </c>
      <c r="R46" s="667" t="s">
        <v>14</v>
      </c>
      <c r="S46" s="668">
        <f t="shared" si="12"/>
        <v>100</v>
      </c>
      <c r="T46" s="667" t="s">
        <v>14</v>
      </c>
      <c r="U46" s="668">
        <f t="shared" si="13"/>
        <v>100</v>
      </c>
      <c r="V46" s="667" t="s">
        <v>14</v>
      </c>
      <c r="W46" s="668">
        <f t="shared" si="14"/>
        <v>100</v>
      </c>
      <c r="X46" s="1265"/>
      <c r="Y46" s="3392"/>
      <c r="Z46" s="1264">
        <f t="shared" si="15"/>
        <v>111</v>
      </c>
      <c r="AA46" s="1264">
        <f t="shared" si="3"/>
        <v>1</v>
      </c>
      <c r="AB46" s="1264">
        <f t="shared" si="4"/>
        <v>1</v>
      </c>
      <c r="AC46" s="1264">
        <f t="shared" si="5"/>
        <v>1</v>
      </c>
    </row>
    <row r="47" spans="1:29" ht="15">
      <c r="A47" s="416" t="s">
        <v>1708</v>
      </c>
      <c r="B47" s="417"/>
      <c r="C47" s="1081" t="s">
        <v>0</v>
      </c>
      <c r="D47" s="418"/>
      <c r="E47" s="419">
        <v>7776</v>
      </c>
      <c r="F47" s="420"/>
      <c r="G47" s="421">
        <v>9891</v>
      </c>
      <c r="H47" s="422"/>
      <c r="I47" s="419">
        <v>7655</v>
      </c>
      <c r="J47" s="422"/>
      <c r="K47" s="674"/>
      <c r="L47" s="2495"/>
      <c r="M47" s="2488"/>
      <c r="N47" s="2488"/>
      <c r="O47" s="2488"/>
      <c r="P47" s="3384" t="str">
        <f>A47</f>
        <v>成交单价（元/平方米）</v>
      </c>
      <c r="Q47" s="3384"/>
      <c r="R47" s="3385">
        <f>E47</f>
        <v>7776</v>
      </c>
      <c r="S47" s="3385"/>
      <c r="T47" s="3385">
        <f>G47</f>
        <v>9891</v>
      </c>
      <c r="U47" s="3385"/>
      <c r="V47" s="3385">
        <f>I47</f>
        <v>7655</v>
      </c>
      <c r="W47" s="3385"/>
      <c r="X47" s="385"/>
      <c r="Y47" s="673"/>
      <c r="Z47" s="385"/>
      <c r="AA47" s="385"/>
      <c r="AB47" s="385"/>
      <c r="AC47" s="385"/>
    </row>
    <row r="48" spans="1:29" ht="15.75" thickBot="1">
      <c r="A48" s="423" t="s">
        <v>1709</v>
      </c>
      <c r="B48" s="424"/>
      <c r="C48" s="1082">
        <f>R49</f>
        <v>9059</v>
      </c>
      <c r="D48" s="2141" t="s">
        <v>2138</v>
      </c>
      <c r="E48" s="1083">
        <f>R48</f>
        <v>8887</v>
      </c>
      <c r="F48" s="2142"/>
      <c r="G48" s="1082">
        <f>T48</f>
        <v>10145</v>
      </c>
      <c r="H48" s="2142"/>
      <c r="I48" s="1083">
        <f>V48</f>
        <v>8144</v>
      </c>
      <c r="J48" s="2142"/>
      <c r="K48" s="2144">
        <f>F48+H48+J48</f>
        <v>0</v>
      </c>
      <c r="L48" s="2495"/>
      <c r="M48" s="2488"/>
      <c r="N48" s="2488"/>
      <c r="O48" s="2488"/>
      <c r="P48" s="3384" t="str">
        <f>A48</f>
        <v>比较价值（元/平方米）</v>
      </c>
      <c r="Q48" s="3384"/>
      <c r="R48" s="3385">
        <f>IF(F1="售价",ROUND(PRODUCT(R47,AA7:AA46),0),ROUND(PRODUCT(R47,AA7:AA46),1))</f>
        <v>8887</v>
      </c>
      <c r="S48" s="3385"/>
      <c r="T48" s="3385">
        <f>IF(F1="售价",ROUND(PRODUCT(T47,AB7:AB46),0),ROUND(PRODUCT(T47,AB7:AB46),1))</f>
        <v>10145</v>
      </c>
      <c r="U48" s="3385"/>
      <c r="V48" s="3385">
        <f>IF(F1="售价",ROUND(PRODUCT(V47,AC7:AC46),0),ROUND(PRODUCT(V47,AC7:AC46),1))</f>
        <v>8144</v>
      </c>
      <c r="W48" s="3385"/>
      <c r="X48" s="385"/>
      <c r="Y48" s="385"/>
      <c r="Z48" s="385"/>
      <c r="AA48" s="385"/>
      <c r="AB48" s="385"/>
      <c r="AC48" s="385"/>
    </row>
    <row r="49" spans="1:29" ht="15.75" thickBot="1">
      <c r="A49" s="427" t="s">
        <v>1710</v>
      </c>
      <c r="B49" s="428"/>
      <c r="C49" s="351">
        <f>R49</f>
        <v>9059</v>
      </c>
      <c r="D49" s="351"/>
      <c r="E49" s="351"/>
      <c r="F49" s="351"/>
      <c r="G49" s="351"/>
      <c r="H49" s="351"/>
      <c r="I49" s="351"/>
      <c r="J49" s="351"/>
      <c r="K49" s="675"/>
      <c r="L49" s="2495"/>
      <c r="M49" s="2488"/>
      <c r="N49" s="2488"/>
      <c r="O49" s="2488"/>
      <c r="P49" s="3381" t="str">
        <f>A49</f>
        <v>估价对象XX用房的比较价值（楼面单价，元/平方米）</v>
      </c>
      <c r="Q49" s="3382"/>
      <c r="R49" s="3383">
        <f>IF(F1="售价",ROUND(IF(D48="简单平均",AVERAGE(R48:V48),R48*F48+T48*H48+V48*J48),0),ROUND(IF(D48="简单平均",AVERAGE(R48:V48),R48*F48+T48*H48+V48*J48),1))</f>
        <v>9059</v>
      </c>
      <c r="S49" s="3383"/>
      <c r="T49" s="3383"/>
      <c r="U49" s="3383"/>
      <c r="V49" s="3383"/>
      <c r="W49" s="338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1711</v>
      </c>
      <c r="D52" s="433"/>
      <c r="E52" s="434">
        <f>IF(E47&lt;E48,E48/E47-1,E47/E48-1)</f>
        <v>0.14287551440329227</v>
      </c>
      <c r="F52" s="435" t="str">
        <f>IF(OR(E52&gt;=0.3,E52&lt;=-0.3),"超过30%","")</f>
        <v/>
      </c>
      <c r="G52" s="434">
        <f>IF(G47&lt;G48,G48/G47-1,G47/G48-1)</f>
        <v>2.5679911030229485E-2</v>
      </c>
      <c r="H52" s="435" t="str">
        <f>IF(OR(G52&gt;=0.3,G52&lt;=-0.3),"超过30%","")</f>
        <v/>
      </c>
      <c r="I52" s="434">
        <f>IF(I47&lt;I48,I48/I47-1,I47/I48-1)</f>
        <v>6.387981711299795E-2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1712</v>
      </c>
      <c r="D53" s="436"/>
      <c r="E53" s="434">
        <f>IF(E48&lt;G48,G48/E48-1,E48/G48-1)</f>
        <v>0.14155508045459664</v>
      </c>
      <c r="F53" s="435" t="str">
        <f>IF(OR(E53&gt;=0.2,E53&lt;=-0.2),"超过20%","")</f>
        <v/>
      </c>
      <c r="G53" s="434">
        <f>IF(G48&lt;I48,I48/G48-1,G48/I48-1)</f>
        <v>0.24570235756385062</v>
      </c>
      <c r="H53" s="435" t="str">
        <f>IF(OR(G53&gt;=0.2,G53&lt;=-0.2),"超过20%","")</f>
        <v>超过20%</v>
      </c>
      <c r="I53" s="434">
        <f>IF(I48&lt;E48,E48/I48-1,I48/E48-1)</f>
        <v>9.1232809430255468E-2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1713</v>
      </c>
      <c r="D54" s="436"/>
      <c r="E54" s="434">
        <f>IF(E47&lt;G47,G47/E47-1,E47/G47-1)</f>
        <v>0.2719907407407407</v>
      </c>
      <c r="F54" s="435" t="str">
        <f>IF(OR(E54&gt;=0.3,E54&lt;=-0.3),"超过30%","")</f>
        <v/>
      </c>
      <c r="G54" s="434">
        <f>IF(G47&lt;I47,I47/G47-1,G47/I47-1)</f>
        <v>0.29209666884389285</v>
      </c>
      <c r="H54" s="435" t="str">
        <f>IF(OR(G54&gt;=0.3,G54&lt;=-0.3),"超过30%","")</f>
        <v/>
      </c>
      <c r="I54" s="434">
        <f>IF(I47&lt;E47,E47/I47-1,I47/E47-1)</f>
        <v>1.580666231221417E-2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1714</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1718</v>
      </c>
      <c r="D61" s="3515" t="s">
        <v>3450</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102</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t="s">
        <v>3451</v>
      </c>
      <c r="D65" s="513" t="s">
        <v>3452</v>
      </c>
      <c r="E65" s="513" t="s">
        <v>3453</v>
      </c>
      <c r="F65" s="513" t="s">
        <v>3454</v>
      </c>
      <c r="G65" s="513" t="s">
        <v>3455</v>
      </c>
      <c r="H65" s="513" t="s">
        <v>3456</v>
      </c>
      <c r="I65" s="513" t="s">
        <v>3491</v>
      </c>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v>100</v>
      </c>
      <c r="D66" s="467">
        <f>C66-5</f>
        <v>95</v>
      </c>
      <c r="E66" s="467">
        <f t="shared" ref="E66:G66" si="17">D66-5</f>
        <v>90</v>
      </c>
      <c r="F66" s="467">
        <f t="shared" si="17"/>
        <v>85</v>
      </c>
      <c r="G66" s="467">
        <f t="shared" si="17"/>
        <v>80</v>
      </c>
      <c r="H66" s="467">
        <f>G66-5</f>
        <v>75</v>
      </c>
      <c r="I66" s="467">
        <f>H66-5</f>
        <v>70</v>
      </c>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8">D68&amp;"（含）"&amp;"-"&amp;E68</f>
        <v>1（含）-2</v>
      </c>
      <c r="E67" s="478" t="str">
        <f t="shared" si="18"/>
        <v>2（含）-3</v>
      </c>
      <c r="F67" s="478" t="str">
        <f t="shared" si="18"/>
        <v>3（含）-4</v>
      </c>
      <c r="G67" s="478" t="str">
        <f t="shared" si="18"/>
        <v>4（含）-5</v>
      </c>
      <c r="H67" s="478" t="str">
        <f t="shared" si="18"/>
        <v>5（含）-6</v>
      </c>
      <c r="I67" s="478" t="str">
        <f t="shared" si="18"/>
        <v>6（含）-7</v>
      </c>
      <c r="J67" s="478" t="str">
        <f t="shared" si="18"/>
        <v>7（含）-8</v>
      </c>
      <c r="K67" s="478" t="str">
        <f t="shared" si="18"/>
        <v>8（含）-9</v>
      </c>
      <c r="L67" s="478" t="str">
        <f t="shared" si="18"/>
        <v>9（含）-10</v>
      </c>
      <c r="M67" s="387" t="str">
        <f>M68&amp;"（含）"&amp;"-"&amp;P68</f>
        <v>10（含）-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v>3</v>
      </c>
      <c r="G68" s="480">
        <v>4</v>
      </c>
      <c r="H68" s="480">
        <v>5</v>
      </c>
      <c r="I68" s="480">
        <v>6</v>
      </c>
      <c r="J68" s="480">
        <v>7</v>
      </c>
      <c r="K68" s="480">
        <v>8</v>
      </c>
      <c r="L68" s="480">
        <v>9</v>
      </c>
      <c r="M68" s="480">
        <v>10</v>
      </c>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20">D83-$K21</f>
        <v>100</v>
      </c>
      <c r="F83" s="475">
        <f t="shared" si="20"/>
        <v>100</v>
      </c>
      <c r="G83" s="475">
        <f t="shared" si="20"/>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516" t="s">
        <v>3457</v>
      </c>
      <c r="D86" s="3516" t="s">
        <v>3458</v>
      </c>
      <c r="E86" s="3516" t="s">
        <v>3459</v>
      </c>
      <c r="F86" s="3516" t="s">
        <v>3460</v>
      </c>
      <c r="G86" s="3516" t="s">
        <v>3461</v>
      </c>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1">C87-$K25</f>
        <v>100</v>
      </c>
      <c r="E87" s="475">
        <f t="shared" si="21"/>
        <v>100</v>
      </c>
      <c r="F87" s="475">
        <f t="shared" si="21"/>
        <v>100</v>
      </c>
      <c r="G87" s="475">
        <f t="shared" si="21"/>
        <v>100</v>
      </c>
      <c r="H87" s="475">
        <f t="shared" si="21"/>
        <v>100</v>
      </c>
      <c r="I87" s="475">
        <f t="shared" si="21"/>
        <v>100</v>
      </c>
      <c r="J87" s="475">
        <f t="shared" si="21"/>
        <v>100</v>
      </c>
      <c r="K87" s="475">
        <f t="shared" si="21"/>
        <v>100</v>
      </c>
      <c r="L87" s="475">
        <f t="shared" si="21"/>
        <v>100</v>
      </c>
      <c r="M87" s="475">
        <f t="shared" si="21"/>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3517" t="s">
        <v>3462</v>
      </c>
      <c r="D88" s="3517" t="s">
        <v>3463</v>
      </c>
      <c r="E88" s="3516"/>
      <c r="F88" s="3518"/>
      <c r="G88" s="3516"/>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3519">
        <v>100</v>
      </c>
      <c r="D89" s="3520">
        <v>90</v>
      </c>
      <c r="E89" s="3519"/>
      <c r="F89" s="3520"/>
      <c r="G89" s="3519"/>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517" t="s">
        <v>3464</v>
      </c>
      <c r="D90" s="3517" t="s">
        <v>3465</v>
      </c>
      <c r="E90" s="3517" t="s">
        <v>3466</v>
      </c>
      <c r="F90" s="3517" t="s">
        <v>3467</v>
      </c>
      <c r="G90" s="3517" t="s">
        <v>3468</v>
      </c>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2">D91-$K27</f>
        <v>100</v>
      </c>
      <c r="F91" s="475">
        <f t="shared" si="22"/>
        <v>100</v>
      </c>
      <c r="G91" s="475">
        <f t="shared" si="22"/>
        <v>100</v>
      </c>
      <c r="H91" s="475">
        <f t="shared" si="22"/>
        <v>100</v>
      </c>
      <c r="I91" s="475">
        <f t="shared" si="22"/>
        <v>100</v>
      </c>
      <c r="J91" s="475">
        <f t="shared" si="22"/>
        <v>100</v>
      </c>
      <c r="K91" s="475">
        <f t="shared" si="22"/>
        <v>100</v>
      </c>
      <c r="L91" s="475">
        <f t="shared" si="22"/>
        <v>100</v>
      </c>
      <c r="M91" s="475">
        <f t="shared" si="22"/>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3517" t="s">
        <v>3469</v>
      </c>
      <c r="D92" s="3517" t="s">
        <v>3470</v>
      </c>
      <c r="E92" s="3521" t="s">
        <v>3495</v>
      </c>
      <c r="F92" s="3521" t="s">
        <v>3496</v>
      </c>
      <c r="G92" s="485" t="s">
        <v>3497</v>
      </c>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3520">
        <v>100</v>
      </c>
      <c r="D93" s="3520">
        <v>60</v>
      </c>
      <c r="E93" s="467">
        <v>50</v>
      </c>
      <c r="F93" s="467">
        <v>40</v>
      </c>
      <c r="G93" s="467">
        <f>(C93+D93+E93+F93)/4</f>
        <v>62.5</v>
      </c>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3">C101-$K32</f>
        <v>100</v>
      </c>
      <c r="E101" s="475">
        <f t="shared" si="23"/>
        <v>100</v>
      </c>
      <c r="F101" s="475">
        <f t="shared" si="23"/>
        <v>100</v>
      </c>
      <c r="G101" s="475">
        <f t="shared" si="23"/>
        <v>100</v>
      </c>
      <c r="H101" s="475">
        <f t="shared" si="23"/>
        <v>100</v>
      </c>
      <c r="I101" s="475">
        <f t="shared" si="23"/>
        <v>100</v>
      </c>
      <c r="J101" s="475">
        <f t="shared" si="23"/>
        <v>100</v>
      </c>
      <c r="K101" s="475">
        <f t="shared" si="23"/>
        <v>100</v>
      </c>
      <c r="L101" s="475">
        <f t="shared" si="23"/>
        <v>100</v>
      </c>
      <c r="M101" s="476">
        <f t="shared" si="23"/>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0(含)-50</v>
      </c>
      <c r="D102" s="509" t="str">
        <f t="shared" ref="D102:L102" si="24">D103&amp;"(含)"&amp;"-"&amp;E103</f>
        <v>50(含)-100</v>
      </c>
      <c r="E102" s="509" t="str">
        <f t="shared" si="24"/>
        <v>100(含)-200</v>
      </c>
      <c r="F102" s="509" t="str">
        <f t="shared" si="24"/>
        <v>200(含)-300</v>
      </c>
      <c r="G102" s="509" t="str">
        <f t="shared" si="24"/>
        <v>300(含)-400</v>
      </c>
      <c r="H102" s="509" t="str">
        <f t="shared" si="24"/>
        <v>400(含)-</v>
      </c>
      <c r="I102" s="509" t="str">
        <f t="shared" si="24"/>
        <v>(含)-</v>
      </c>
      <c r="J102" s="509" t="str">
        <f t="shared" si="24"/>
        <v>(含)-</v>
      </c>
      <c r="K102" s="509" t="str">
        <f t="shared" si="24"/>
        <v>(含)-</v>
      </c>
      <c r="L102" s="509" t="str">
        <f t="shared" si="24"/>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3522">
        <v>0</v>
      </c>
      <c r="D103" s="3522">
        <v>50</v>
      </c>
      <c r="E103" s="3522">
        <v>100</v>
      </c>
      <c r="F103" s="3522">
        <v>200</v>
      </c>
      <c r="G103" s="3522">
        <v>300</v>
      </c>
      <c r="H103" s="3522">
        <v>400</v>
      </c>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3519">
        <v>100</v>
      </c>
      <c r="D104" s="3520">
        <f>C104-5</f>
        <v>95</v>
      </c>
      <c r="E104" s="3520">
        <f t="shared" ref="E104:H104" si="25">D104-5</f>
        <v>90</v>
      </c>
      <c r="F104" s="3520">
        <f t="shared" si="25"/>
        <v>85</v>
      </c>
      <c r="G104" s="3520">
        <f t="shared" si="25"/>
        <v>80</v>
      </c>
      <c r="H104" s="3520">
        <f t="shared" si="25"/>
        <v>75</v>
      </c>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517" t="s">
        <v>3445</v>
      </c>
      <c r="D105" s="3521" t="s">
        <v>3471</v>
      </c>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6">C106-$K34</f>
        <v>100</v>
      </c>
      <c r="E106" s="475">
        <f t="shared" si="26"/>
        <v>100</v>
      </c>
      <c r="F106" s="475">
        <f t="shared" si="26"/>
        <v>100</v>
      </c>
      <c r="G106" s="475">
        <f t="shared" si="26"/>
        <v>100</v>
      </c>
      <c r="H106" s="475">
        <f t="shared" si="26"/>
        <v>100</v>
      </c>
      <c r="I106" s="475">
        <f t="shared" si="26"/>
        <v>100</v>
      </c>
      <c r="J106" s="475">
        <f t="shared" si="26"/>
        <v>100</v>
      </c>
      <c r="K106" s="475">
        <f t="shared" si="26"/>
        <v>100</v>
      </c>
      <c r="L106" s="475">
        <f t="shared" si="26"/>
        <v>100</v>
      </c>
      <c r="M106" s="476">
        <f t="shared" si="26"/>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517" t="s">
        <v>3472</v>
      </c>
      <c r="D107" s="3517" t="s">
        <v>3473</v>
      </c>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8">D111+$K36</f>
        <v>100</v>
      </c>
      <c r="F111" s="475">
        <f t="shared" si="28"/>
        <v>100</v>
      </c>
      <c r="G111" s="475">
        <f t="shared" si="28"/>
        <v>100</v>
      </c>
      <c r="H111" s="475">
        <f t="shared" si="28"/>
        <v>100</v>
      </c>
      <c r="I111" s="475">
        <f t="shared" si="28"/>
        <v>100</v>
      </c>
      <c r="J111" s="475">
        <f t="shared" si="28"/>
        <v>100</v>
      </c>
      <c r="K111" s="475">
        <f t="shared" si="28"/>
        <v>100</v>
      </c>
      <c r="L111" s="475">
        <f t="shared" si="28"/>
        <v>100</v>
      </c>
      <c r="M111" s="475">
        <f t="shared" si="28"/>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3517" t="s">
        <v>3474</v>
      </c>
      <c r="D112" s="3517" t="s">
        <v>3475</v>
      </c>
      <c r="E112" s="3517" t="s">
        <v>3476</v>
      </c>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9">D113-$K37</f>
        <v>100</v>
      </c>
      <c r="F113" s="475">
        <f t="shared" si="29"/>
        <v>100</v>
      </c>
      <c r="G113" s="475">
        <f t="shared" si="29"/>
        <v>100</v>
      </c>
      <c r="H113" s="475">
        <f t="shared" si="29"/>
        <v>100</v>
      </c>
      <c r="I113" s="475">
        <f t="shared" si="29"/>
        <v>100</v>
      </c>
      <c r="J113" s="475">
        <f t="shared" si="29"/>
        <v>100</v>
      </c>
      <c r="K113" s="475">
        <f t="shared" si="29"/>
        <v>100</v>
      </c>
      <c r="L113" s="475">
        <f t="shared" si="29"/>
        <v>100</v>
      </c>
      <c r="M113" s="475">
        <f t="shared" si="29"/>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3517" t="s">
        <v>3477</v>
      </c>
      <c r="D114" s="3517" t="s">
        <v>3478</v>
      </c>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6">
        <f t="shared" si="30"/>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517" t="s">
        <v>3479</v>
      </c>
      <c r="D116" s="3516" t="s">
        <v>3480</v>
      </c>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3523" t="s">
        <v>3481</v>
      </c>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517" t="s">
        <v>3473</v>
      </c>
      <c r="D122" s="3517" t="s">
        <v>3482</v>
      </c>
      <c r="E122" s="3517" t="s">
        <v>3483</v>
      </c>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2">C123-$K42</f>
        <v>97</v>
      </c>
      <c r="E123" s="475">
        <f t="shared" si="32"/>
        <v>94</v>
      </c>
      <c r="F123" s="475">
        <f t="shared" si="32"/>
        <v>91</v>
      </c>
      <c r="G123" s="475">
        <f t="shared" si="32"/>
        <v>88</v>
      </c>
      <c r="H123" s="475">
        <f t="shared" si="32"/>
        <v>85</v>
      </c>
      <c r="I123" s="475">
        <f t="shared" si="32"/>
        <v>82</v>
      </c>
      <c r="J123" s="475">
        <f t="shared" si="32"/>
        <v>79</v>
      </c>
      <c r="K123" s="475">
        <f t="shared" si="32"/>
        <v>76</v>
      </c>
      <c r="L123" s="475">
        <f t="shared" si="32"/>
        <v>73</v>
      </c>
      <c r="M123" s="476">
        <f t="shared" si="32"/>
        <v>70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EE9CF19E-DB69-426E-A029-076C3AFED711}">
      <formula1>"项目模式,单套模式"</formula1>
    </dataValidation>
    <dataValidation type="list" allowBlank="1" showInputMessage="1" showErrorMessage="1" sqref="D48" xr:uid="{1B057007-0C48-4BD2-9C8B-8CD1302D0CF1}">
      <formula1>"简单平均,加权平均"</formula1>
    </dataValidation>
    <dataValidation type="list" allowBlank="1" showInputMessage="1" showErrorMessage="1" sqref="F2" xr:uid="{C1B2708D-31A7-47B2-B4B0-F8167EFF3F20}">
      <formula1>估价方法</formula1>
    </dataValidation>
    <dataValidation type="list" allowBlank="1" showInputMessage="1" showErrorMessage="1" sqref="C2" xr:uid="{2E3C61FD-F903-44EC-A085-6BB6BEFC926C}">
      <formula1>"需扣减承租人权益,——"</formula1>
    </dataValidation>
    <dataValidation type="list" allowBlank="1" showInputMessage="1" showErrorMessage="1" sqref="F1" xr:uid="{786E350E-9C05-4FC6-B4F5-DB7562F6DFC2}">
      <formula1>"售价,租金"</formula1>
    </dataValidation>
    <dataValidation type="list" allowBlank="1" showInputMessage="1" showErrorMessage="1" sqref="C22 E22 G22 I22" xr:uid="{00921888-8E8B-40E9-BD0F-0F6B0EA64384}">
      <formula1>基础设施水平</formula1>
    </dataValidation>
    <dataValidation type="list" allowBlank="1" showInputMessage="1" showErrorMessage="1" sqref="C16 E16 G16 I16" xr:uid="{5D96341F-4BA1-41F8-A466-2691C4754953}">
      <formula1>商业繁华度</formula1>
    </dataValidation>
    <dataValidation type="list" allowBlank="1" showInputMessage="1" showErrorMessage="1" sqref="C8 E8 G8 I8" xr:uid="{2B9359CA-6021-49CD-A18B-66DA00C6E51A}">
      <formula1>商业交易情况</formula1>
    </dataValidation>
    <dataValidation type="list" allowBlank="1" showInputMessage="1" showErrorMessage="1" sqref="C39 E39 G39 I39" xr:uid="{67CD794E-6B78-4851-B978-454E88352B79}">
      <formula1>商业层高</formula1>
    </dataValidation>
    <dataValidation type="list" allowBlank="1" showInputMessage="1" showErrorMessage="1" sqref="C38 E38 G38 I38" xr:uid="{C5A85D08-4180-4FC1-B609-D667F3AE0F91}">
      <formula1>商业业态</formula1>
    </dataValidation>
    <dataValidation type="list" allowBlank="1" showInputMessage="1" showErrorMessage="1" sqref="E9 G9 I9" xr:uid="{CD0E0F8C-23A5-45C4-B5C5-F52A80B9FA18}">
      <formula1>商业用途</formula1>
    </dataValidation>
    <dataValidation type="list" allowBlank="1" showInputMessage="1" showErrorMessage="1" sqref="C42 E42 G42 I42" xr:uid="{FDF66BB2-80DE-4D64-A8CA-7D006DFE163D}">
      <formula1>商业内部装修</formula1>
    </dataValidation>
    <dataValidation type="list" allowBlank="1" showInputMessage="1" showErrorMessage="1" sqref="C41 E41 G41 I41" xr:uid="{46210F7E-CFAA-47F2-930A-F8F2D2D4E4DF}">
      <formula1>商业进深比</formula1>
    </dataValidation>
    <dataValidation type="list" allowBlank="1" showInputMessage="1" showErrorMessage="1" sqref="C37 E37 G37 I37" xr:uid="{E3B5E593-CF67-4D14-8766-64CCE801EC2C}">
      <formula1>商业基础设施水平</formula1>
    </dataValidation>
    <dataValidation type="list" allowBlank="1" showInputMessage="1" showErrorMessage="1" sqref="C35 E35 G35 I35" xr:uid="{CAF83F60-0FC1-4274-9F29-2D8624CCA445}">
      <formula1>商业公共部分装修</formula1>
    </dataValidation>
    <dataValidation type="list" allowBlank="1" showInputMessage="1" showErrorMessage="1" sqref="C34 E34 G34 I34" xr:uid="{6472D470-2A5D-48F7-8075-D4F531B5CBB5}">
      <formula1>商业建筑结构</formula1>
    </dataValidation>
    <dataValidation type="list" allowBlank="1" showInputMessage="1" showErrorMessage="1" sqref="C32 E32 G32 I32" xr:uid="{BF43705D-FE56-43FF-8973-4A4BC74EB40F}">
      <formula1>商业类型</formula1>
    </dataValidation>
    <dataValidation type="list" allowBlank="1" showInputMessage="1" showErrorMessage="1" sqref="C28 E28 G28 I28" xr:uid="{14D07768-2812-4F34-BD68-054583F05C40}">
      <formula1>商业楼层</formula1>
    </dataValidation>
    <dataValidation type="list" allowBlank="1" showInputMessage="1" showErrorMessage="1" sqref="C27 E27 G27 I27" xr:uid="{086FE184-5D1A-4EAA-9C56-DDFAC4F0CC47}">
      <formula1>商业人流量</formula1>
    </dataValidation>
    <dataValidation type="list" allowBlank="1" showInputMessage="1" showErrorMessage="1" sqref="C25 E25 G25 I25" xr:uid="{716F9C3A-8418-4C38-8E6A-D6CAA8EA42CA}">
      <formula1>商业临街状况</formula1>
    </dataValidation>
    <dataValidation type="list" allowBlank="1" showInputMessage="1" showErrorMessage="1" sqref="E24 G24 I24 C24" xr:uid="{F4B4F2AA-D3CE-42EA-B65B-AEF91B74BB32}">
      <formula1>环境</formula1>
    </dataValidation>
    <dataValidation type="list" allowBlank="1" showInputMessage="1" showErrorMessage="1" sqref="E18 G18 I18 C18" xr:uid="{63B1615A-99D6-42AA-B935-DC3E50E7DCC4}">
      <formula1>交通便捷度</formula1>
    </dataValidation>
    <dataValidation type="list" allowBlank="1" showInputMessage="1" showErrorMessage="1" sqref="E20 I20 G20 C20" xr:uid="{3386366C-1848-4586-BC20-0E3C571AB994}">
      <formula1>公共配套设施</formula1>
    </dataValidation>
    <dataValidation type="list" allowBlank="1" showInputMessage="1" showErrorMessage="1" sqref="C43 E43 G43 I43" xr:uid="{D82CB417-977B-40EA-83B6-3882628C85FA}">
      <formula1>内部装修维护情况</formula1>
    </dataValidation>
    <dataValidation type="list" allowBlank="1" showInputMessage="1" showErrorMessage="1" sqref="D1" xr:uid="{9334F8DC-B81E-4EFB-97CC-20CCFAD76F7B}">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FCAFA-C45A-48DD-B69F-77552386CED4}">
  <sheetPr>
    <tabColor rgb="FFFFFF00"/>
  </sheetPr>
  <dimension ref="A7:R65"/>
  <sheetViews>
    <sheetView workbookViewId="0">
      <selection activeCell="P24" sqref="P24"/>
    </sheetView>
  </sheetViews>
  <sheetFormatPr defaultRowHeight="13.5"/>
  <cols>
    <col min="1" max="13" width="9" style="2814"/>
    <col min="14" max="14" width="12.25" style="2814" customWidth="1"/>
    <col min="15" max="16" width="9" style="2814"/>
    <col min="17" max="17" width="9.5" style="2814" bestFit="1" customWidth="1"/>
    <col min="18" max="16384" width="9" style="2814"/>
  </cols>
  <sheetData>
    <row r="7" spans="14:18">
      <c r="P7" s="1421" t="s">
        <v>3429</v>
      </c>
      <c r="Q7" s="1421" t="s">
        <v>3430</v>
      </c>
      <c r="R7" s="1421" t="s">
        <v>3431</v>
      </c>
    </row>
    <row r="8" spans="14:18">
      <c r="N8" s="1421" t="s">
        <v>3428</v>
      </c>
      <c r="O8" s="1421">
        <f>ROUND((1-1/(1+R8)^P8)/(1-1/(1+R8)^Q8),2)</f>
        <v>0.35</v>
      </c>
      <c r="P8" s="2814">
        <f>项目基本情况!D15</f>
        <v>7.79</v>
      </c>
      <c r="Q8" s="2814">
        <v>40</v>
      </c>
      <c r="R8" s="3513">
        <v>4.5999999999999999E-2</v>
      </c>
    </row>
    <row r="9" spans="14:18">
      <c r="N9" s="1421" t="s">
        <v>3432</v>
      </c>
      <c r="O9" s="1421" t="s">
        <v>3434</v>
      </c>
      <c r="P9" s="2814">
        <v>1</v>
      </c>
    </row>
    <row r="10" spans="14:18">
      <c r="N10" s="1421"/>
      <c r="O10" s="1421"/>
    </row>
    <row r="11" spans="14:18">
      <c r="Q11" s="1421" t="s">
        <v>3378</v>
      </c>
    </row>
    <row r="12" spans="14:18">
      <c r="N12" s="2814" t="s">
        <v>3433</v>
      </c>
      <c r="O12" s="2814" t="s">
        <v>3435</v>
      </c>
      <c r="P12" s="2814">
        <v>1</v>
      </c>
      <c r="Q12" s="2814">
        <f>'数据-取费表'!K6/4</f>
        <v>3253.4050000000002</v>
      </c>
      <c r="R12" s="2814">
        <f>$O$21*P12</f>
        <v>9050.65</v>
      </c>
    </row>
    <row r="13" spans="14:18">
      <c r="O13" s="2814" t="s">
        <v>3436</v>
      </c>
      <c r="P13" s="2814">
        <v>0.6</v>
      </c>
      <c r="Q13" s="2814">
        <f>Q12</f>
        <v>3253.4050000000002</v>
      </c>
      <c r="R13" s="2814">
        <f t="shared" ref="R13:R15" si="0">$O$21*P13</f>
        <v>5430.3899999999994</v>
      </c>
    </row>
    <row r="14" spans="14:18">
      <c r="O14" s="2814" t="s">
        <v>3437</v>
      </c>
      <c r="P14" s="2814">
        <v>0.5</v>
      </c>
      <c r="Q14" s="2814">
        <f>Q12</f>
        <v>3253.4050000000002</v>
      </c>
      <c r="R14" s="2814">
        <f t="shared" si="0"/>
        <v>4525.3249999999998</v>
      </c>
    </row>
    <row r="15" spans="14:18">
      <c r="O15" s="2814" t="s">
        <v>3438</v>
      </c>
      <c r="P15" s="2814">
        <v>0.4</v>
      </c>
      <c r="Q15" s="2814">
        <f>Q12</f>
        <v>3253.4050000000002</v>
      </c>
      <c r="R15" s="2814">
        <f t="shared" si="0"/>
        <v>3620.26</v>
      </c>
    </row>
    <row r="16" spans="14:18">
      <c r="Q16" s="2814">
        <f>SUM(Q12:Q15)</f>
        <v>13013.62</v>
      </c>
      <c r="R16" s="2814">
        <f>SUM(R12:R15)</f>
        <v>22626.625</v>
      </c>
    </row>
    <row r="18" spans="14:15">
      <c r="N18" s="1421" t="s">
        <v>3439</v>
      </c>
      <c r="O18" s="2814">
        <v>25859</v>
      </c>
    </row>
    <row r="19" spans="14:15">
      <c r="N19" s="1421" t="s">
        <v>3428</v>
      </c>
      <c r="O19" s="2814">
        <f>O8</f>
        <v>0.35</v>
      </c>
    </row>
    <row r="20" spans="14:15">
      <c r="N20" s="1421" t="s">
        <v>3432</v>
      </c>
      <c r="O20" s="2814">
        <f>P9</f>
        <v>1</v>
      </c>
    </row>
    <row r="21" spans="14:15">
      <c r="N21" s="1421"/>
      <c r="O21" s="2814">
        <f>O18*O19*O20</f>
        <v>9050.65</v>
      </c>
    </row>
    <row r="57" spans="1:1">
      <c r="A57" s="1405" t="s">
        <v>3425</v>
      </c>
    </row>
    <row r="58" spans="1:1">
      <c r="A58" t="s">
        <v>3422</v>
      </c>
    </row>
    <row r="59" spans="1:1">
      <c r="A59"/>
    </row>
    <row r="60" spans="1:1">
      <c r="A60"/>
    </row>
    <row r="61" spans="1:1">
      <c r="A61" s="1405" t="s">
        <v>3424</v>
      </c>
    </row>
    <row r="62" spans="1:1">
      <c r="A62" t="s">
        <v>3423</v>
      </c>
    </row>
    <row r="63" spans="1:1">
      <c r="A63"/>
    </row>
    <row r="64" spans="1:1">
      <c r="A64" s="1405" t="s">
        <v>3427</v>
      </c>
    </row>
    <row r="65" spans="1:1">
      <c r="A65" t="s">
        <v>3426</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CA4AE-82D2-4CFF-90A7-CAFD17C00D8D}">
  <dimension ref="A1:V11"/>
  <sheetViews>
    <sheetView topLeftCell="B1" zoomScale="85" zoomScaleNormal="85" workbookViewId="0">
      <selection activeCell="J20" sqref="J20"/>
    </sheetView>
  </sheetViews>
  <sheetFormatPr defaultRowHeight="14.25"/>
  <cols>
    <col min="1" max="1" width="20.875" style="3526" customWidth="1"/>
    <col min="2" max="3" width="7.5" style="3526" bestFit="1" customWidth="1"/>
    <col min="4" max="4" width="10.5" style="3526" bestFit="1" customWidth="1"/>
    <col min="5" max="5" width="12.625" style="3526" customWidth="1"/>
    <col min="6" max="6" width="9.375" style="3526" customWidth="1"/>
    <col min="7" max="7" width="15" style="3526" bestFit="1" customWidth="1"/>
    <col min="8" max="8" width="26.125" style="3526" bestFit="1" customWidth="1"/>
    <col min="9" max="11" width="9.5" style="3526" bestFit="1" customWidth="1"/>
    <col min="12" max="12" width="11.625" style="3526" bestFit="1" customWidth="1"/>
    <col min="13" max="13" width="9.5" style="3526" bestFit="1" customWidth="1"/>
    <col min="14" max="14" width="13.875" style="3526" bestFit="1" customWidth="1"/>
    <col min="15" max="15" width="15.125" style="3526" customWidth="1"/>
    <col min="16" max="16" width="21.625" style="3526" bestFit="1" customWidth="1"/>
    <col min="17" max="17" width="19.375" style="3526" bestFit="1" customWidth="1"/>
    <col min="18" max="18" width="10.5" style="3526" bestFit="1" customWidth="1"/>
    <col min="19" max="19" width="11.625" style="3526" bestFit="1" customWidth="1"/>
    <col min="20" max="20" width="19.375" style="3526" bestFit="1" customWidth="1"/>
    <col min="21" max="21" width="15" style="3526" bestFit="1" customWidth="1"/>
    <col min="22" max="22" width="57.125" style="3526" bestFit="1" customWidth="1"/>
    <col min="23" max="16384" width="9" style="3526"/>
  </cols>
  <sheetData>
    <row r="1" spans="1:22">
      <c r="A1" s="3527" t="s">
        <v>3685</v>
      </c>
      <c r="B1" s="3527" t="s">
        <v>3684</v>
      </c>
      <c r="C1" s="3527" t="s">
        <v>3544</v>
      </c>
      <c r="D1" s="3527" t="s">
        <v>3683</v>
      </c>
      <c r="E1" s="3527" t="s">
        <v>3682</v>
      </c>
      <c r="F1" s="3527" t="s">
        <v>3681</v>
      </c>
      <c r="G1" s="3527" t="s">
        <v>3680</v>
      </c>
      <c r="H1" s="3527" t="s">
        <v>3679</v>
      </c>
      <c r="I1" s="3527" t="s">
        <v>3678</v>
      </c>
      <c r="J1" s="3527" t="s">
        <v>3677</v>
      </c>
      <c r="K1" s="3527" t="s">
        <v>3676</v>
      </c>
      <c r="L1" s="3527" t="s">
        <v>3585</v>
      </c>
      <c r="M1" s="3527" t="s">
        <v>3580</v>
      </c>
      <c r="N1" s="3527" t="s">
        <v>3675</v>
      </c>
      <c r="O1" s="3527" t="s">
        <v>3674</v>
      </c>
      <c r="P1" s="3527" t="s">
        <v>3673</v>
      </c>
      <c r="Q1" s="3527" t="s">
        <v>3672</v>
      </c>
      <c r="R1" s="3527" t="s">
        <v>3671</v>
      </c>
      <c r="S1" s="3527" t="s">
        <v>3670</v>
      </c>
      <c r="T1" s="3527" t="s">
        <v>3669</v>
      </c>
      <c r="U1" s="3527" t="s">
        <v>3668</v>
      </c>
      <c r="V1" s="3527" t="s">
        <v>3667</v>
      </c>
    </row>
    <row r="2" spans="1:22">
      <c r="A2" s="3527" t="s">
        <v>3666</v>
      </c>
      <c r="B2" s="3527" t="s">
        <v>3622</v>
      </c>
      <c r="C2" s="3527" t="s">
        <v>3621</v>
      </c>
      <c r="D2" s="3527" t="s">
        <v>3665</v>
      </c>
      <c r="E2" s="3527">
        <v>101763.59</v>
      </c>
      <c r="F2" s="3527">
        <v>330701</v>
      </c>
      <c r="G2" s="3527" t="s">
        <v>3619</v>
      </c>
      <c r="H2" s="3527" t="s">
        <v>2436</v>
      </c>
      <c r="I2" s="3527" t="s">
        <v>3664</v>
      </c>
      <c r="J2" s="3527" t="s">
        <v>3488</v>
      </c>
      <c r="K2" s="3527" t="s">
        <v>3500</v>
      </c>
      <c r="L2" s="3527" t="s">
        <v>3663</v>
      </c>
      <c r="M2" s="3527" t="s">
        <v>3615</v>
      </c>
      <c r="N2" s="3527">
        <v>62100</v>
      </c>
      <c r="O2" s="3527">
        <v>62100</v>
      </c>
      <c r="P2" s="3527">
        <v>406.83</v>
      </c>
      <c r="Q2" s="3527">
        <v>1878</v>
      </c>
      <c r="R2" s="3527">
        <v>0</v>
      </c>
      <c r="S2" s="3527" t="s">
        <v>3500</v>
      </c>
      <c r="T2" s="3527" t="s">
        <v>3500</v>
      </c>
      <c r="U2" s="3527" t="s">
        <v>3500</v>
      </c>
      <c r="V2" s="3527" t="s">
        <v>3662</v>
      </c>
    </row>
    <row r="3" spans="1:22">
      <c r="A3" s="3527" t="s">
        <v>3661</v>
      </c>
      <c r="B3" s="3527" t="s">
        <v>3622</v>
      </c>
      <c r="C3" s="3527" t="s">
        <v>3502</v>
      </c>
      <c r="D3" s="3527" t="s">
        <v>3660</v>
      </c>
      <c r="E3" s="3527">
        <v>15657.68</v>
      </c>
      <c r="F3" s="3527">
        <v>188000</v>
      </c>
      <c r="G3" s="3527" t="s">
        <v>3619</v>
      </c>
      <c r="H3" s="3527" t="s">
        <v>3403</v>
      </c>
      <c r="I3" s="3527" t="s">
        <v>3659</v>
      </c>
      <c r="J3" s="3527" t="s">
        <v>3488</v>
      </c>
      <c r="K3" s="3527" t="s">
        <v>3500</v>
      </c>
      <c r="L3" s="3527" t="s">
        <v>3658</v>
      </c>
      <c r="M3" s="3527" t="s">
        <v>3615</v>
      </c>
      <c r="N3" s="3527">
        <v>228700</v>
      </c>
      <c r="O3" s="3527">
        <v>228700</v>
      </c>
      <c r="P3" s="3527">
        <v>9737.5</v>
      </c>
      <c r="Q3" s="3527">
        <v>12165</v>
      </c>
      <c r="R3" s="3527">
        <v>0</v>
      </c>
      <c r="S3" s="3527" t="s">
        <v>3500</v>
      </c>
      <c r="T3" s="3527" t="s">
        <v>3500</v>
      </c>
      <c r="U3" s="3527" t="s">
        <v>3500</v>
      </c>
      <c r="V3" s="3527" t="s">
        <v>3657</v>
      </c>
    </row>
    <row r="4" spans="1:22">
      <c r="A4" s="3527" t="s">
        <v>3656</v>
      </c>
      <c r="B4" s="3527" t="s">
        <v>3622</v>
      </c>
      <c r="C4" s="3527" t="s">
        <v>3502</v>
      </c>
      <c r="D4" s="3527" t="s">
        <v>3655</v>
      </c>
      <c r="E4" s="3527">
        <v>9768.61</v>
      </c>
      <c r="F4" s="3527">
        <v>68600</v>
      </c>
      <c r="G4" s="3527" t="s">
        <v>3619</v>
      </c>
      <c r="H4" s="3527" t="s">
        <v>3618</v>
      </c>
      <c r="I4" s="3527" t="s">
        <v>3654</v>
      </c>
      <c r="J4" s="3527" t="s">
        <v>3488</v>
      </c>
      <c r="K4" s="3527" t="s">
        <v>3500</v>
      </c>
      <c r="L4" s="3527" t="s">
        <v>3653</v>
      </c>
      <c r="M4" s="3527" t="s">
        <v>3615</v>
      </c>
      <c r="N4" s="3527">
        <v>65700</v>
      </c>
      <c r="O4" s="3527">
        <v>65700</v>
      </c>
      <c r="P4" s="3527">
        <v>4483.75</v>
      </c>
      <c r="Q4" s="3527">
        <v>9577</v>
      </c>
      <c r="R4" s="3527">
        <v>0</v>
      </c>
      <c r="S4" s="3527" t="s">
        <v>3500</v>
      </c>
      <c r="T4" s="3527" t="s">
        <v>3500</v>
      </c>
      <c r="U4" s="3527" t="s">
        <v>3500</v>
      </c>
      <c r="V4" s="3527" t="s">
        <v>3652</v>
      </c>
    </row>
    <row r="5" spans="1:22">
      <c r="A5" s="3527" t="s">
        <v>3623</v>
      </c>
      <c r="B5" s="3527" t="s">
        <v>3622</v>
      </c>
      <c r="C5" s="3527" t="s">
        <v>3621</v>
      </c>
      <c r="D5" s="3527" t="s">
        <v>3651</v>
      </c>
      <c r="E5" s="3527">
        <v>5043.96</v>
      </c>
      <c r="F5" s="3527">
        <v>40352</v>
      </c>
      <c r="G5" s="3527" t="s">
        <v>3619</v>
      </c>
      <c r="H5" s="3527" t="s">
        <v>3618</v>
      </c>
      <c r="I5" s="3527" t="s">
        <v>3650</v>
      </c>
      <c r="J5" s="3527" t="s">
        <v>3488</v>
      </c>
      <c r="K5" s="3527" t="s">
        <v>3500</v>
      </c>
      <c r="L5" s="3527" t="s">
        <v>3649</v>
      </c>
      <c r="M5" s="3527" t="s">
        <v>3615</v>
      </c>
      <c r="N5" s="3527">
        <v>43200</v>
      </c>
      <c r="O5" s="3527">
        <v>43200</v>
      </c>
      <c r="P5" s="3527">
        <v>5709.8</v>
      </c>
      <c r="Q5" s="3527">
        <v>10706</v>
      </c>
      <c r="R5" s="3527">
        <v>0</v>
      </c>
      <c r="S5" s="3527" t="s">
        <v>3500</v>
      </c>
      <c r="T5" s="3527" t="s">
        <v>3500</v>
      </c>
      <c r="U5" s="3527" t="s">
        <v>3500</v>
      </c>
      <c r="V5" s="3527" t="s">
        <v>3648</v>
      </c>
    </row>
    <row r="6" spans="1:22">
      <c r="A6" s="3527" t="s">
        <v>3632</v>
      </c>
      <c r="B6" s="3527" t="s">
        <v>3622</v>
      </c>
      <c r="C6" s="3527" t="s">
        <v>3502</v>
      </c>
      <c r="D6" s="3527" t="s">
        <v>3647</v>
      </c>
      <c r="E6" s="3527">
        <v>3361.64</v>
      </c>
      <c r="F6" s="3527">
        <v>26800</v>
      </c>
      <c r="G6" s="3527" t="s">
        <v>3619</v>
      </c>
      <c r="H6" s="3527" t="s">
        <v>3618</v>
      </c>
      <c r="I6" s="3527" t="s">
        <v>3646</v>
      </c>
      <c r="J6" s="3527" t="s">
        <v>3488</v>
      </c>
      <c r="K6" s="3527" t="s">
        <v>3500</v>
      </c>
      <c r="L6" s="3527" t="s">
        <v>3645</v>
      </c>
      <c r="M6" s="3527" t="s">
        <v>3615</v>
      </c>
      <c r="N6" s="3527">
        <v>46600</v>
      </c>
      <c r="O6" s="3527">
        <v>46600</v>
      </c>
      <c r="P6" s="3527">
        <v>9241.52</v>
      </c>
      <c r="Q6" s="3527">
        <v>17388</v>
      </c>
      <c r="R6" s="3527">
        <v>0</v>
      </c>
      <c r="S6" s="3527" t="s">
        <v>3500</v>
      </c>
      <c r="T6" s="3527" t="s">
        <v>3500</v>
      </c>
      <c r="U6" s="3527" t="s">
        <v>3500</v>
      </c>
      <c r="V6" s="3527" t="s">
        <v>3644</v>
      </c>
    </row>
    <row r="7" spans="1:22">
      <c r="A7" s="3527" t="s">
        <v>3643</v>
      </c>
      <c r="B7" s="3527" t="s">
        <v>3622</v>
      </c>
      <c r="C7" s="3527" t="s">
        <v>3502</v>
      </c>
      <c r="D7" s="3527" t="s">
        <v>3642</v>
      </c>
      <c r="E7" s="3527">
        <v>19227.53</v>
      </c>
      <c r="F7" s="3527">
        <v>167000</v>
      </c>
      <c r="G7" s="3527" t="s">
        <v>3619</v>
      </c>
      <c r="H7" s="3527" t="s">
        <v>3641</v>
      </c>
      <c r="I7" s="3527" t="s">
        <v>3640</v>
      </c>
      <c r="J7" s="3527" t="s">
        <v>3488</v>
      </c>
      <c r="K7" s="3527" t="s">
        <v>3500</v>
      </c>
      <c r="L7" s="3527" t="s">
        <v>3639</v>
      </c>
      <c r="M7" s="3527" t="s">
        <v>3615</v>
      </c>
      <c r="N7" s="3527">
        <v>223500</v>
      </c>
      <c r="O7" s="3527">
        <v>223500</v>
      </c>
      <c r="P7" s="3527">
        <v>7749.31</v>
      </c>
      <c r="Q7" s="3527">
        <v>13383</v>
      </c>
      <c r="R7" s="3527">
        <v>0</v>
      </c>
      <c r="S7" s="3527" t="s">
        <v>3500</v>
      </c>
      <c r="T7" s="3527" t="s">
        <v>3500</v>
      </c>
      <c r="U7" s="3527" t="s">
        <v>3500</v>
      </c>
      <c r="V7" s="3527" t="s">
        <v>3638</v>
      </c>
    </row>
    <row r="8" spans="1:22">
      <c r="A8" s="3527" t="s">
        <v>3637</v>
      </c>
      <c r="B8" s="3527" t="s">
        <v>3622</v>
      </c>
      <c r="C8" s="3527" t="s">
        <v>3502</v>
      </c>
      <c r="D8" s="3527" t="s">
        <v>3636</v>
      </c>
      <c r="E8" s="3527">
        <v>6075.18</v>
      </c>
      <c r="F8" s="3527">
        <v>125250</v>
      </c>
      <c r="G8" s="3527" t="s">
        <v>3619</v>
      </c>
      <c r="H8" s="3527" t="s">
        <v>3618</v>
      </c>
      <c r="I8" s="3527" t="s">
        <v>3635</v>
      </c>
      <c r="J8" s="3527" t="s">
        <v>3488</v>
      </c>
      <c r="K8" s="3527" t="s">
        <v>3500</v>
      </c>
      <c r="L8" s="3527" t="s">
        <v>3634</v>
      </c>
      <c r="M8" s="3527" t="s">
        <v>3615</v>
      </c>
      <c r="N8" s="3527">
        <v>139200</v>
      </c>
      <c r="O8" s="3527">
        <v>139200</v>
      </c>
      <c r="P8" s="3527">
        <v>15275.27</v>
      </c>
      <c r="Q8" s="3527">
        <v>11114</v>
      </c>
      <c r="R8" s="3527">
        <v>0</v>
      </c>
      <c r="S8" s="3527" t="s">
        <v>3500</v>
      </c>
      <c r="T8" s="3527" t="s">
        <v>3500</v>
      </c>
      <c r="U8" s="3527" t="s">
        <v>3500</v>
      </c>
      <c r="V8" s="3527" t="s">
        <v>3633</v>
      </c>
    </row>
    <row r="9" spans="1:22">
      <c r="A9" s="3527" t="s">
        <v>3632</v>
      </c>
      <c r="B9" s="3527" t="s">
        <v>3622</v>
      </c>
      <c r="C9" s="3527" t="s">
        <v>3502</v>
      </c>
      <c r="D9" s="3527" t="s">
        <v>3631</v>
      </c>
      <c r="E9" s="3527">
        <v>1657.8</v>
      </c>
      <c r="F9" s="3527">
        <v>1500</v>
      </c>
      <c r="G9" s="3527" t="s">
        <v>3619</v>
      </c>
      <c r="H9" s="3527" t="s">
        <v>3630</v>
      </c>
      <c r="I9" s="3527" t="s">
        <v>3629</v>
      </c>
      <c r="J9" s="3527" t="s">
        <v>3488</v>
      </c>
      <c r="K9" s="3527" t="s">
        <v>3500</v>
      </c>
      <c r="L9" s="3527" t="s">
        <v>3628</v>
      </c>
      <c r="M9" s="3527" t="s">
        <v>3615</v>
      </c>
      <c r="N9" s="3527">
        <v>3100</v>
      </c>
      <c r="O9" s="3527">
        <v>3100</v>
      </c>
      <c r="P9" s="3527">
        <v>1246.6300000000001</v>
      </c>
      <c r="Q9" s="3527">
        <v>20667</v>
      </c>
      <c r="R9" s="3527">
        <v>0</v>
      </c>
      <c r="S9" s="3527" t="s">
        <v>3500</v>
      </c>
      <c r="T9" s="3527" t="s">
        <v>3500</v>
      </c>
      <c r="U9" s="3527" t="s">
        <v>3500</v>
      </c>
      <c r="V9" s="3527" t="s">
        <v>3627</v>
      </c>
    </row>
    <row r="10" spans="1:22">
      <c r="A10" s="3527" t="s">
        <v>3623</v>
      </c>
      <c r="B10" s="3527" t="s">
        <v>3622</v>
      </c>
      <c r="C10" s="3527" t="s">
        <v>3621</v>
      </c>
      <c r="D10" s="3527" t="s">
        <v>3626</v>
      </c>
      <c r="E10" s="3527">
        <v>8050.55</v>
      </c>
      <c r="F10" s="3527">
        <v>64400</v>
      </c>
      <c r="G10" s="3527" t="s">
        <v>3619</v>
      </c>
      <c r="H10" s="3527" t="s">
        <v>3618</v>
      </c>
      <c r="I10" s="3527" t="s">
        <v>3617</v>
      </c>
      <c r="J10" s="3527" t="s">
        <v>3488</v>
      </c>
      <c r="K10" s="3527" t="s">
        <v>3500</v>
      </c>
      <c r="L10" s="3527" t="s">
        <v>3625</v>
      </c>
      <c r="M10" s="3527" t="s">
        <v>3615</v>
      </c>
      <c r="N10" s="3527">
        <v>150900</v>
      </c>
      <c r="O10" s="3527">
        <v>150900</v>
      </c>
      <c r="P10" s="3527">
        <v>12496.04</v>
      </c>
      <c r="Q10" s="3527">
        <v>23432</v>
      </c>
      <c r="R10" s="3527">
        <v>0</v>
      </c>
      <c r="S10" s="3527" t="s">
        <v>3500</v>
      </c>
      <c r="T10" s="3527" t="s">
        <v>3500</v>
      </c>
      <c r="U10" s="3527" t="s">
        <v>3500</v>
      </c>
      <c r="V10" s="3527" t="s">
        <v>3624</v>
      </c>
    </row>
    <row r="11" spans="1:22">
      <c r="A11" s="3527" t="s">
        <v>3623</v>
      </c>
      <c r="B11" s="3527" t="s">
        <v>3622</v>
      </c>
      <c r="C11" s="3527" t="s">
        <v>3621</v>
      </c>
      <c r="D11" s="3527" t="s">
        <v>3620</v>
      </c>
      <c r="E11" s="3527">
        <v>7171.35</v>
      </c>
      <c r="F11" s="3527">
        <v>57376</v>
      </c>
      <c r="G11" s="3527" t="s">
        <v>3619</v>
      </c>
      <c r="H11" s="3527" t="s">
        <v>3618</v>
      </c>
      <c r="I11" s="3527" t="s">
        <v>3617</v>
      </c>
      <c r="J11" s="3527" t="s">
        <v>3488</v>
      </c>
      <c r="K11" s="3527" t="s">
        <v>3500</v>
      </c>
      <c r="L11" s="3527" t="s">
        <v>3616</v>
      </c>
      <c r="M11" s="3527" t="s">
        <v>3615</v>
      </c>
      <c r="N11" s="3527">
        <v>90600</v>
      </c>
      <c r="O11" s="3527">
        <v>90600</v>
      </c>
      <c r="P11" s="3527">
        <v>8422.4</v>
      </c>
      <c r="Q11" s="3527">
        <v>15791</v>
      </c>
      <c r="R11" s="3527">
        <v>0</v>
      </c>
      <c r="S11" s="3527" t="s">
        <v>3500</v>
      </c>
      <c r="T11" s="3527" t="s">
        <v>3500</v>
      </c>
      <c r="U11" s="3527" t="s">
        <v>3500</v>
      </c>
      <c r="V11" s="3527" t="s">
        <v>3614</v>
      </c>
    </row>
  </sheetData>
  <mergeCells count="242">
    <mergeCell ref="V1"/>
    <mergeCell ref="N1"/>
    <mergeCell ref="A1"/>
    <mergeCell ref="B1"/>
    <mergeCell ref="C1"/>
    <mergeCell ref="D1"/>
    <mergeCell ref="E1"/>
    <mergeCell ref="F1"/>
    <mergeCell ref="G1"/>
    <mergeCell ref="J2"/>
    <mergeCell ref="K2"/>
    <mergeCell ref="L2"/>
    <mergeCell ref="M2"/>
    <mergeCell ref="H1"/>
    <mergeCell ref="I1"/>
    <mergeCell ref="J1"/>
    <mergeCell ref="K1"/>
    <mergeCell ref="L1"/>
    <mergeCell ref="M1"/>
    <mergeCell ref="U1"/>
    <mergeCell ref="A2"/>
    <mergeCell ref="B2"/>
    <mergeCell ref="C2"/>
    <mergeCell ref="D2"/>
    <mergeCell ref="E2"/>
    <mergeCell ref="F2"/>
    <mergeCell ref="G2"/>
    <mergeCell ref="H2"/>
    <mergeCell ref="I2"/>
    <mergeCell ref="Q2"/>
    <mergeCell ref="R2"/>
    <mergeCell ref="S2"/>
    <mergeCell ref="T2"/>
    <mergeCell ref="O1"/>
    <mergeCell ref="P1"/>
    <mergeCell ref="Q1"/>
    <mergeCell ref="R1"/>
    <mergeCell ref="S1"/>
    <mergeCell ref="T1"/>
    <mergeCell ref="M3"/>
    <mergeCell ref="V3"/>
    <mergeCell ref="N3"/>
    <mergeCell ref="O3"/>
    <mergeCell ref="P3"/>
    <mergeCell ref="Q3"/>
    <mergeCell ref="R3"/>
    <mergeCell ref="G3"/>
    <mergeCell ref="H3"/>
    <mergeCell ref="I3"/>
    <mergeCell ref="J3"/>
    <mergeCell ref="K3"/>
    <mergeCell ref="L3"/>
    <mergeCell ref="A3"/>
    <mergeCell ref="B3"/>
    <mergeCell ref="C3"/>
    <mergeCell ref="D3"/>
    <mergeCell ref="E3"/>
    <mergeCell ref="F3"/>
    <mergeCell ref="V4"/>
    <mergeCell ref="N4"/>
    <mergeCell ref="O4"/>
    <mergeCell ref="P4"/>
    <mergeCell ref="Q4"/>
    <mergeCell ref="U2"/>
    <mergeCell ref="V2"/>
    <mergeCell ref="N2"/>
    <mergeCell ref="O2"/>
    <mergeCell ref="P2"/>
    <mergeCell ref="H4"/>
    <mergeCell ref="I4"/>
    <mergeCell ref="J4"/>
    <mergeCell ref="K4"/>
    <mergeCell ref="L4"/>
    <mergeCell ref="M4"/>
    <mergeCell ref="S3"/>
    <mergeCell ref="T3"/>
    <mergeCell ref="U3"/>
    <mergeCell ref="A4"/>
    <mergeCell ref="B4"/>
    <mergeCell ref="C4"/>
    <mergeCell ref="D4"/>
    <mergeCell ref="E4"/>
    <mergeCell ref="F4"/>
    <mergeCell ref="G4"/>
    <mergeCell ref="G5"/>
    <mergeCell ref="H5"/>
    <mergeCell ref="I5"/>
    <mergeCell ref="J5"/>
    <mergeCell ref="K5"/>
    <mergeCell ref="L5"/>
    <mergeCell ref="A5"/>
    <mergeCell ref="B5"/>
    <mergeCell ref="C5"/>
    <mergeCell ref="D5"/>
    <mergeCell ref="E5"/>
    <mergeCell ref="F5"/>
    <mergeCell ref="M6"/>
    <mergeCell ref="V6"/>
    <mergeCell ref="R4"/>
    <mergeCell ref="S4"/>
    <mergeCell ref="T4"/>
    <mergeCell ref="U4"/>
    <mergeCell ref="M5"/>
    <mergeCell ref="V5"/>
    <mergeCell ref="N5"/>
    <mergeCell ref="O5"/>
    <mergeCell ref="G6"/>
    <mergeCell ref="H6"/>
    <mergeCell ref="I6"/>
    <mergeCell ref="J6"/>
    <mergeCell ref="K6"/>
    <mergeCell ref="L6"/>
    <mergeCell ref="A6"/>
    <mergeCell ref="B6"/>
    <mergeCell ref="C6"/>
    <mergeCell ref="D6"/>
    <mergeCell ref="E6"/>
    <mergeCell ref="F6"/>
    <mergeCell ref="T6"/>
    <mergeCell ref="U6"/>
    <mergeCell ref="P5"/>
    <mergeCell ref="Q5"/>
    <mergeCell ref="R5"/>
    <mergeCell ref="S5"/>
    <mergeCell ref="T5"/>
    <mergeCell ref="U5"/>
    <mergeCell ref="N6"/>
    <mergeCell ref="O6"/>
    <mergeCell ref="P6"/>
    <mergeCell ref="Q6"/>
    <mergeCell ref="R6"/>
    <mergeCell ref="S6"/>
    <mergeCell ref="V7"/>
    <mergeCell ref="N7"/>
    <mergeCell ref="A7"/>
    <mergeCell ref="B7"/>
    <mergeCell ref="C7"/>
    <mergeCell ref="D7"/>
    <mergeCell ref="E7"/>
    <mergeCell ref="F7"/>
    <mergeCell ref="G7"/>
    <mergeCell ref="J8"/>
    <mergeCell ref="K8"/>
    <mergeCell ref="L8"/>
    <mergeCell ref="M8"/>
    <mergeCell ref="H7"/>
    <mergeCell ref="I7"/>
    <mergeCell ref="J7"/>
    <mergeCell ref="K7"/>
    <mergeCell ref="L7"/>
    <mergeCell ref="M7"/>
    <mergeCell ref="U7"/>
    <mergeCell ref="A8"/>
    <mergeCell ref="B8"/>
    <mergeCell ref="C8"/>
    <mergeCell ref="D8"/>
    <mergeCell ref="E8"/>
    <mergeCell ref="F8"/>
    <mergeCell ref="G8"/>
    <mergeCell ref="H8"/>
    <mergeCell ref="I8"/>
    <mergeCell ref="O7"/>
    <mergeCell ref="P7"/>
    <mergeCell ref="Q7"/>
    <mergeCell ref="R7"/>
    <mergeCell ref="S7"/>
    <mergeCell ref="T7"/>
    <mergeCell ref="V8"/>
    <mergeCell ref="N8"/>
    <mergeCell ref="O8"/>
    <mergeCell ref="P8"/>
    <mergeCell ref="Q8"/>
    <mergeCell ref="R8"/>
    <mergeCell ref="S8"/>
    <mergeCell ref="T8"/>
    <mergeCell ref="M9"/>
    <mergeCell ref="V9"/>
    <mergeCell ref="N9"/>
    <mergeCell ref="O9"/>
    <mergeCell ref="P9"/>
    <mergeCell ref="Q9"/>
    <mergeCell ref="R9"/>
    <mergeCell ref="G9"/>
    <mergeCell ref="H9"/>
    <mergeCell ref="I9"/>
    <mergeCell ref="J9"/>
    <mergeCell ref="K9"/>
    <mergeCell ref="L9"/>
    <mergeCell ref="O10"/>
    <mergeCell ref="P10"/>
    <mergeCell ref="Q10"/>
    <mergeCell ref="U8"/>
    <mergeCell ref="A9"/>
    <mergeCell ref="B9"/>
    <mergeCell ref="C9"/>
    <mergeCell ref="D9"/>
    <mergeCell ref="E9"/>
    <mergeCell ref="F9"/>
    <mergeCell ref="G10"/>
    <mergeCell ref="H10"/>
    <mergeCell ref="I10"/>
    <mergeCell ref="J10"/>
    <mergeCell ref="K10"/>
    <mergeCell ref="L10"/>
    <mergeCell ref="A10"/>
    <mergeCell ref="B10"/>
    <mergeCell ref="C10"/>
    <mergeCell ref="D10"/>
    <mergeCell ref="E10"/>
    <mergeCell ref="F10"/>
    <mergeCell ref="M11"/>
    <mergeCell ref="V11"/>
    <mergeCell ref="N11"/>
    <mergeCell ref="O11"/>
    <mergeCell ref="S9"/>
    <mergeCell ref="T9"/>
    <mergeCell ref="U9"/>
    <mergeCell ref="M10"/>
    <mergeCell ref="V10"/>
    <mergeCell ref="N10"/>
    <mergeCell ref="G11"/>
    <mergeCell ref="H11"/>
    <mergeCell ref="I11"/>
    <mergeCell ref="J11"/>
    <mergeCell ref="K11"/>
    <mergeCell ref="L11"/>
    <mergeCell ref="R10"/>
    <mergeCell ref="S10"/>
    <mergeCell ref="T10"/>
    <mergeCell ref="U10"/>
    <mergeCell ref="A11"/>
    <mergeCell ref="B11"/>
    <mergeCell ref="C11"/>
    <mergeCell ref="D11"/>
    <mergeCell ref="E11"/>
    <mergeCell ref="F11"/>
    <mergeCell ref="P11"/>
    <mergeCell ref="Q11"/>
    <mergeCell ref="R11"/>
    <mergeCell ref="S11"/>
    <mergeCell ref="T11"/>
    <mergeCell ref="U11"/>
  </mergeCells>
  <phoneticPr fontId="13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8">
      <c r="A3" s="3176" t="str">
        <f>IF(项目基本情况!B9="房地产市场价值","估价结果一览表（市场价值不需“结果表-1”）","估价结果一览表")</f>
        <v>估价结果一览表</v>
      </c>
      <c r="B3" s="3176"/>
      <c r="C3" s="3176"/>
      <c r="D3" s="3176"/>
      <c r="E3" s="3176"/>
    </row>
    <row r="4" spans="1:5" ht="19.5" thickBot="1">
      <c r="A4" s="1391"/>
      <c r="B4" s="3174" t="s">
        <v>917</v>
      </c>
      <c r="C4" s="3174"/>
      <c r="D4" s="3174"/>
      <c r="E4" s="1391"/>
    </row>
    <row r="5" spans="1:5" ht="16.5" thickTop="1">
      <c r="B5" s="3172" t="s">
        <v>909</v>
      </c>
      <c r="C5" s="1392" t="s">
        <v>910</v>
      </c>
      <c r="D5" s="797" t="e">
        <f ca="1">结果表!H101</f>
        <v>#REF!</v>
      </c>
    </row>
    <row r="6" spans="1:5" ht="15.75">
      <c r="B6" s="3172"/>
      <c r="C6" s="1392" t="s">
        <v>911</v>
      </c>
      <c r="D6" s="797" t="e">
        <f ca="1">NUMBERSTRING(INT(D5*10000),2)&amp;"元整"</f>
        <v>#REF!</v>
      </c>
    </row>
    <row r="7" spans="1:5" ht="15.75">
      <c r="B7" s="3177"/>
      <c r="C7" s="1393" t="s">
        <v>912</v>
      </c>
      <c r="D7" s="798" t="e">
        <f ca="1">结果表!H102</f>
        <v>#REF!</v>
      </c>
    </row>
    <row r="8" spans="1:5" ht="15.75">
      <c r="B8" s="3178" t="str">
        <f>结果表!E103</f>
        <v>2.估价师知悉的法定优先受偿款</v>
      </c>
      <c r="C8" s="1394" t="s">
        <v>913</v>
      </c>
      <c r="D8" s="798">
        <f>结果表!H103</f>
        <v>0</v>
      </c>
    </row>
    <row r="9" spans="1:5" ht="15.75">
      <c r="B9" s="318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1" t="str">
        <f>结果表!E107</f>
        <v>3.房地产抵押价值</v>
      </c>
      <c r="C13" s="1397" t="s">
        <v>910</v>
      </c>
      <c r="D13" s="800" t="e">
        <f ca="1">结果表!H107</f>
        <v>#REF!</v>
      </c>
    </row>
    <row r="14" spans="1:5" ht="15.75">
      <c r="B14" s="3172"/>
      <c r="C14" s="1392" t="s">
        <v>911</v>
      </c>
      <c r="D14" s="797" t="e">
        <f ca="1">NUMBERSTRING(INT(D13*10000),2)&amp;"元整"</f>
        <v>#REF!</v>
      </c>
    </row>
    <row r="15" spans="1:5" ht="15">
      <c r="B15" s="3177"/>
      <c r="C15" s="1393" t="s">
        <v>921</v>
      </c>
      <c r="D15" s="806" t="e">
        <f ca="1">结果表!H108</f>
        <v>#REF!</v>
      </c>
    </row>
    <row r="16" spans="1:5" ht="15">
      <c r="B16" s="3178" t="str">
        <f>结果表!E109</f>
        <v>——</v>
      </c>
      <c r="C16" s="1397" t="s">
        <v>922</v>
      </c>
      <c r="D16" s="1398" t="str">
        <f>结果表!H109</f>
        <v>——</v>
      </c>
    </row>
    <row r="17" spans="1:5" ht="15.75">
      <c r="B17" s="3179"/>
      <c r="C17" s="1392" t="s">
        <v>923</v>
      </c>
      <c r="D17" s="797" t="e">
        <f>NUMBERSTRING(INT(D16*10000),2)&amp;"元整"</f>
        <v>#VALUE!</v>
      </c>
    </row>
    <row r="18" spans="1:5" ht="15">
      <c r="B18" s="3180"/>
      <c r="C18" s="1393" t="s">
        <v>912</v>
      </c>
      <c r="D18" s="806" t="str">
        <f>结果表!H110</f>
        <v>——</v>
      </c>
    </row>
    <row r="19" spans="1:5" ht="15.75">
      <c r="B19" s="3171" t="str">
        <f>结果表!E111</f>
        <v>——</v>
      </c>
      <c r="C19" s="1397" t="s">
        <v>910</v>
      </c>
      <c r="D19" s="798" t="str">
        <f>结果表!H111</f>
        <v>——</v>
      </c>
    </row>
    <row r="20" spans="1:5" ht="15.75">
      <c r="B20" s="3172"/>
      <c r="C20" s="1392" t="s">
        <v>923</v>
      </c>
      <c r="D20" s="797" t="e">
        <f>NUMBERSTRING(INT(D19*10000),2)&amp;"元整"</f>
        <v>#VALUE!</v>
      </c>
    </row>
    <row r="21" spans="1:5" ht="15.75" thickBot="1">
      <c r="B21" s="3173"/>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25B8A-0A10-48D1-9D71-7FCD9B3246FC}">
  <dimension ref="A1:M24"/>
  <sheetViews>
    <sheetView workbookViewId="0">
      <selection sqref="A1:XFD1048576"/>
    </sheetView>
  </sheetViews>
  <sheetFormatPr defaultRowHeight="14.25"/>
  <cols>
    <col min="1" max="302" width="20" style="3526" customWidth="1"/>
    <col min="303" max="16384" width="9" style="3526"/>
  </cols>
  <sheetData>
    <row r="1" spans="1:13">
      <c r="A1" s="3527" t="s">
        <v>3546</v>
      </c>
      <c r="B1" s="3527"/>
      <c r="C1" s="3527"/>
      <c r="D1" s="3527"/>
      <c r="E1" s="3527"/>
      <c r="F1" s="3527"/>
      <c r="G1" s="3527"/>
      <c r="H1" s="3527"/>
      <c r="I1" s="3527"/>
      <c r="J1" s="3527"/>
      <c r="K1" s="3527"/>
      <c r="L1" s="3527"/>
      <c r="M1" s="3527"/>
    </row>
    <row r="2" spans="1:13">
      <c r="A2" s="3527" t="s">
        <v>3545</v>
      </c>
      <c r="B2" s="3527" t="s">
        <v>3544</v>
      </c>
      <c r="C2" s="3527" t="s">
        <v>3543</v>
      </c>
      <c r="D2" s="3527" t="s">
        <v>3542</v>
      </c>
      <c r="E2" s="3527" t="s">
        <v>3541</v>
      </c>
      <c r="F2" s="3527" t="s">
        <v>3540</v>
      </c>
      <c r="G2" s="3527" t="s">
        <v>3539</v>
      </c>
      <c r="H2" s="3527" t="s">
        <v>3538</v>
      </c>
      <c r="I2" s="3527" t="s">
        <v>3537</v>
      </c>
      <c r="J2" s="3527" t="s">
        <v>3536</v>
      </c>
      <c r="K2" s="3527" t="s">
        <v>3535</v>
      </c>
      <c r="L2" s="3527" t="s">
        <v>3534</v>
      </c>
      <c r="M2" s="3527" t="s">
        <v>3533</v>
      </c>
    </row>
    <row r="3" spans="1:13">
      <c r="A3" s="3526" t="s">
        <v>3532</v>
      </c>
      <c r="B3" s="3526" t="s">
        <v>3500</v>
      </c>
      <c r="C3" s="3526" t="s">
        <v>3500</v>
      </c>
      <c r="D3" s="3526">
        <v>269</v>
      </c>
      <c r="E3" s="3526">
        <v>90262</v>
      </c>
      <c r="F3" s="3526">
        <v>85374</v>
      </c>
      <c r="G3" s="3526">
        <v>770598.94</v>
      </c>
      <c r="H3" s="3526">
        <v>149</v>
      </c>
      <c r="I3" s="3526">
        <v>60430</v>
      </c>
      <c r="J3" s="3526">
        <v>38</v>
      </c>
      <c r="K3" s="3526">
        <v>4391</v>
      </c>
      <c r="L3" s="3526" t="s">
        <v>3500</v>
      </c>
      <c r="M3" s="3526">
        <v>31084.05</v>
      </c>
    </row>
    <row r="4" spans="1:13">
      <c r="A4" s="3526" t="s">
        <v>3531</v>
      </c>
      <c r="B4" s="3526" t="s">
        <v>3502</v>
      </c>
      <c r="C4" s="3526" t="s">
        <v>3517</v>
      </c>
      <c r="D4" s="3526">
        <v>49</v>
      </c>
      <c r="E4" s="3526">
        <v>3822</v>
      </c>
      <c r="F4" s="3526">
        <v>15315</v>
      </c>
      <c r="G4" s="3526">
        <v>5853.85</v>
      </c>
      <c r="H4" s="3526" t="s">
        <v>3500</v>
      </c>
      <c r="I4" s="3526" t="s">
        <v>3500</v>
      </c>
      <c r="J4" s="3526" t="s">
        <v>3500</v>
      </c>
      <c r="K4" s="3526" t="s">
        <v>3500</v>
      </c>
      <c r="L4" s="3526" t="s">
        <v>3500</v>
      </c>
      <c r="M4" s="3526" t="s">
        <v>3500</v>
      </c>
    </row>
    <row r="5" spans="1:13">
      <c r="A5" s="3526" t="s">
        <v>3530</v>
      </c>
      <c r="B5" s="3526" t="s">
        <v>3502</v>
      </c>
      <c r="C5" s="3526" t="s">
        <v>3506</v>
      </c>
      <c r="D5" s="3526">
        <v>48</v>
      </c>
      <c r="E5" s="3526">
        <v>1867</v>
      </c>
      <c r="F5" s="3526">
        <v>133119</v>
      </c>
      <c r="G5" s="3526">
        <v>24851.17</v>
      </c>
      <c r="H5" s="3526">
        <v>48</v>
      </c>
      <c r="I5" s="3526">
        <v>1867</v>
      </c>
      <c r="J5" s="3526" t="s">
        <v>3500</v>
      </c>
      <c r="K5" s="3526" t="s">
        <v>3500</v>
      </c>
      <c r="L5" s="3526" t="s">
        <v>3500</v>
      </c>
      <c r="M5" s="3526" t="s">
        <v>3500</v>
      </c>
    </row>
    <row r="6" spans="1:13">
      <c r="A6" s="3526" t="s">
        <v>3529</v>
      </c>
      <c r="B6" s="3526" t="s">
        <v>3502</v>
      </c>
      <c r="C6" s="3526" t="s">
        <v>3517</v>
      </c>
      <c r="D6" s="3526">
        <v>27</v>
      </c>
      <c r="E6" s="3526">
        <v>1805</v>
      </c>
      <c r="F6" s="3526">
        <v>147511</v>
      </c>
      <c r="G6" s="3526">
        <v>26625.27</v>
      </c>
      <c r="H6" s="3526" t="s">
        <v>3500</v>
      </c>
      <c r="I6" s="3526" t="s">
        <v>3500</v>
      </c>
      <c r="J6" s="3526">
        <v>2</v>
      </c>
      <c r="K6" s="3526">
        <v>141</v>
      </c>
      <c r="L6" s="3526">
        <v>129781</v>
      </c>
      <c r="M6" s="3526">
        <v>1834.72</v>
      </c>
    </row>
    <row r="7" spans="1:13">
      <c r="A7" s="3526" t="s">
        <v>3528</v>
      </c>
      <c r="B7" s="3526" t="s">
        <v>3502</v>
      </c>
      <c r="C7" s="3526" t="s">
        <v>3509</v>
      </c>
      <c r="D7" s="3526">
        <v>19</v>
      </c>
      <c r="E7" s="3526">
        <v>4082</v>
      </c>
      <c r="F7" s="3526">
        <v>38737</v>
      </c>
      <c r="G7" s="3526">
        <v>15812.35</v>
      </c>
      <c r="H7" s="3526">
        <v>19</v>
      </c>
      <c r="I7" s="3526">
        <v>4082</v>
      </c>
      <c r="J7" s="3526" t="s">
        <v>3500</v>
      </c>
      <c r="K7" s="3526" t="s">
        <v>3500</v>
      </c>
      <c r="L7" s="3526" t="s">
        <v>3500</v>
      </c>
      <c r="M7" s="3526" t="s">
        <v>3500</v>
      </c>
    </row>
    <row r="8" spans="1:13">
      <c r="A8" s="3526" t="s">
        <v>3527</v>
      </c>
      <c r="B8" s="3526" t="s">
        <v>3502</v>
      </c>
      <c r="C8" s="3526" t="s">
        <v>3526</v>
      </c>
      <c r="D8" s="3526">
        <v>19</v>
      </c>
      <c r="E8" s="3526">
        <v>1517</v>
      </c>
      <c r="F8" s="3526">
        <v>76317</v>
      </c>
      <c r="G8" s="3526">
        <v>11580.66</v>
      </c>
      <c r="H8" s="3526">
        <v>23</v>
      </c>
      <c r="I8" s="3526">
        <v>1993</v>
      </c>
      <c r="J8" s="3526">
        <v>18</v>
      </c>
      <c r="K8" s="3526">
        <v>1449</v>
      </c>
      <c r="L8" s="3526">
        <v>79044</v>
      </c>
      <c r="M8" s="3526">
        <v>11456.65</v>
      </c>
    </row>
    <row r="9" spans="1:13">
      <c r="A9" s="3526" t="s">
        <v>3525</v>
      </c>
      <c r="B9" s="3526" t="s">
        <v>3502</v>
      </c>
      <c r="C9" s="3526" t="s">
        <v>3504</v>
      </c>
      <c r="D9" s="3526">
        <v>19</v>
      </c>
      <c r="E9" s="3526">
        <v>970</v>
      </c>
      <c r="F9" s="3526">
        <v>29885</v>
      </c>
      <c r="G9" s="3526">
        <v>2897.88</v>
      </c>
      <c r="H9" s="3526">
        <v>19</v>
      </c>
      <c r="I9" s="3526">
        <v>970</v>
      </c>
      <c r="J9" s="3526" t="s">
        <v>3500</v>
      </c>
      <c r="K9" s="3526" t="s">
        <v>3500</v>
      </c>
      <c r="L9" s="3526" t="s">
        <v>3500</v>
      </c>
      <c r="M9" s="3526" t="s">
        <v>3500</v>
      </c>
    </row>
    <row r="10" spans="1:13">
      <c r="A10" s="3526" t="s">
        <v>3524</v>
      </c>
      <c r="B10" s="3526" t="s">
        <v>3502</v>
      </c>
      <c r="C10" s="3526" t="s">
        <v>3506</v>
      </c>
      <c r="D10" s="3526">
        <v>17</v>
      </c>
      <c r="E10" s="3526">
        <v>2819</v>
      </c>
      <c r="F10" s="3526">
        <v>61077</v>
      </c>
      <c r="G10" s="3526">
        <v>17215.169999999998</v>
      </c>
      <c r="H10" s="3526" t="s">
        <v>3500</v>
      </c>
      <c r="I10" s="3526" t="s">
        <v>3500</v>
      </c>
      <c r="J10" s="3526">
        <v>16</v>
      </c>
      <c r="K10" s="3526">
        <v>2631</v>
      </c>
      <c r="L10" s="3526">
        <v>63180</v>
      </c>
      <c r="M10" s="3526">
        <v>16621.509999999998</v>
      </c>
    </row>
    <row r="11" spans="1:13">
      <c r="A11" s="3526" t="s">
        <v>3523</v>
      </c>
      <c r="B11" s="3526" t="s">
        <v>3502</v>
      </c>
      <c r="C11" s="3526" t="s">
        <v>3509</v>
      </c>
      <c r="D11" s="3526">
        <v>15</v>
      </c>
      <c r="E11" s="3526">
        <v>49537</v>
      </c>
      <c r="F11" s="3526">
        <v>111657</v>
      </c>
      <c r="G11" s="3526">
        <v>553109.21</v>
      </c>
      <c r="H11" s="3526">
        <v>15</v>
      </c>
      <c r="I11" s="3526">
        <v>49537</v>
      </c>
      <c r="J11" s="3526" t="s">
        <v>3500</v>
      </c>
      <c r="K11" s="3526" t="s">
        <v>3500</v>
      </c>
      <c r="L11" s="3526" t="s">
        <v>3500</v>
      </c>
      <c r="M11" s="3526" t="s">
        <v>3500</v>
      </c>
    </row>
    <row r="12" spans="1:13">
      <c r="A12" s="3526" t="s">
        <v>3522</v>
      </c>
      <c r="B12" s="3526" t="s">
        <v>3502</v>
      </c>
      <c r="C12" s="3526" t="s">
        <v>3517</v>
      </c>
      <c r="D12" s="3526">
        <v>15</v>
      </c>
      <c r="E12" s="3526">
        <v>1165</v>
      </c>
      <c r="F12" s="3526">
        <v>68721</v>
      </c>
      <c r="G12" s="3526">
        <v>8008.22</v>
      </c>
      <c r="H12" s="3526">
        <v>15</v>
      </c>
      <c r="I12" s="3526">
        <v>1165</v>
      </c>
      <c r="J12" s="3526" t="s">
        <v>3500</v>
      </c>
      <c r="K12" s="3526" t="s">
        <v>3500</v>
      </c>
      <c r="L12" s="3526" t="s">
        <v>3500</v>
      </c>
      <c r="M12" s="3526" t="s">
        <v>3500</v>
      </c>
    </row>
    <row r="13" spans="1:13">
      <c r="A13" s="3526" t="s">
        <v>3521</v>
      </c>
      <c r="B13" s="3526" t="s">
        <v>3502</v>
      </c>
      <c r="C13" s="3526" t="s">
        <v>3506</v>
      </c>
      <c r="D13" s="3526">
        <v>12</v>
      </c>
      <c r="E13" s="3526">
        <v>348</v>
      </c>
      <c r="F13" s="3526">
        <v>116397</v>
      </c>
      <c r="G13" s="3526">
        <v>4046.78</v>
      </c>
      <c r="H13" s="3526" t="s">
        <v>3500</v>
      </c>
      <c r="I13" s="3526" t="s">
        <v>3500</v>
      </c>
      <c r="J13" s="3526" t="s">
        <v>3500</v>
      </c>
      <c r="K13" s="3526" t="s">
        <v>3500</v>
      </c>
      <c r="L13" s="3526" t="s">
        <v>3500</v>
      </c>
      <c r="M13" s="3526" t="s">
        <v>3500</v>
      </c>
    </row>
    <row r="14" spans="1:13">
      <c r="A14" s="3526" t="s">
        <v>3520</v>
      </c>
      <c r="B14" s="3526" t="s">
        <v>3502</v>
      </c>
      <c r="C14" s="3526" t="s">
        <v>3519</v>
      </c>
      <c r="D14" s="3526">
        <v>6</v>
      </c>
      <c r="E14" s="3526">
        <v>411</v>
      </c>
      <c r="F14" s="3526">
        <v>72273</v>
      </c>
      <c r="G14" s="3526">
        <v>2971.3</v>
      </c>
      <c r="H14" s="3526" t="s">
        <v>3500</v>
      </c>
      <c r="I14" s="3526" t="s">
        <v>3500</v>
      </c>
      <c r="J14" s="3526">
        <v>2</v>
      </c>
      <c r="K14" s="3526">
        <v>170</v>
      </c>
      <c r="L14" s="3526">
        <v>69030</v>
      </c>
      <c r="M14" s="3526">
        <v>1171.17</v>
      </c>
    </row>
    <row r="15" spans="1:13">
      <c r="A15" s="3526" t="s">
        <v>3518</v>
      </c>
      <c r="B15" s="3526" t="s">
        <v>3502</v>
      </c>
      <c r="C15" s="3526" t="s">
        <v>3517</v>
      </c>
      <c r="D15" s="3526">
        <v>5</v>
      </c>
      <c r="E15" s="3526">
        <v>405</v>
      </c>
      <c r="F15" s="3526">
        <v>82606</v>
      </c>
      <c r="G15" s="3526">
        <v>3347.12</v>
      </c>
      <c r="H15" s="3526" t="s">
        <v>3500</v>
      </c>
      <c r="I15" s="3526" t="s">
        <v>3500</v>
      </c>
      <c r="J15" s="3526" t="s">
        <v>3500</v>
      </c>
      <c r="K15" s="3526" t="s">
        <v>3500</v>
      </c>
      <c r="L15" s="3526" t="s">
        <v>3500</v>
      </c>
      <c r="M15" s="3526" t="s">
        <v>3500</v>
      </c>
    </row>
    <row r="16" spans="1:13">
      <c r="A16" s="3526" t="s">
        <v>3516</v>
      </c>
      <c r="B16" s="3526" t="s">
        <v>3502</v>
      </c>
      <c r="C16" s="3526" t="s">
        <v>3513</v>
      </c>
      <c r="D16" s="3526">
        <v>5</v>
      </c>
      <c r="E16" s="3526">
        <v>485</v>
      </c>
      <c r="F16" s="3526">
        <v>204446</v>
      </c>
      <c r="G16" s="3526">
        <v>9925.23</v>
      </c>
      <c r="H16" s="3526">
        <v>3</v>
      </c>
      <c r="I16" s="3526">
        <v>299</v>
      </c>
      <c r="J16" s="3526" t="s">
        <v>3500</v>
      </c>
      <c r="K16" s="3526" t="s">
        <v>3500</v>
      </c>
      <c r="L16" s="3526" t="s">
        <v>3500</v>
      </c>
      <c r="M16" s="3526" t="s">
        <v>3500</v>
      </c>
    </row>
    <row r="17" spans="1:13">
      <c r="A17" s="3526" t="s">
        <v>3515</v>
      </c>
      <c r="B17" s="3526" t="s">
        <v>3502</v>
      </c>
      <c r="C17" s="3526" t="s">
        <v>3513</v>
      </c>
      <c r="D17" s="3526">
        <v>3</v>
      </c>
      <c r="E17" s="3526">
        <v>183</v>
      </c>
      <c r="F17" s="3526">
        <v>54248</v>
      </c>
      <c r="G17" s="3526">
        <v>993.61</v>
      </c>
      <c r="H17" s="3526" t="s">
        <v>3500</v>
      </c>
      <c r="I17" s="3526" t="s">
        <v>3500</v>
      </c>
      <c r="J17" s="3526" t="s">
        <v>3500</v>
      </c>
      <c r="K17" s="3526" t="s">
        <v>3500</v>
      </c>
      <c r="L17" s="3526" t="s">
        <v>3500</v>
      </c>
      <c r="M17" s="3526" t="s">
        <v>3500</v>
      </c>
    </row>
    <row r="18" spans="1:13">
      <c r="A18" s="3526" t="s">
        <v>3514</v>
      </c>
      <c r="B18" s="3526" t="s">
        <v>3502</v>
      </c>
      <c r="C18" s="3526" t="s">
        <v>3513</v>
      </c>
      <c r="D18" s="3526">
        <v>3</v>
      </c>
      <c r="E18" s="3526">
        <v>477</v>
      </c>
      <c r="F18" s="3526">
        <v>150213</v>
      </c>
      <c r="G18" s="3526">
        <v>7172.54</v>
      </c>
      <c r="H18" s="3526" t="s">
        <v>3500</v>
      </c>
      <c r="I18" s="3526" t="s">
        <v>3500</v>
      </c>
      <c r="J18" s="3526" t="s">
        <v>3500</v>
      </c>
      <c r="K18" s="3526" t="s">
        <v>3500</v>
      </c>
      <c r="L18" s="3526" t="s">
        <v>3500</v>
      </c>
      <c r="M18" s="3526" t="s">
        <v>3500</v>
      </c>
    </row>
    <row r="19" spans="1:13">
      <c r="A19" s="3526" t="s">
        <v>3512</v>
      </c>
      <c r="B19" s="3526" t="s">
        <v>3502</v>
      </c>
      <c r="C19" s="3526" t="s">
        <v>3511</v>
      </c>
      <c r="D19" s="3526">
        <v>2</v>
      </c>
      <c r="E19" s="3526">
        <v>1492</v>
      </c>
      <c r="F19" s="3526">
        <v>179712</v>
      </c>
      <c r="G19" s="3526">
        <v>26820.89</v>
      </c>
      <c r="H19" s="3526" t="s">
        <v>3500</v>
      </c>
      <c r="I19" s="3526" t="s">
        <v>3500</v>
      </c>
      <c r="J19" s="3526" t="s">
        <v>3500</v>
      </c>
      <c r="K19" s="3526" t="s">
        <v>3500</v>
      </c>
      <c r="L19" s="3526" t="s">
        <v>3500</v>
      </c>
      <c r="M19" s="3526" t="s">
        <v>3500</v>
      </c>
    </row>
    <row r="20" spans="1:13">
      <c r="A20" s="3526" t="s">
        <v>3510</v>
      </c>
      <c r="B20" s="3526" t="s">
        <v>3502</v>
      </c>
      <c r="C20" s="3526" t="s">
        <v>3509</v>
      </c>
      <c r="D20" s="3526">
        <v>2</v>
      </c>
      <c r="E20" s="3526">
        <v>17482</v>
      </c>
      <c r="F20" s="3526">
        <v>25000</v>
      </c>
      <c r="G20" s="3526">
        <v>43705.32</v>
      </c>
      <c r="H20" s="3526" t="s">
        <v>3500</v>
      </c>
      <c r="I20" s="3526" t="s">
        <v>3500</v>
      </c>
      <c r="J20" s="3526" t="s">
        <v>3500</v>
      </c>
      <c r="K20" s="3526" t="s">
        <v>3500</v>
      </c>
      <c r="L20" s="3526" t="s">
        <v>3500</v>
      </c>
      <c r="M20" s="3526" t="s">
        <v>3500</v>
      </c>
    </row>
    <row r="21" spans="1:13">
      <c r="A21" s="3526" t="s">
        <v>3508</v>
      </c>
      <c r="B21" s="3526" t="s">
        <v>3502</v>
      </c>
      <c r="C21" s="3526" t="s">
        <v>3506</v>
      </c>
      <c r="D21" s="3526">
        <v>1</v>
      </c>
      <c r="E21" s="3526">
        <v>130</v>
      </c>
      <c r="F21" s="3526">
        <v>64817</v>
      </c>
      <c r="G21" s="3526">
        <v>844.38</v>
      </c>
      <c r="H21" s="3526">
        <v>1</v>
      </c>
      <c r="I21" s="3526">
        <v>130</v>
      </c>
      <c r="J21" s="3526" t="s">
        <v>3500</v>
      </c>
      <c r="K21" s="3526" t="s">
        <v>3500</v>
      </c>
      <c r="L21" s="3526" t="s">
        <v>3500</v>
      </c>
      <c r="M21" s="3526" t="s">
        <v>3500</v>
      </c>
    </row>
    <row r="22" spans="1:13">
      <c r="A22" s="3526" t="s">
        <v>3507</v>
      </c>
      <c r="B22" s="3526" t="s">
        <v>3502</v>
      </c>
      <c r="C22" s="3526" t="s">
        <v>3506</v>
      </c>
      <c r="D22" s="3526">
        <v>1</v>
      </c>
      <c r="E22" s="3526">
        <v>1000</v>
      </c>
      <c r="F22" s="3526">
        <v>42011</v>
      </c>
      <c r="G22" s="3526">
        <v>4200</v>
      </c>
      <c r="H22" s="3526" t="s">
        <v>3500</v>
      </c>
      <c r="I22" s="3526" t="s">
        <v>3500</v>
      </c>
      <c r="J22" s="3526" t="s">
        <v>3500</v>
      </c>
      <c r="K22" s="3526" t="s">
        <v>3500</v>
      </c>
      <c r="L22" s="3526" t="s">
        <v>3500</v>
      </c>
      <c r="M22" s="3526" t="s">
        <v>3500</v>
      </c>
    </row>
    <row r="23" spans="1:13">
      <c r="A23" s="3526" t="s">
        <v>3505</v>
      </c>
      <c r="B23" s="3526" t="s">
        <v>3502</v>
      </c>
      <c r="C23" s="3526" t="s">
        <v>3504</v>
      </c>
      <c r="D23" s="3526">
        <v>1</v>
      </c>
      <c r="E23" s="3526">
        <v>263</v>
      </c>
      <c r="F23" s="3526">
        <v>23491</v>
      </c>
      <c r="G23" s="3526">
        <v>618</v>
      </c>
      <c r="H23" s="3526" t="s">
        <v>3500</v>
      </c>
      <c r="I23" s="3526" t="s">
        <v>3500</v>
      </c>
      <c r="J23" s="3526" t="s">
        <v>3500</v>
      </c>
      <c r="K23" s="3526" t="s">
        <v>3500</v>
      </c>
      <c r="L23" s="3526" t="s">
        <v>3500</v>
      </c>
      <c r="M23" s="3526" t="s">
        <v>3500</v>
      </c>
    </row>
    <row r="24" spans="1:13">
      <c r="A24" s="3526" t="s">
        <v>3503</v>
      </c>
      <c r="B24" s="3526" t="s">
        <v>3502</v>
      </c>
      <c r="C24" s="3526" t="s">
        <v>3501</v>
      </c>
      <c r="D24" s="3526" t="s">
        <v>3500</v>
      </c>
      <c r="E24" s="3526" t="s">
        <v>3500</v>
      </c>
      <c r="F24" s="3526" t="s">
        <v>3500</v>
      </c>
      <c r="G24" s="3526" t="s">
        <v>3500</v>
      </c>
      <c r="H24" s="3526">
        <v>6</v>
      </c>
      <c r="I24" s="3526">
        <v>387</v>
      </c>
      <c r="J24" s="3526" t="s">
        <v>3500</v>
      </c>
      <c r="K24" s="3526" t="s">
        <v>3500</v>
      </c>
      <c r="L24" s="3526" t="s">
        <v>3500</v>
      </c>
      <c r="M24" s="3526" t="s">
        <v>3500</v>
      </c>
    </row>
  </sheetData>
  <mergeCells count="14">
    <mergeCell ref="J2"/>
    <mergeCell ref="K2"/>
    <mergeCell ref="L2"/>
    <mergeCell ref="M2"/>
    <mergeCell ref="A1:M1"/>
    <mergeCell ref="A2"/>
    <mergeCell ref="B2"/>
    <mergeCell ref="C2"/>
    <mergeCell ref="D2"/>
    <mergeCell ref="E2"/>
    <mergeCell ref="F2"/>
    <mergeCell ref="G2"/>
    <mergeCell ref="H2"/>
    <mergeCell ref="I2"/>
  </mergeCells>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2355D-E34F-4DBC-9B55-DD94F247A5B6}">
  <dimension ref="A1:G18"/>
  <sheetViews>
    <sheetView workbookViewId="0">
      <selection activeCell="F1" sqref="F1"/>
    </sheetView>
  </sheetViews>
  <sheetFormatPr defaultRowHeight="13.5"/>
  <cols>
    <col min="1" max="7" width="19.5" style="3528" customWidth="1"/>
    <col min="8" max="16384" width="9" style="3528"/>
  </cols>
  <sheetData>
    <row r="1" spans="1:7" ht="94.5">
      <c r="A1" s="3532" t="s">
        <v>3607</v>
      </c>
      <c r="B1" s="3529" t="s">
        <v>3613</v>
      </c>
      <c r="C1" s="3529" t="s">
        <v>3612</v>
      </c>
      <c r="D1" s="3529" t="s">
        <v>3611</v>
      </c>
      <c r="E1" s="3529" t="s">
        <v>3610</v>
      </c>
      <c r="F1" s="3529" t="s">
        <v>3609</v>
      </c>
      <c r="G1" s="3529" t="s">
        <v>3608</v>
      </c>
    </row>
    <row r="2" spans="1:7">
      <c r="A2" s="3532" t="s">
        <v>3607</v>
      </c>
      <c r="B2" s="3529" t="s">
        <v>673</v>
      </c>
      <c r="C2" s="3529" t="s">
        <v>673</v>
      </c>
      <c r="D2" s="3529" t="s">
        <v>673</v>
      </c>
      <c r="E2" s="3533" t="s">
        <v>3590</v>
      </c>
      <c r="F2" s="3529" t="s">
        <v>673</v>
      </c>
      <c r="G2" s="3529" t="s">
        <v>673</v>
      </c>
    </row>
    <row r="3" spans="1:7">
      <c r="A3" s="3532" t="s">
        <v>3607</v>
      </c>
      <c r="B3" s="3529" t="s">
        <v>3577</v>
      </c>
      <c r="C3" s="3529" t="s">
        <v>3577</v>
      </c>
      <c r="D3" s="3529" t="s">
        <v>3577</v>
      </c>
      <c r="E3" s="3529" t="s">
        <v>3577</v>
      </c>
      <c r="F3" s="3529" t="s">
        <v>3577</v>
      </c>
      <c r="G3" s="3529" t="s">
        <v>3577</v>
      </c>
    </row>
    <row r="4" spans="1:7">
      <c r="A4" s="3529" t="s">
        <v>3545</v>
      </c>
      <c r="B4" s="3529" t="s">
        <v>3606</v>
      </c>
      <c r="C4" s="3529" t="s">
        <v>3605</v>
      </c>
      <c r="D4" s="3529" t="s">
        <v>3604</v>
      </c>
      <c r="E4" s="3529" t="s">
        <v>3603</v>
      </c>
      <c r="F4" s="3529" t="s">
        <v>3602</v>
      </c>
      <c r="G4" s="3529" t="s">
        <v>3602</v>
      </c>
    </row>
    <row r="5" spans="1:7">
      <c r="A5" s="3529" t="s">
        <v>3544</v>
      </c>
      <c r="B5" s="3529" t="s">
        <v>3601</v>
      </c>
      <c r="C5" s="3529" t="s">
        <v>3601</v>
      </c>
      <c r="D5" s="3529" t="s">
        <v>3601</v>
      </c>
      <c r="E5" s="3529" t="s">
        <v>3600</v>
      </c>
      <c r="F5" s="3529" t="s">
        <v>3600</v>
      </c>
      <c r="G5" s="3529" t="s">
        <v>3600</v>
      </c>
    </row>
    <row r="6" spans="1:7">
      <c r="A6" s="3529" t="s">
        <v>3599</v>
      </c>
      <c r="B6" s="3529" t="s">
        <v>3598</v>
      </c>
      <c r="C6" s="3529" t="s">
        <v>3598</v>
      </c>
      <c r="D6" s="3529" t="s">
        <v>3598</v>
      </c>
      <c r="E6" s="3529" t="s">
        <v>3504</v>
      </c>
      <c r="F6" s="3529" t="s">
        <v>3595</v>
      </c>
      <c r="G6" s="3529" t="s">
        <v>3595</v>
      </c>
    </row>
    <row r="7" spans="1:7">
      <c r="A7" s="3529" t="s">
        <v>3597</v>
      </c>
      <c r="B7" s="3529" t="s">
        <v>633</v>
      </c>
      <c r="C7" s="3529" t="s">
        <v>633</v>
      </c>
      <c r="D7" s="3529" t="s">
        <v>633</v>
      </c>
      <c r="E7" s="3529" t="s">
        <v>3596</v>
      </c>
      <c r="F7" s="3529" t="s">
        <v>3595</v>
      </c>
      <c r="G7" s="3529" t="s">
        <v>3595</v>
      </c>
    </row>
    <row r="8" spans="1:7">
      <c r="A8" s="3529" t="s">
        <v>3594</v>
      </c>
      <c r="B8" s="3529" t="s">
        <v>673</v>
      </c>
      <c r="C8" s="3529" t="s">
        <v>673</v>
      </c>
      <c r="D8" s="3529" t="s">
        <v>673</v>
      </c>
      <c r="E8" s="3529" t="s">
        <v>3590</v>
      </c>
      <c r="F8" s="3529" t="s">
        <v>673</v>
      </c>
      <c r="G8" s="3529" t="s">
        <v>673</v>
      </c>
    </row>
    <row r="9" spans="1:7">
      <c r="A9" s="3529" t="s">
        <v>3593</v>
      </c>
      <c r="B9" s="3529" t="s">
        <v>3592</v>
      </c>
      <c r="C9" s="3529" t="s">
        <v>3591</v>
      </c>
      <c r="D9" s="3529" t="s">
        <v>3589</v>
      </c>
      <c r="E9" s="3529" t="s">
        <v>3590</v>
      </c>
      <c r="F9" s="3529" t="s">
        <v>3589</v>
      </c>
      <c r="G9" s="3529" t="s">
        <v>3589</v>
      </c>
    </row>
    <row r="10" spans="1:7">
      <c r="A10" s="3529" t="s">
        <v>3588</v>
      </c>
      <c r="B10" s="3529" t="s">
        <v>633</v>
      </c>
      <c r="C10" s="3529" t="s">
        <v>633</v>
      </c>
      <c r="D10" s="3529" t="s">
        <v>633</v>
      </c>
      <c r="E10" s="3529" t="s">
        <v>3587</v>
      </c>
      <c r="F10" s="3529" t="s">
        <v>3586</v>
      </c>
      <c r="G10" s="3529" t="s">
        <v>3586</v>
      </c>
    </row>
    <row r="11" spans="1:7">
      <c r="A11" s="3529" t="s">
        <v>3585</v>
      </c>
      <c r="B11" s="3529" t="s">
        <v>3583</v>
      </c>
      <c r="C11" s="3529" t="s">
        <v>3584</v>
      </c>
      <c r="D11" s="3529" t="s">
        <v>3583</v>
      </c>
      <c r="E11" s="3529" t="s">
        <v>3582</v>
      </c>
      <c r="F11" s="3529" t="s">
        <v>3581</v>
      </c>
      <c r="G11" s="3529" t="s">
        <v>3581</v>
      </c>
    </row>
    <row r="12" spans="1:7">
      <c r="A12" s="3529" t="s">
        <v>3580</v>
      </c>
      <c r="B12" s="3529" t="s">
        <v>3579</v>
      </c>
      <c r="C12" s="3529" t="s">
        <v>3579</v>
      </c>
      <c r="D12" s="3529" t="s">
        <v>3579</v>
      </c>
      <c r="E12" s="3529" t="s">
        <v>3579</v>
      </c>
      <c r="F12" s="3529" t="s">
        <v>3579</v>
      </c>
      <c r="G12" s="3529" t="s">
        <v>3579</v>
      </c>
    </row>
    <row r="13" spans="1:7">
      <c r="A13" s="3529" t="s">
        <v>3578</v>
      </c>
      <c r="B13" s="3529" t="s">
        <v>3577</v>
      </c>
      <c r="C13" s="3529" t="s">
        <v>3577</v>
      </c>
      <c r="D13" s="3529" t="s">
        <v>3577</v>
      </c>
      <c r="E13" s="3529" t="s">
        <v>3577</v>
      </c>
      <c r="F13" s="3529" t="s">
        <v>3577</v>
      </c>
      <c r="G13" s="3529" t="s">
        <v>3577</v>
      </c>
    </row>
    <row r="14" spans="1:7">
      <c r="A14" s="3529" t="s">
        <v>3576</v>
      </c>
      <c r="B14" s="3529" t="s">
        <v>3575</v>
      </c>
      <c r="C14" s="3529" t="s">
        <v>3574</v>
      </c>
      <c r="D14" s="3529" t="s">
        <v>3573</v>
      </c>
      <c r="E14" s="3529" t="s">
        <v>3572</v>
      </c>
      <c r="F14" s="3529" t="s">
        <v>3571</v>
      </c>
      <c r="G14" s="3529" t="s">
        <v>3570</v>
      </c>
    </row>
    <row r="15" spans="1:7">
      <c r="A15" s="3531" t="s">
        <v>3569</v>
      </c>
      <c r="B15" s="3530" t="s">
        <v>3568</v>
      </c>
      <c r="C15" s="3530" t="s">
        <v>3567</v>
      </c>
      <c r="D15" s="3530" t="s">
        <v>3566</v>
      </c>
      <c r="E15" s="3530" t="s">
        <v>3565</v>
      </c>
      <c r="F15" s="3530" t="s">
        <v>3564</v>
      </c>
      <c r="G15" s="3530" t="s">
        <v>3563</v>
      </c>
    </row>
    <row r="16" spans="1:7">
      <c r="A16" s="3529" t="s">
        <v>3562</v>
      </c>
      <c r="B16" s="3529" t="s">
        <v>3561</v>
      </c>
      <c r="C16" s="3529" t="s">
        <v>3560</v>
      </c>
      <c r="D16" s="3529" t="s">
        <v>3559</v>
      </c>
      <c r="E16" s="3529" t="s">
        <v>3558</v>
      </c>
      <c r="F16" s="3529" t="s">
        <v>3557</v>
      </c>
      <c r="G16" s="3529" t="s">
        <v>3556</v>
      </c>
    </row>
    <row r="17" spans="1:7">
      <c r="A17" s="3529" t="s">
        <v>3555</v>
      </c>
      <c r="B17" s="3529" t="s">
        <v>3554</v>
      </c>
      <c r="C17" s="3529" t="s">
        <v>633</v>
      </c>
      <c r="D17" s="3529" t="s">
        <v>3553</v>
      </c>
      <c r="E17" s="3529" t="s">
        <v>3552</v>
      </c>
      <c r="F17" s="3529" t="s">
        <v>633</v>
      </c>
      <c r="G17" s="3529" t="s">
        <v>633</v>
      </c>
    </row>
    <row r="18" spans="1:7" ht="27">
      <c r="A18" s="3529" t="s">
        <v>3551</v>
      </c>
      <c r="B18" s="3529" t="s">
        <v>3550</v>
      </c>
      <c r="C18" s="3529" t="s">
        <v>633</v>
      </c>
      <c r="D18" s="3529" t="s">
        <v>3549</v>
      </c>
      <c r="E18" s="3529" t="s">
        <v>3548</v>
      </c>
      <c r="F18" s="3529" t="s">
        <v>3547</v>
      </c>
      <c r="G18" s="3529" t="s">
        <v>3547</v>
      </c>
    </row>
  </sheetData>
  <mergeCells count="1">
    <mergeCell ref="A1:A3"/>
  </mergeCells>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62CF7-0FB7-4FF5-9D61-1C715A3C4D7A}">
  <dimension ref="L3:L5"/>
  <sheetViews>
    <sheetView workbookViewId="0">
      <selection activeCell="N9" sqref="N9"/>
    </sheetView>
  </sheetViews>
  <sheetFormatPr defaultRowHeight="13.5"/>
  <sheetData>
    <row r="3" spans="12:12">
      <c r="L3" s="1405">
        <f>36/30</f>
        <v>1.2</v>
      </c>
    </row>
    <row r="5" spans="12:12">
      <c r="L5">
        <f>6351168.63/365/'数据-取费表'!K16</f>
        <v>1.3370962115076357</v>
      </c>
    </row>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869F-1EB0-4FC4-B722-471352F7F2C0}">
  <dimension ref="A1"/>
  <sheetViews>
    <sheetView topLeftCell="A28" workbookViewId="0">
      <selection activeCell="R47" sqref="R47"/>
    </sheetView>
  </sheetViews>
  <sheetFormatPr defaultRowHeight="13.5"/>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86" t="s">
        <v>2598</v>
      </c>
      <c r="B20" s="3479" t="s">
        <v>2619</v>
      </c>
      <c r="C20" s="3169" t="s">
        <v>2430</v>
      </c>
      <c r="D20" s="3169"/>
      <c r="E20" s="2845">
        <v>1</v>
      </c>
      <c r="F20" s="2846" t="s">
        <v>2431</v>
      </c>
      <c r="G20" s="2846"/>
    </row>
    <row r="21" spans="1:13" ht="19.5" customHeight="1">
      <c r="A21" s="3487"/>
      <c r="B21" s="3475"/>
      <c r="C21" s="2858" t="s">
        <v>2432</v>
      </c>
      <c r="D21" s="2858"/>
      <c r="E21" s="2849">
        <v>1</v>
      </c>
      <c r="F21" s="2846" t="s">
        <v>2433</v>
      </c>
      <c r="G21" s="2846"/>
    </row>
    <row r="22" spans="1:13" ht="19.5" customHeight="1">
      <c r="A22" s="3487"/>
      <c r="B22" s="3475"/>
      <c r="C22" s="2858" t="s">
        <v>2434</v>
      </c>
      <c r="D22" s="2858"/>
      <c r="E22" s="2849">
        <v>0.9</v>
      </c>
      <c r="F22" s="2846" t="s">
        <v>2435</v>
      </c>
      <c r="G22" s="2846"/>
    </row>
    <row r="23" spans="1:13" ht="19.5" customHeight="1">
      <c r="A23" s="3487"/>
      <c r="B23" s="3475"/>
      <c r="C23" s="2858" t="s">
        <v>2436</v>
      </c>
      <c r="D23" s="2858"/>
      <c r="E23" s="2849">
        <v>0.9</v>
      </c>
      <c r="F23" s="2846" t="s">
        <v>2437</v>
      </c>
      <c r="G23" s="2846"/>
    </row>
    <row r="24" spans="1:13" ht="19.5" customHeight="1">
      <c r="A24" s="3487"/>
      <c r="B24" s="3475"/>
      <c r="C24" s="2858" t="s">
        <v>2438</v>
      </c>
      <c r="D24" s="2858"/>
      <c r="E24" s="2849">
        <v>0.8</v>
      </c>
      <c r="F24" s="2846" t="s">
        <v>2439</v>
      </c>
      <c r="G24" s="2846"/>
    </row>
    <row r="25" spans="1:13" ht="19.5" customHeight="1">
      <c r="A25" s="3487"/>
      <c r="B25" s="3475"/>
      <c r="C25" s="2858" t="s">
        <v>2440</v>
      </c>
      <c r="D25" s="2858"/>
      <c r="E25" s="2849">
        <v>0.8</v>
      </c>
      <c r="F25" s="2846"/>
      <c r="G25" s="2846"/>
    </row>
    <row r="26" spans="1:13" ht="19.5" customHeight="1">
      <c r="A26" s="3487"/>
      <c r="B26" s="3475"/>
      <c r="C26" s="2858" t="s">
        <v>3401</v>
      </c>
      <c r="D26" s="2858"/>
      <c r="E26" s="2849">
        <v>0.43</v>
      </c>
      <c r="F26" s="2846"/>
      <c r="G26" s="2846"/>
    </row>
    <row r="27" spans="1:13" ht="19.5" customHeight="1" thickBot="1">
      <c r="A27" s="3488"/>
      <c r="B27" s="3480"/>
      <c r="C27" s="3165" t="s">
        <v>3402</v>
      </c>
      <c r="D27" s="3165"/>
      <c r="E27" s="2852">
        <f>E26*0.9</f>
        <v>0.38700000000000001</v>
      </c>
      <c r="F27" s="2846" t="s">
        <v>2441</v>
      </c>
      <c r="G27" s="2846"/>
    </row>
    <row r="28" spans="1:13" ht="19.5" customHeight="1" thickBot="1">
      <c r="A28" s="3164" t="s">
        <v>2620</v>
      </c>
      <c r="B28" s="3163" t="s">
        <v>2619</v>
      </c>
      <c r="C28" s="3166" t="s">
        <v>2621</v>
      </c>
      <c r="D28" s="3167"/>
      <c r="E28" s="3168">
        <v>1</v>
      </c>
      <c r="F28" s="2846" t="s">
        <v>2442</v>
      </c>
      <c r="G28" s="2846"/>
    </row>
    <row r="29" spans="1:13" ht="19.5" customHeight="1">
      <c r="A29" s="3481" t="s">
        <v>2622</v>
      </c>
      <c r="B29" s="3484" t="s">
        <v>2603</v>
      </c>
      <c r="C29" s="2843" t="s">
        <v>2443</v>
      </c>
      <c r="D29" s="2844"/>
      <c r="E29" s="2845">
        <v>1</v>
      </c>
      <c r="F29" s="2846" t="s">
        <v>2444</v>
      </c>
      <c r="G29" s="2846"/>
    </row>
    <row r="30" spans="1:13" ht="19.5" customHeight="1">
      <c r="A30" s="3482"/>
      <c r="B30" s="3478"/>
      <c r="C30" s="2847" t="s">
        <v>2445</v>
      </c>
      <c r="D30" s="2848"/>
      <c r="E30" s="2849">
        <v>1</v>
      </c>
      <c r="F30" s="2846" t="s">
        <v>2446</v>
      </c>
      <c r="G30" s="2846"/>
    </row>
    <row r="31" spans="1:13" ht="19.5" customHeight="1">
      <c r="A31" s="3482"/>
      <c r="B31" s="3478"/>
      <c r="C31" s="2847" t="s">
        <v>2447</v>
      </c>
      <c r="D31" s="2848"/>
      <c r="E31" s="2849">
        <v>0.8</v>
      </c>
      <c r="F31" s="2846" t="s">
        <v>2448</v>
      </c>
      <c r="G31" s="2846"/>
    </row>
    <row r="32" spans="1:13" ht="19.5" customHeight="1">
      <c r="A32" s="3482"/>
      <c r="B32" s="3478"/>
      <c r="C32" s="2847" t="s">
        <v>2449</v>
      </c>
      <c r="D32" s="2848"/>
      <c r="E32" s="2849">
        <v>0.8</v>
      </c>
      <c r="F32" s="2846" t="s">
        <v>2450</v>
      </c>
      <c r="G32" s="2846"/>
    </row>
    <row r="33" spans="1:7" ht="19.5" customHeight="1">
      <c r="A33" s="3482"/>
      <c r="B33" s="3478"/>
      <c r="C33" s="2847" t="s">
        <v>2451</v>
      </c>
      <c r="D33" s="2848"/>
      <c r="E33" s="2849">
        <v>0.8</v>
      </c>
      <c r="F33" s="2846" t="s">
        <v>2452</v>
      </c>
      <c r="G33" s="2846"/>
    </row>
    <row r="34" spans="1:7" ht="19.5" customHeight="1">
      <c r="A34" s="3482"/>
      <c r="B34" s="3478"/>
      <c r="C34" s="2847" t="s">
        <v>2453</v>
      </c>
      <c r="D34" s="2848"/>
      <c r="E34" s="2849">
        <v>0.7</v>
      </c>
      <c r="F34" s="2846" t="s">
        <v>2454</v>
      </c>
      <c r="G34" s="2846"/>
    </row>
    <row r="35" spans="1:7" ht="19.5" customHeight="1">
      <c r="A35" s="3482"/>
      <c r="B35" s="3478"/>
      <c r="C35" s="2847" t="s">
        <v>2455</v>
      </c>
      <c r="D35" s="2848"/>
      <c r="E35" s="2849">
        <v>0.8</v>
      </c>
      <c r="F35" s="2846" t="s">
        <v>2456</v>
      </c>
      <c r="G35" s="2846"/>
    </row>
    <row r="36" spans="1:7" ht="19.5" customHeight="1">
      <c r="A36" s="3482"/>
      <c r="B36" s="3478"/>
      <c r="C36" s="2847" t="s">
        <v>2457</v>
      </c>
      <c r="D36" s="2848"/>
      <c r="E36" s="2849">
        <v>0.6</v>
      </c>
      <c r="F36" s="2846" t="s">
        <v>2458</v>
      </c>
      <c r="G36" s="2846"/>
    </row>
    <row r="37" spans="1:7" ht="19.5" customHeight="1">
      <c r="A37" s="3482"/>
      <c r="B37" s="3478"/>
      <c r="C37" s="2847" t="s">
        <v>2459</v>
      </c>
      <c r="D37" s="2848"/>
      <c r="E37" s="2849">
        <v>0.2</v>
      </c>
      <c r="F37" s="2846" t="s">
        <v>2460</v>
      </c>
      <c r="G37" s="2846"/>
    </row>
    <row r="38" spans="1:7" ht="19.5" customHeight="1">
      <c r="A38" s="3482"/>
      <c r="B38" s="3478"/>
      <c r="C38" s="2847" t="s">
        <v>2461</v>
      </c>
      <c r="D38" s="2848"/>
      <c r="E38" s="2849">
        <v>0.2</v>
      </c>
      <c r="F38" s="2846" t="s">
        <v>2462</v>
      </c>
      <c r="G38" s="2846"/>
    </row>
    <row r="39" spans="1:7" ht="19.5" customHeight="1">
      <c r="A39" s="3482"/>
      <c r="B39" s="3476" t="s">
        <v>2623</v>
      </c>
      <c r="C39" s="2847" t="s">
        <v>2463</v>
      </c>
      <c r="D39" s="2848"/>
      <c r="E39" s="2849">
        <v>0.6</v>
      </c>
      <c r="F39" s="2846" t="s">
        <v>2464</v>
      </c>
      <c r="G39" s="2846"/>
    </row>
    <row r="40" spans="1:7" ht="19.5" customHeight="1">
      <c r="A40" s="3482"/>
      <c r="B40" s="3478"/>
      <c r="C40" s="2847" t="s">
        <v>2465</v>
      </c>
      <c r="D40" s="2848"/>
      <c r="E40" s="2849">
        <v>0.6</v>
      </c>
      <c r="F40" s="2846" t="s">
        <v>2466</v>
      </c>
      <c r="G40" s="2846"/>
    </row>
    <row r="41" spans="1:7" ht="19.5" customHeight="1" thickBot="1">
      <c r="A41" s="3483"/>
      <c r="B41" s="3485"/>
      <c r="C41" s="2850" t="s">
        <v>2467</v>
      </c>
      <c r="D41" s="2851"/>
      <c r="E41" s="2852">
        <v>0.6</v>
      </c>
      <c r="F41" s="2846" t="s">
        <v>2468</v>
      </c>
      <c r="G41" s="2846"/>
    </row>
    <row r="42" spans="1:7" ht="19.5" customHeight="1" thickBot="1">
      <c r="A42" s="2853" t="s">
        <v>2600</v>
      </c>
      <c r="B42" s="2854" t="s">
        <v>2600</v>
      </c>
      <c r="C42" s="2855" t="s">
        <v>2624</v>
      </c>
      <c r="D42" s="2856"/>
      <c r="E42" s="2857">
        <v>1</v>
      </c>
      <c r="F42" s="2846" t="s">
        <v>2469</v>
      </c>
      <c r="G42" s="2846"/>
    </row>
    <row r="43" spans="1:7" ht="19.5" customHeight="1">
      <c r="A43" s="3486" t="s">
        <v>2601</v>
      </c>
      <c r="B43" s="3484" t="s">
        <v>2625</v>
      </c>
      <c r="C43" s="2843" t="s">
        <v>2470</v>
      </c>
      <c r="D43" s="2844"/>
      <c r="E43" s="2845">
        <v>1</v>
      </c>
      <c r="F43" s="2846" t="s">
        <v>2471</v>
      </c>
      <c r="G43" s="2846"/>
    </row>
    <row r="44" spans="1:7" ht="19.5" customHeight="1">
      <c r="A44" s="3487"/>
      <c r="B44" s="3478"/>
      <c r="C44" s="2847" t="s">
        <v>2472</v>
      </c>
      <c r="D44" s="2848"/>
      <c r="E44" s="2849">
        <v>1</v>
      </c>
      <c r="F44" s="2846" t="s">
        <v>2473</v>
      </c>
      <c r="G44" s="2846"/>
    </row>
    <row r="45" spans="1:7" ht="19.5" customHeight="1">
      <c r="A45" s="3487"/>
      <c r="B45" s="3477"/>
      <c r="C45" s="2847" t="s">
        <v>2474</v>
      </c>
      <c r="D45" s="2848"/>
      <c r="E45" s="2849">
        <v>1.5</v>
      </c>
      <c r="F45" s="2846" t="s">
        <v>2475</v>
      </c>
      <c r="G45" s="2846"/>
    </row>
    <row r="46" spans="1:7" ht="19.5" customHeight="1">
      <c r="A46" s="3487"/>
      <c r="B46" s="2858" t="s">
        <v>2626</v>
      </c>
      <c r="C46" s="2847" t="s">
        <v>2627</v>
      </c>
      <c r="D46" s="2848"/>
      <c r="E46" s="2849">
        <v>2</v>
      </c>
      <c r="F46" s="2846" t="s">
        <v>2476</v>
      </c>
      <c r="G46" s="2846"/>
    </row>
    <row r="47" spans="1:7" ht="19.5" customHeight="1">
      <c r="A47" s="3487"/>
      <c r="B47" s="3476" t="s">
        <v>2628</v>
      </c>
      <c r="C47" s="2847" t="s">
        <v>2477</v>
      </c>
      <c r="D47" s="2848"/>
      <c r="E47" s="2849">
        <v>1</v>
      </c>
      <c r="F47" s="2846" t="s">
        <v>2478</v>
      </c>
      <c r="G47" s="2846"/>
    </row>
    <row r="48" spans="1:7" ht="19.5" customHeight="1">
      <c r="A48" s="3487"/>
      <c r="B48" s="3478"/>
      <c r="C48" s="2847" t="s">
        <v>2479</v>
      </c>
      <c r="D48" s="2848"/>
      <c r="E48" s="2849">
        <v>1</v>
      </c>
      <c r="F48" s="2846" t="s">
        <v>2480</v>
      </c>
      <c r="G48" s="2846"/>
    </row>
    <row r="49" spans="1:7" ht="19.5" customHeight="1">
      <c r="A49" s="3487"/>
      <c r="B49" s="3478"/>
      <c r="C49" s="2847" t="s">
        <v>2481</v>
      </c>
      <c r="D49" s="2848"/>
      <c r="E49" s="2849">
        <v>1</v>
      </c>
      <c r="F49" s="2846" t="s">
        <v>2482</v>
      </c>
      <c r="G49" s="2846"/>
    </row>
    <row r="50" spans="1:7" ht="19.5" customHeight="1">
      <c r="A50" s="3487"/>
      <c r="B50" s="3478"/>
      <c r="C50" s="2847" t="s">
        <v>2483</v>
      </c>
      <c r="D50" s="2848"/>
      <c r="E50" s="2849">
        <v>1</v>
      </c>
      <c r="F50" s="2846" t="s">
        <v>2484</v>
      </c>
      <c r="G50" s="2846"/>
    </row>
    <row r="51" spans="1:7" ht="19.5" customHeight="1">
      <c r="A51" s="3487"/>
      <c r="B51" s="3478"/>
      <c r="C51" s="2847" t="s">
        <v>2485</v>
      </c>
      <c r="D51" s="2848"/>
      <c r="E51" s="2849">
        <v>1</v>
      </c>
      <c r="F51" s="2846" t="s">
        <v>2486</v>
      </c>
      <c r="G51" s="2846"/>
    </row>
    <row r="52" spans="1:7" ht="19.5" customHeight="1">
      <c r="A52" s="3487"/>
      <c r="B52" s="3478"/>
      <c r="C52" s="2847" t="s">
        <v>2487</v>
      </c>
      <c r="D52" s="2848"/>
      <c r="E52" s="2849">
        <v>1</v>
      </c>
      <c r="F52" s="2846" t="s">
        <v>2488</v>
      </c>
      <c r="G52" s="2846"/>
    </row>
    <row r="53" spans="1:7" ht="19.5" customHeight="1" thickBot="1">
      <c r="A53" s="3488"/>
      <c r="B53" s="3485"/>
      <c r="C53" s="2850" t="s">
        <v>2489</v>
      </c>
      <c r="D53" s="2851"/>
      <c r="E53" s="2852">
        <v>1</v>
      </c>
      <c r="F53" s="2846" t="s">
        <v>2490</v>
      </c>
      <c r="G53" s="2846"/>
    </row>
    <row r="54" spans="1:7" ht="19.5" customHeight="1">
      <c r="A54" s="2859"/>
      <c r="B54" s="2859"/>
      <c r="C54" s="2859"/>
      <c r="D54" s="2859"/>
      <c r="E54" s="2859"/>
      <c r="F54" s="2859"/>
      <c r="G54" s="2859"/>
    </row>
    <row r="56" spans="1:7" ht="19.5" customHeight="1">
      <c r="A56" s="2860"/>
      <c r="B56" s="2832" t="s">
        <v>2629</v>
      </c>
      <c r="C56" s="2832" t="s">
        <v>2629</v>
      </c>
      <c r="D56" s="2832" t="s">
        <v>2629</v>
      </c>
      <c r="E56" s="2835" t="s">
        <v>2629</v>
      </c>
      <c r="F56" s="2835" t="s">
        <v>2630</v>
      </c>
      <c r="G56" s="2835" t="s">
        <v>2631</v>
      </c>
    </row>
    <row r="57" spans="1:7" ht="19.5" customHeight="1">
      <c r="A57" s="2861"/>
      <c r="B57" s="2835" t="s">
        <v>2598</v>
      </c>
      <c r="C57" s="2835" t="s">
        <v>2598</v>
      </c>
      <c r="D57" s="2835" t="s">
        <v>2598</v>
      </c>
      <c r="E57" s="2832" t="s">
        <v>2599</v>
      </c>
      <c r="F57" s="2832" t="s">
        <v>2601</v>
      </c>
      <c r="G57" s="2832" t="s">
        <v>2632</v>
      </c>
    </row>
    <row r="58" spans="1:7" ht="19.5" customHeight="1">
      <c r="A58" s="2862"/>
      <c r="B58" s="2832">
        <v>1</v>
      </c>
      <c r="C58" s="2832">
        <v>2</v>
      </c>
      <c r="D58" s="2832">
        <v>3</v>
      </c>
      <c r="E58" s="2863" t="s">
        <v>2633</v>
      </c>
      <c r="F58" s="2863" t="s">
        <v>2633</v>
      </c>
      <c r="G58" s="2863" t="s">
        <v>2633</v>
      </c>
    </row>
    <row r="59" spans="1:7" ht="19.5" customHeight="1">
      <c r="A59" s="2864" t="s">
        <v>2586</v>
      </c>
      <c r="B59" s="2832">
        <v>0.7</v>
      </c>
      <c r="C59" s="2832">
        <v>0.4</v>
      </c>
      <c r="D59" s="2832">
        <v>0.3</v>
      </c>
      <c r="E59" s="2863">
        <v>0.3</v>
      </c>
      <c r="F59" s="2832">
        <v>0.3</v>
      </c>
      <c r="G59" s="2832">
        <v>0.2</v>
      </c>
    </row>
    <row r="60" spans="1:7" ht="19.5" customHeight="1">
      <c r="A60" s="2864" t="s">
        <v>2587</v>
      </c>
      <c r="B60" s="2832">
        <v>0.7</v>
      </c>
      <c r="C60" s="2832">
        <v>0.4</v>
      </c>
      <c r="D60" s="2832">
        <v>0.3</v>
      </c>
      <c r="E60" s="2832">
        <v>0.3</v>
      </c>
      <c r="F60" s="2832">
        <v>0.3</v>
      </c>
      <c r="G60" s="2832">
        <v>0.2</v>
      </c>
    </row>
    <row r="61" spans="1:7" ht="19.5" customHeight="1">
      <c r="A61" s="2864" t="s">
        <v>2588</v>
      </c>
      <c r="B61" s="2832">
        <v>0.6</v>
      </c>
      <c r="C61" s="2832">
        <v>0.3</v>
      </c>
      <c r="D61" s="2832">
        <v>0.25</v>
      </c>
      <c r="E61" s="2832">
        <v>0.25</v>
      </c>
      <c r="F61" s="2832">
        <v>0.25</v>
      </c>
      <c r="G61" s="2832">
        <v>0.15</v>
      </c>
    </row>
    <row r="62" spans="1:7" ht="19.5" customHeight="1">
      <c r="A62" s="2864" t="s">
        <v>2589</v>
      </c>
      <c r="B62" s="2832">
        <v>0.6</v>
      </c>
      <c r="C62" s="2832">
        <v>0.3</v>
      </c>
      <c r="D62" s="2832">
        <v>0.25</v>
      </c>
      <c r="E62" s="2832">
        <v>0.25</v>
      </c>
      <c r="F62" s="2832">
        <v>0.25</v>
      </c>
      <c r="G62" s="2832">
        <v>0.15</v>
      </c>
    </row>
    <row r="63" spans="1:7" ht="19.5" customHeight="1">
      <c r="A63" s="2864" t="s">
        <v>2590</v>
      </c>
      <c r="B63" s="2832">
        <v>0.6</v>
      </c>
      <c r="C63" s="2832">
        <v>0.3</v>
      </c>
      <c r="D63" s="2832">
        <v>0.25</v>
      </c>
      <c r="E63" s="2832">
        <v>0.25</v>
      </c>
      <c r="F63" s="2832">
        <v>0.25</v>
      </c>
      <c r="G63" s="2832">
        <v>0.15</v>
      </c>
    </row>
    <row r="64" spans="1:7" ht="19.5" customHeight="1">
      <c r="A64" s="2864" t="s">
        <v>2591</v>
      </c>
      <c r="B64" s="2832">
        <v>0.6</v>
      </c>
      <c r="C64" s="2832">
        <v>0.3</v>
      </c>
      <c r="D64" s="2832">
        <v>0.25</v>
      </c>
      <c r="E64" s="2832">
        <v>0.25</v>
      </c>
      <c r="F64" s="2832">
        <v>0.25</v>
      </c>
      <c r="G64" s="2832">
        <v>0.15</v>
      </c>
    </row>
    <row r="65" spans="1:7" ht="19.5" customHeight="1">
      <c r="A65" s="2864" t="s">
        <v>2592</v>
      </c>
      <c r="B65" s="2832">
        <v>0.6</v>
      </c>
      <c r="C65" s="2832">
        <v>0.3</v>
      </c>
      <c r="D65" s="2832">
        <v>0.25</v>
      </c>
      <c r="E65" s="2832">
        <v>0.25</v>
      </c>
      <c r="F65" s="2832">
        <v>0.25</v>
      </c>
      <c r="G65" s="2832">
        <v>0.15</v>
      </c>
    </row>
    <row r="66" spans="1:7" ht="19.5" customHeight="1">
      <c r="A66" s="2864" t="s">
        <v>2593</v>
      </c>
      <c r="B66" s="2832">
        <v>0.5</v>
      </c>
      <c r="C66" s="2832">
        <v>0.2</v>
      </c>
      <c r="D66" s="2832">
        <v>0.2</v>
      </c>
      <c r="E66" s="2832">
        <v>0.2</v>
      </c>
      <c r="F66" s="2832">
        <v>0.2</v>
      </c>
      <c r="G66" s="2832">
        <v>0.1</v>
      </c>
    </row>
    <row r="67" spans="1:7" ht="19.5" customHeight="1">
      <c r="A67" s="2864" t="s">
        <v>2594</v>
      </c>
      <c r="B67" s="2832">
        <v>0.5</v>
      </c>
      <c r="C67" s="2832">
        <v>0.2</v>
      </c>
      <c r="D67" s="2832">
        <v>0.2</v>
      </c>
      <c r="E67" s="2832">
        <v>0.2</v>
      </c>
      <c r="F67" s="2832">
        <v>0.2</v>
      </c>
      <c r="G67" s="2832">
        <v>0.1</v>
      </c>
    </row>
    <row r="68" spans="1:7" ht="19.5" customHeight="1">
      <c r="A68" s="2864" t="s">
        <v>2595</v>
      </c>
      <c r="B68" s="2832">
        <v>0.5</v>
      </c>
      <c r="C68" s="2832">
        <v>0.2</v>
      </c>
      <c r="D68" s="2832">
        <v>0.2</v>
      </c>
      <c r="E68" s="2832">
        <v>0.2</v>
      </c>
      <c r="F68" s="2832">
        <v>0.2</v>
      </c>
      <c r="G68" s="2832">
        <v>0.1</v>
      </c>
    </row>
    <row r="69" spans="1:7" ht="19.5" customHeight="1">
      <c r="A69" s="2864" t="s">
        <v>2596</v>
      </c>
      <c r="B69" s="2832">
        <v>0.5</v>
      </c>
      <c r="C69" s="2832">
        <v>0.2</v>
      </c>
      <c r="D69" s="2832">
        <v>0.2</v>
      </c>
      <c r="E69" s="2832">
        <v>0.2</v>
      </c>
      <c r="F69" s="2832">
        <v>0.2</v>
      </c>
      <c r="G69" s="2832">
        <v>0.1</v>
      </c>
    </row>
    <row r="70" spans="1:7" ht="19.5" customHeight="1">
      <c r="A70" s="2864" t="s">
        <v>2597</v>
      </c>
      <c r="B70" s="2832">
        <v>0.5</v>
      </c>
      <c r="C70" s="2832">
        <v>0.2</v>
      </c>
      <c r="D70" s="2832">
        <v>0.2</v>
      </c>
      <c r="E70" s="2832">
        <v>0.2</v>
      </c>
      <c r="F70" s="2832">
        <v>0.2</v>
      </c>
      <c r="G70" s="2832">
        <v>0.1</v>
      </c>
    </row>
    <row r="72" spans="1:7" ht="19.5" customHeight="1">
      <c r="A72" s="2846"/>
      <c r="B72" s="2865"/>
      <c r="C72" s="2865"/>
      <c r="D72" s="2865" t="s">
        <v>2634</v>
      </c>
      <c r="E72" s="2865"/>
      <c r="F72" s="2865"/>
    </row>
    <row r="73" spans="1:7" ht="19.5" customHeight="1">
      <c r="A73" s="2858" t="s">
        <v>2635</v>
      </c>
      <c r="B73" s="2858" t="s">
        <v>2636</v>
      </c>
      <c r="C73" s="2858" t="s">
        <v>2637</v>
      </c>
      <c r="D73" s="2858" t="s">
        <v>2638</v>
      </c>
      <c r="E73" s="2858" t="s">
        <v>2639</v>
      </c>
      <c r="F73" s="2858" t="s">
        <v>2640</v>
      </c>
    </row>
    <row r="74" spans="1:7" ht="13.5">
      <c r="A74" s="2858"/>
      <c r="B74" s="2858"/>
      <c r="C74" s="2858" t="s">
        <v>2641</v>
      </c>
      <c r="D74" s="2858"/>
      <c r="E74" s="2858" t="s">
        <v>2612</v>
      </c>
      <c r="F74" s="2858" t="s">
        <v>2612</v>
      </c>
    </row>
    <row r="75" spans="1:7" ht="13.5">
      <c r="A75" s="2858">
        <v>1</v>
      </c>
      <c r="B75" s="3476" t="s">
        <v>2642</v>
      </c>
      <c r="C75" s="2832" t="s">
        <v>2643</v>
      </c>
      <c r="D75" s="2832" t="s">
        <v>2644</v>
      </c>
      <c r="E75" s="2858">
        <v>0.2</v>
      </c>
      <c r="F75" s="2858">
        <v>25</v>
      </c>
    </row>
    <row r="76" spans="1:7" ht="24">
      <c r="A76" s="2858">
        <v>2</v>
      </c>
      <c r="B76" s="3478"/>
      <c r="C76" s="2832" t="s">
        <v>2645</v>
      </c>
      <c r="D76" s="2832" t="s">
        <v>2646</v>
      </c>
      <c r="E76" s="2858">
        <v>0.2</v>
      </c>
      <c r="F76" s="2858">
        <v>25</v>
      </c>
    </row>
    <row r="77" spans="1:7" ht="24">
      <c r="A77" s="2858">
        <v>3</v>
      </c>
      <c r="B77" s="3478"/>
      <c r="C77" s="2832" t="s">
        <v>2647</v>
      </c>
      <c r="D77" s="2832" t="s">
        <v>2648</v>
      </c>
      <c r="E77" s="2858">
        <v>0.2</v>
      </c>
      <c r="F77" s="2858">
        <v>25</v>
      </c>
    </row>
    <row r="78" spans="1:7" ht="13.5">
      <c r="A78" s="2858">
        <v>4</v>
      </c>
      <c r="B78" s="3478"/>
      <c r="C78" s="2832" t="s">
        <v>2649</v>
      </c>
      <c r="D78" s="2832" t="s">
        <v>2650</v>
      </c>
      <c r="E78" s="2858">
        <v>0.15</v>
      </c>
      <c r="F78" s="2858">
        <v>20</v>
      </c>
    </row>
    <row r="79" spans="1:7" ht="24">
      <c r="A79" s="2858">
        <v>5</v>
      </c>
      <c r="B79" s="3478"/>
      <c r="C79" s="2832" t="s">
        <v>2651</v>
      </c>
      <c r="D79" s="2832" t="s">
        <v>2652</v>
      </c>
      <c r="E79" s="2858">
        <v>0.15</v>
      </c>
      <c r="F79" s="2858">
        <v>20</v>
      </c>
    </row>
    <row r="80" spans="1:7" ht="24">
      <c r="A80" s="2858">
        <v>6</v>
      </c>
      <c r="B80" s="3478"/>
      <c r="C80" s="2832" t="s">
        <v>2653</v>
      </c>
      <c r="D80" s="2832" t="s">
        <v>2654</v>
      </c>
      <c r="E80" s="2858">
        <v>0.15</v>
      </c>
      <c r="F80" s="2858">
        <v>20</v>
      </c>
    </row>
    <row r="81" spans="1:6" ht="24">
      <c r="A81" s="2858">
        <v>7</v>
      </c>
      <c r="B81" s="3478"/>
      <c r="C81" s="2832" t="s">
        <v>2655</v>
      </c>
      <c r="D81" s="2832" t="s">
        <v>2656</v>
      </c>
      <c r="E81" s="2858">
        <v>0.15</v>
      </c>
      <c r="F81" s="2858">
        <v>20</v>
      </c>
    </row>
    <row r="82" spans="1:6" ht="24">
      <c r="A82" s="2858">
        <v>8</v>
      </c>
      <c r="B82" s="3478"/>
      <c r="C82" s="2832" t="s">
        <v>2657</v>
      </c>
      <c r="D82" s="2832" t="s">
        <v>2658</v>
      </c>
      <c r="E82" s="2858">
        <v>0.1</v>
      </c>
      <c r="F82" s="2858">
        <v>15</v>
      </c>
    </row>
    <row r="83" spans="1:6" ht="24">
      <c r="A83" s="2858">
        <v>9</v>
      </c>
      <c r="B83" s="3478"/>
      <c r="C83" s="2832" t="s">
        <v>2659</v>
      </c>
      <c r="D83" s="2832" t="s">
        <v>2660</v>
      </c>
      <c r="E83" s="2858">
        <v>0.1</v>
      </c>
      <c r="F83" s="2858">
        <v>15</v>
      </c>
    </row>
    <row r="84" spans="1:6" ht="24">
      <c r="A84" s="2858">
        <v>10</v>
      </c>
      <c r="B84" s="3478"/>
      <c r="C84" s="2832" t="s">
        <v>2661</v>
      </c>
      <c r="D84" s="2832" t="s">
        <v>2662</v>
      </c>
      <c r="E84" s="2858">
        <v>0.1</v>
      </c>
      <c r="F84" s="2858">
        <v>15</v>
      </c>
    </row>
    <row r="85" spans="1:6" ht="24">
      <c r="A85" s="2858">
        <v>11</v>
      </c>
      <c r="B85" s="3478"/>
      <c r="C85" s="2832" t="s">
        <v>2663</v>
      </c>
      <c r="D85" s="2832" t="s">
        <v>2664</v>
      </c>
      <c r="E85" s="2858">
        <v>0.1</v>
      </c>
      <c r="F85" s="2858">
        <v>15</v>
      </c>
    </row>
    <row r="86" spans="1:6" ht="24">
      <c r="A86" s="2858">
        <v>12</v>
      </c>
      <c r="B86" s="3478"/>
      <c r="C86" s="2832" t="s">
        <v>2665</v>
      </c>
      <c r="D86" s="2832" t="s">
        <v>2666</v>
      </c>
      <c r="E86" s="2858">
        <v>0.1</v>
      </c>
      <c r="F86" s="2858">
        <v>15</v>
      </c>
    </row>
    <row r="87" spans="1:6" ht="13.5">
      <c r="A87" s="2858">
        <v>13</v>
      </c>
      <c r="B87" s="3478"/>
      <c r="C87" s="2832" t="s">
        <v>2667</v>
      </c>
      <c r="D87" s="2832" t="s">
        <v>2668</v>
      </c>
      <c r="E87" s="2858">
        <v>0.1</v>
      </c>
      <c r="F87" s="2858">
        <v>15</v>
      </c>
    </row>
    <row r="88" spans="1:6" ht="13.5">
      <c r="A88" s="2858">
        <v>14</v>
      </c>
      <c r="B88" s="3478"/>
      <c r="C88" s="2832" t="s">
        <v>2669</v>
      </c>
      <c r="D88" s="2832" t="s">
        <v>2670</v>
      </c>
      <c r="E88" s="2858">
        <v>0.1</v>
      </c>
      <c r="F88" s="2858">
        <v>15</v>
      </c>
    </row>
    <row r="89" spans="1:6" ht="13.5">
      <c r="A89" s="2858">
        <v>15</v>
      </c>
      <c r="B89" s="3478"/>
      <c r="C89" s="2832" t="s">
        <v>2671</v>
      </c>
      <c r="D89" s="2832" t="s">
        <v>2672</v>
      </c>
      <c r="E89" s="2858">
        <v>0.1</v>
      </c>
      <c r="F89" s="2858">
        <v>15</v>
      </c>
    </row>
    <row r="90" spans="1:6" ht="24">
      <c r="A90" s="2858">
        <v>16</v>
      </c>
      <c r="B90" s="3478"/>
      <c r="C90" s="2832" t="s">
        <v>2673</v>
      </c>
      <c r="D90" s="2832" t="s">
        <v>2674</v>
      </c>
      <c r="E90" s="2858">
        <v>0.1</v>
      </c>
      <c r="F90" s="2858">
        <v>15</v>
      </c>
    </row>
    <row r="91" spans="1:6" ht="24">
      <c r="A91" s="2858">
        <v>17</v>
      </c>
      <c r="B91" s="3477"/>
      <c r="C91" s="2832" t="s">
        <v>2675</v>
      </c>
      <c r="D91" s="2832" t="s">
        <v>2676</v>
      </c>
      <c r="E91" s="2858">
        <v>0.1</v>
      </c>
      <c r="F91" s="2858">
        <v>15</v>
      </c>
    </row>
    <row r="92" spans="1:6" ht="13.5">
      <c r="A92" s="2858">
        <v>18</v>
      </c>
      <c r="B92" s="3476" t="s">
        <v>2677</v>
      </c>
      <c r="C92" s="2832" t="s">
        <v>2678</v>
      </c>
      <c r="D92" s="2832" t="s">
        <v>2679</v>
      </c>
      <c r="E92" s="2858">
        <v>0.2</v>
      </c>
      <c r="F92" s="2858">
        <v>25</v>
      </c>
    </row>
    <row r="93" spans="1:6" ht="24">
      <c r="A93" s="2858">
        <v>19</v>
      </c>
      <c r="B93" s="3478"/>
      <c r="C93" s="2832" t="s">
        <v>2680</v>
      </c>
      <c r="D93" s="2832" t="s">
        <v>2681</v>
      </c>
      <c r="E93" s="2858">
        <v>0.2</v>
      </c>
      <c r="F93" s="2858">
        <v>25</v>
      </c>
    </row>
    <row r="94" spans="1:6" ht="13.5">
      <c r="A94" s="2858">
        <v>20</v>
      </c>
      <c r="B94" s="3478"/>
      <c r="C94" s="2832" t="s">
        <v>2682</v>
      </c>
      <c r="D94" s="2832" t="s">
        <v>2683</v>
      </c>
      <c r="E94" s="2858">
        <v>0.15</v>
      </c>
      <c r="F94" s="2858">
        <v>20</v>
      </c>
    </row>
    <row r="95" spans="1:6" ht="13.5">
      <c r="A95" s="2858">
        <v>21</v>
      </c>
      <c r="B95" s="3478"/>
      <c r="C95" s="2832" t="s">
        <v>2684</v>
      </c>
      <c r="D95" s="2832" t="s">
        <v>2685</v>
      </c>
      <c r="E95" s="2858">
        <v>0.15</v>
      </c>
      <c r="F95" s="2858">
        <v>20</v>
      </c>
    </row>
    <row r="96" spans="1:6" ht="13.5">
      <c r="A96" s="2858">
        <v>22</v>
      </c>
      <c r="B96" s="3478"/>
      <c r="C96" s="2832" t="s">
        <v>2686</v>
      </c>
      <c r="D96" s="2832" t="s">
        <v>2687</v>
      </c>
      <c r="E96" s="2858">
        <v>0.15</v>
      </c>
      <c r="F96" s="2858">
        <v>20</v>
      </c>
    </row>
    <row r="97" spans="1:6" ht="36">
      <c r="A97" s="2858">
        <v>23</v>
      </c>
      <c r="B97" s="3478"/>
      <c r="C97" s="2832" t="s">
        <v>2688</v>
      </c>
      <c r="D97" s="2832" t="s">
        <v>2689</v>
      </c>
      <c r="E97" s="2858">
        <v>0.15</v>
      </c>
      <c r="F97" s="2858">
        <v>20</v>
      </c>
    </row>
    <row r="98" spans="1:6" ht="13.5">
      <c r="A98" s="2858">
        <v>24</v>
      </c>
      <c r="B98" s="3478"/>
      <c r="C98" s="2832" t="s">
        <v>2690</v>
      </c>
      <c r="D98" s="2832" t="s">
        <v>2691</v>
      </c>
      <c r="E98" s="2858">
        <v>0.1</v>
      </c>
      <c r="F98" s="2858">
        <v>15</v>
      </c>
    </row>
    <row r="99" spans="1:6" ht="13.5">
      <c r="A99" s="2858">
        <v>25</v>
      </c>
      <c r="B99" s="3478"/>
      <c r="C99" s="2832" t="s">
        <v>2692</v>
      </c>
      <c r="D99" s="2832" t="s">
        <v>2693</v>
      </c>
      <c r="E99" s="2858">
        <v>0.1</v>
      </c>
      <c r="F99" s="2858">
        <v>15</v>
      </c>
    </row>
    <row r="100" spans="1:6" ht="24">
      <c r="A100" s="2858">
        <v>26</v>
      </c>
      <c r="B100" s="3478"/>
      <c r="C100" s="2832" t="s">
        <v>2694</v>
      </c>
      <c r="D100" s="2832" t="s">
        <v>2695</v>
      </c>
      <c r="E100" s="2858">
        <v>0.1</v>
      </c>
      <c r="F100" s="2858">
        <v>15</v>
      </c>
    </row>
    <row r="101" spans="1:6" ht="24">
      <c r="A101" s="2858">
        <v>27</v>
      </c>
      <c r="B101" s="3478"/>
      <c r="C101" s="2832" t="s">
        <v>2696</v>
      </c>
      <c r="D101" s="2832" t="s">
        <v>2697</v>
      </c>
      <c r="E101" s="2858">
        <v>0.1</v>
      </c>
      <c r="F101" s="2858">
        <v>15</v>
      </c>
    </row>
    <row r="102" spans="1:6" ht="13.5">
      <c r="A102" s="2858">
        <v>28</v>
      </c>
      <c r="B102" s="3478"/>
      <c r="C102" s="2832" t="s">
        <v>2698</v>
      </c>
      <c r="D102" s="2832" t="s">
        <v>2699</v>
      </c>
      <c r="E102" s="2858">
        <v>0.1</v>
      </c>
      <c r="F102" s="2858">
        <v>15</v>
      </c>
    </row>
    <row r="103" spans="1:6" ht="13.5">
      <c r="A103" s="2858">
        <v>29</v>
      </c>
      <c r="B103" s="3478"/>
      <c r="C103" s="2832" t="s">
        <v>2700</v>
      </c>
      <c r="D103" s="2832" t="s">
        <v>2701</v>
      </c>
      <c r="E103" s="2858">
        <v>0.1</v>
      </c>
      <c r="F103" s="2858">
        <v>15</v>
      </c>
    </row>
    <row r="104" spans="1:6" ht="13.5">
      <c r="A104" s="2858">
        <v>30</v>
      </c>
      <c r="B104" s="3478"/>
      <c r="C104" s="2832" t="s">
        <v>2702</v>
      </c>
      <c r="D104" s="2832" t="s">
        <v>2703</v>
      </c>
      <c r="E104" s="2858">
        <v>0.1</v>
      </c>
      <c r="F104" s="2858">
        <v>15</v>
      </c>
    </row>
    <row r="105" spans="1:6" ht="24">
      <c r="A105" s="2858">
        <v>31</v>
      </c>
      <c r="B105" s="3478"/>
      <c r="C105" s="2832" t="s">
        <v>2704</v>
      </c>
      <c r="D105" s="2832" t="s">
        <v>2705</v>
      </c>
      <c r="E105" s="2858">
        <v>0.1</v>
      </c>
      <c r="F105" s="2858">
        <v>15</v>
      </c>
    </row>
    <row r="106" spans="1:6" ht="24">
      <c r="A106" s="2858">
        <v>32</v>
      </c>
      <c r="B106" s="3478"/>
      <c r="C106" s="2832" t="s">
        <v>2706</v>
      </c>
      <c r="D106" s="2832" t="s">
        <v>2707</v>
      </c>
      <c r="E106" s="2858">
        <v>0.1</v>
      </c>
      <c r="F106" s="2858">
        <v>15</v>
      </c>
    </row>
    <row r="107" spans="1:6" ht="24">
      <c r="A107" s="2858">
        <v>33</v>
      </c>
      <c r="B107" s="3478"/>
      <c r="C107" s="2832" t="s">
        <v>2708</v>
      </c>
      <c r="D107" s="2832" t="s">
        <v>2709</v>
      </c>
      <c r="E107" s="2858">
        <v>0.1</v>
      </c>
      <c r="F107" s="2858">
        <v>15</v>
      </c>
    </row>
    <row r="108" spans="1:6" ht="24">
      <c r="A108" s="2858">
        <v>34</v>
      </c>
      <c r="B108" s="3477"/>
      <c r="C108" s="2832" t="s">
        <v>2710</v>
      </c>
      <c r="D108" s="2832" t="s">
        <v>2711</v>
      </c>
      <c r="E108" s="2858">
        <v>0.1</v>
      </c>
      <c r="F108" s="2858">
        <v>15</v>
      </c>
    </row>
    <row r="109" spans="1:6" ht="24">
      <c r="A109" s="2858">
        <v>35</v>
      </c>
      <c r="B109" s="3476" t="s">
        <v>2712</v>
      </c>
      <c r="C109" s="2858" t="s">
        <v>2713</v>
      </c>
      <c r="D109" s="2832" t="s">
        <v>2714</v>
      </c>
      <c r="E109" s="2858">
        <v>0.15</v>
      </c>
      <c r="F109" s="2858">
        <v>20</v>
      </c>
    </row>
    <row r="110" spans="1:6" ht="13.5">
      <c r="A110" s="2858">
        <v>36</v>
      </c>
      <c r="B110" s="3478"/>
      <c r="C110" s="2858" t="s">
        <v>2715</v>
      </c>
      <c r="D110" s="2832" t="s">
        <v>2716</v>
      </c>
      <c r="E110" s="2858">
        <v>0.15</v>
      </c>
      <c r="F110" s="2858">
        <v>20</v>
      </c>
    </row>
    <row r="111" spans="1:6" ht="13.5">
      <c r="A111" s="2858">
        <v>37</v>
      </c>
      <c r="B111" s="3478"/>
      <c r="C111" s="2858" t="s">
        <v>2717</v>
      </c>
      <c r="D111" s="2832" t="s">
        <v>2718</v>
      </c>
      <c r="E111" s="2858">
        <v>0.15</v>
      </c>
      <c r="F111" s="2858">
        <v>20</v>
      </c>
    </row>
    <row r="112" spans="1:6" ht="13.5">
      <c r="A112" s="2858">
        <v>38</v>
      </c>
      <c r="B112" s="3478"/>
      <c r="C112" s="2858" t="s">
        <v>2719</v>
      </c>
      <c r="D112" s="2832" t="s">
        <v>2720</v>
      </c>
      <c r="E112" s="2858">
        <v>0.1</v>
      </c>
      <c r="F112" s="2858">
        <v>15</v>
      </c>
    </row>
    <row r="113" spans="1:6" ht="24">
      <c r="A113" s="2858">
        <v>39</v>
      </c>
      <c r="B113" s="3478"/>
      <c r="C113" s="2858" t="s">
        <v>2721</v>
      </c>
      <c r="D113" s="2832" t="s">
        <v>2722</v>
      </c>
      <c r="E113" s="2858">
        <v>0.1</v>
      </c>
      <c r="F113" s="2858">
        <v>15</v>
      </c>
    </row>
    <row r="114" spans="1:6" ht="24">
      <c r="A114" s="2858">
        <v>40</v>
      </c>
      <c r="B114" s="3477"/>
      <c r="C114" s="2858" t="s">
        <v>2723</v>
      </c>
      <c r="D114" s="2832" t="s">
        <v>2724</v>
      </c>
      <c r="E114" s="2858">
        <v>0.1</v>
      </c>
      <c r="F114" s="2858">
        <v>15</v>
      </c>
    </row>
    <row r="115" spans="1:6" ht="13.5">
      <c r="A115" s="2858">
        <v>41</v>
      </c>
      <c r="B115" s="3475" t="s">
        <v>2725</v>
      </c>
      <c r="C115" s="2858" t="s">
        <v>2726</v>
      </c>
      <c r="D115" s="2832" t="s">
        <v>2727</v>
      </c>
      <c r="E115" s="2858">
        <v>0.1</v>
      </c>
      <c r="F115" s="2858">
        <v>15</v>
      </c>
    </row>
    <row r="116" spans="1:6" ht="13.5">
      <c r="A116" s="2858">
        <v>42</v>
      </c>
      <c r="B116" s="3475"/>
      <c r="C116" s="2858" t="s">
        <v>2728</v>
      </c>
      <c r="D116" s="2832" t="s">
        <v>2729</v>
      </c>
      <c r="E116" s="2858">
        <v>0.1</v>
      </c>
      <c r="F116" s="2858">
        <v>15</v>
      </c>
    </row>
    <row r="117" spans="1:6" ht="24">
      <c r="A117" s="2858">
        <v>43</v>
      </c>
      <c r="B117" s="3475"/>
      <c r="C117" s="2858" t="s">
        <v>2730</v>
      </c>
      <c r="D117" s="2832" t="s">
        <v>2731</v>
      </c>
      <c r="E117" s="2858">
        <v>0.1</v>
      </c>
      <c r="F117" s="2858">
        <v>15</v>
      </c>
    </row>
    <row r="118" spans="1:6" ht="13.5">
      <c r="A118" s="2858">
        <v>44</v>
      </c>
      <c r="B118" s="3476" t="s">
        <v>2732</v>
      </c>
      <c r="C118" s="2858" t="s">
        <v>2733</v>
      </c>
      <c r="D118" s="2832" t="s">
        <v>2734</v>
      </c>
      <c r="E118" s="2858">
        <v>0.1</v>
      </c>
      <c r="F118" s="2858">
        <v>15</v>
      </c>
    </row>
    <row r="119" spans="1:6" ht="24">
      <c r="A119" s="2858">
        <v>45</v>
      </c>
      <c r="B119" s="3477"/>
      <c r="C119" s="2832" t="s">
        <v>2735</v>
      </c>
      <c r="D119" s="2832" t="s">
        <v>2736</v>
      </c>
      <c r="E119" s="2858">
        <v>0.1</v>
      </c>
      <c r="F119" s="2858">
        <v>15</v>
      </c>
    </row>
    <row r="120" spans="1:6" ht="24">
      <c r="A120" s="2858">
        <v>46</v>
      </c>
      <c r="B120" s="3476" t="s">
        <v>2737</v>
      </c>
      <c r="C120" s="2858" t="s">
        <v>2738</v>
      </c>
      <c r="D120" s="2832" t="s">
        <v>2739</v>
      </c>
      <c r="E120" s="2858">
        <v>0.1</v>
      </c>
      <c r="F120" s="2858">
        <v>15</v>
      </c>
    </row>
    <row r="121" spans="1:6" ht="24">
      <c r="A121" s="2858">
        <v>47</v>
      </c>
      <c r="B121" s="3477"/>
      <c r="C121" s="2858" t="s">
        <v>2740</v>
      </c>
      <c r="D121" s="2832" t="s">
        <v>2741</v>
      </c>
      <c r="E121" s="2858">
        <v>0.1</v>
      </c>
      <c r="F121" s="2858">
        <v>15</v>
      </c>
    </row>
    <row r="122" spans="1:6" ht="13.5">
      <c r="A122" s="2858">
        <v>48</v>
      </c>
      <c r="B122" s="3476" t="s">
        <v>2742</v>
      </c>
      <c r="C122" s="2858" t="s">
        <v>2743</v>
      </c>
      <c r="D122" s="2832" t="s">
        <v>2744</v>
      </c>
      <c r="E122" s="2858">
        <v>0.1</v>
      </c>
      <c r="F122" s="2858">
        <v>15</v>
      </c>
    </row>
    <row r="123" spans="1:6" ht="13.5">
      <c r="A123" s="2858">
        <v>49</v>
      </c>
      <c r="B123" s="3477"/>
      <c r="C123" s="2858" t="s">
        <v>2745</v>
      </c>
      <c r="D123" s="2832" t="s">
        <v>2746</v>
      </c>
      <c r="E123" s="2858">
        <v>0.1</v>
      </c>
      <c r="F123" s="2858">
        <v>15</v>
      </c>
    </row>
    <row r="124" spans="1:6" ht="24">
      <c r="A124" s="2858">
        <v>50</v>
      </c>
      <c r="B124" s="3475" t="s">
        <v>2747</v>
      </c>
      <c r="C124" s="2858" t="s">
        <v>2748</v>
      </c>
      <c r="D124" s="2832" t="s">
        <v>2749</v>
      </c>
      <c r="E124" s="2858">
        <v>0.1</v>
      </c>
      <c r="F124" s="2858">
        <v>15</v>
      </c>
    </row>
    <row r="125" spans="1:6" ht="24">
      <c r="A125" s="2858">
        <v>51</v>
      </c>
      <c r="B125" s="3475"/>
      <c r="C125" s="2858" t="s">
        <v>2750</v>
      </c>
      <c r="D125" s="2832" t="s">
        <v>2751</v>
      </c>
      <c r="E125" s="2858">
        <v>0.1</v>
      </c>
      <c r="F125" s="2858">
        <v>15</v>
      </c>
    </row>
    <row r="126" spans="1:6" ht="24">
      <c r="A126" s="2858">
        <v>52</v>
      </c>
      <c r="B126" s="3475" t="s">
        <v>2752</v>
      </c>
      <c r="C126" s="2858" t="s">
        <v>2753</v>
      </c>
      <c r="D126" s="2832" t="s">
        <v>2754</v>
      </c>
      <c r="E126" s="2858">
        <v>0.1</v>
      </c>
      <c r="F126" s="2858">
        <v>15</v>
      </c>
    </row>
    <row r="127" spans="1:6" ht="24">
      <c r="A127" s="2858">
        <v>53</v>
      </c>
      <c r="B127" s="3475"/>
      <c r="C127" s="2858" t="s">
        <v>2755</v>
      </c>
      <c r="D127" s="2832" t="s">
        <v>2756</v>
      </c>
      <c r="E127" s="2858">
        <v>0.1</v>
      </c>
      <c r="F127" s="2858">
        <v>15</v>
      </c>
    </row>
    <row r="128" spans="1:6" ht="13.5">
      <c r="A128" s="2858">
        <v>54</v>
      </c>
      <c r="B128" s="2858" t="s">
        <v>2757</v>
      </c>
      <c r="C128" s="2858" t="s">
        <v>2758</v>
      </c>
      <c r="D128" s="2832" t="s">
        <v>2759</v>
      </c>
      <c r="E128" s="2858">
        <v>0.1</v>
      </c>
      <c r="F128" s="2858">
        <v>15</v>
      </c>
    </row>
    <row r="129" spans="1:6" ht="13.5">
      <c r="A129" s="2858">
        <v>55</v>
      </c>
      <c r="B129" s="3475" t="s">
        <v>2760</v>
      </c>
      <c r="C129" s="2858" t="s">
        <v>2761</v>
      </c>
      <c r="D129" s="2832" t="s">
        <v>2762</v>
      </c>
      <c r="E129" s="2858">
        <v>0.1</v>
      </c>
      <c r="F129" s="2858">
        <v>15</v>
      </c>
    </row>
    <row r="130" spans="1:6" ht="13.5">
      <c r="A130" s="2858">
        <v>56</v>
      </c>
      <c r="B130" s="3475"/>
      <c r="C130" s="2858" t="s">
        <v>2763</v>
      </c>
      <c r="D130" s="2832" t="s">
        <v>2764</v>
      </c>
      <c r="E130" s="2858">
        <v>0.1</v>
      </c>
      <c r="F130" s="2858">
        <v>15</v>
      </c>
    </row>
    <row r="131" spans="1:6" ht="24">
      <c r="A131" s="2858">
        <v>57</v>
      </c>
      <c r="B131" s="3475"/>
      <c r="C131" s="2858" t="s">
        <v>2765</v>
      </c>
      <c r="D131" s="2832" t="s">
        <v>2766</v>
      </c>
      <c r="E131" s="2858">
        <v>0.1</v>
      </c>
      <c r="F131" s="2858">
        <v>15</v>
      </c>
    </row>
    <row r="132" spans="1:6" ht="24">
      <c r="A132" s="2858">
        <v>58</v>
      </c>
      <c r="B132" s="3475" t="s">
        <v>2767</v>
      </c>
      <c r="C132" s="2858" t="s">
        <v>2768</v>
      </c>
      <c r="D132" s="2832" t="s">
        <v>2769</v>
      </c>
      <c r="E132" s="2858">
        <v>0.1</v>
      </c>
      <c r="F132" s="2858">
        <v>15</v>
      </c>
    </row>
    <row r="133" spans="1:6" ht="13.5">
      <c r="A133" s="2858">
        <v>59</v>
      </c>
      <c r="B133" s="3475"/>
      <c r="C133" s="2858" t="s">
        <v>2770</v>
      </c>
      <c r="D133" s="2832" t="s">
        <v>2771</v>
      </c>
      <c r="E133" s="2858">
        <v>0.1</v>
      </c>
      <c r="F133" s="2858">
        <v>15</v>
      </c>
    </row>
    <row r="134" spans="1:6" ht="13.5">
      <c r="A134" s="2858">
        <v>60</v>
      </c>
      <c r="B134" s="3476" t="s">
        <v>2772</v>
      </c>
      <c r="C134" s="2858" t="s">
        <v>2773</v>
      </c>
      <c r="D134" s="2832" t="s">
        <v>2774</v>
      </c>
      <c r="E134" s="2858">
        <v>0.1</v>
      </c>
      <c r="F134" s="2858">
        <v>15</v>
      </c>
    </row>
    <row r="135" spans="1:6" ht="13.5">
      <c r="A135" s="2858">
        <v>61</v>
      </c>
      <c r="B135" s="3477"/>
      <c r="C135" s="2858" t="s">
        <v>2775</v>
      </c>
      <c r="D135" s="2832" t="s">
        <v>2776</v>
      </c>
      <c r="E135" s="2858">
        <v>0.1</v>
      </c>
      <c r="F135" s="2858">
        <v>15</v>
      </c>
    </row>
    <row r="136" spans="1:6" ht="24">
      <c r="A136" s="2858">
        <v>62</v>
      </c>
      <c r="B136" s="2858" t="s">
        <v>2777</v>
      </c>
      <c r="C136" s="2858" t="s">
        <v>2778</v>
      </c>
      <c r="D136" s="2832" t="s">
        <v>2779</v>
      </c>
      <c r="E136" s="2858">
        <v>0.1</v>
      </c>
      <c r="F136" s="2858">
        <v>15</v>
      </c>
    </row>
    <row r="137" spans="1:6" ht="13.5">
      <c r="A137" s="2858">
        <v>63</v>
      </c>
      <c r="B137" s="3475" t="s">
        <v>2780</v>
      </c>
      <c r="C137" s="2858" t="s">
        <v>2781</v>
      </c>
      <c r="D137" s="2832" t="s">
        <v>2782</v>
      </c>
      <c r="E137" s="2858">
        <v>0.1</v>
      </c>
      <c r="F137" s="2858">
        <v>15</v>
      </c>
    </row>
    <row r="138" spans="1:6" ht="13.5">
      <c r="A138" s="2858">
        <v>64</v>
      </c>
      <c r="B138" s="3475"/>
      <c r="C138" s="2858" t="s">
        <v>2783</v>
      </c>
      <c r="D138" s="2832" t="s">
        <v>2784</v>
      </c>
      <c r="E138" s="2858">
        <v>0.1</v>
      </c>
      <c r="F138" s="2858">
        <v>15</v>
      </c>
    </row>
    <row r="139" spans="1:6" ht="13.5">
      <c r="A139" s="2858">
        <v>65</v>
      </c>
      <c r="B139" s="2858" t="s">
        <v>2785</v>
      </c>
      <c r="C139" s="2858" t="s">
        <v>2786</v>
      </c>
      <c r="D139" s="2832" t="s">
        <v>2787</v>
      </c>
      <c r="E139" s="2858">
        <v>0.1</v>
      </c>
      <c r="F139" s="2858">
        <v>15</v>
      </c>
    </row>
    <row r="140" spans="1:6" ht="13.5">
      <c r="A140" s="2858"/>
      <c r="B140" s="2858"/>
      <c r="C140" s="2858"/>
      <c r="D140" s="2858"/>
      <c r="E140" s="2858" t="s">
        <v>2788</v>
      </c>
      <c r="F140" s="2858" t="s">
        <v>2788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0</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34507</v>
      </c>
      <c r="C2" s="2" t="s">
        <v>106</v>
      </c>
      <c r="D2" s="191"/>
      <c r="E2" s="191"/>
      <c r="F2" s="191"/>
      <c r="G2" s="191"/>
    </row>
    <row r="3" spans="1:7" s="192" customFormat="1" ht="18" customHeight="1" thickBot="1">
      <c r="A3" s="195" t="s">
        <v>58</v>
      </c>
      <c r="B3" s="196">
        <f ca="1">ROUND(B2*10000/'数据-汇总表'!E3,0)</f>
        <v>26516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267</v>
      </c>
      <c r="D10" s="795">
        <f>'数据-汇总表'!E6</f>
        <v>13013.62</v>
      </c>
      <c r="E10" s="217">
        <f>'数据-取费表'!B28</f>
        <v>204.97499999999999</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260</v>
      </c>
      <c r="D19" s="204">
        <f>'数据-汇总表'!E3</f>
        <v>13013.62</v>
      </c>
      <c r="E19" s="203">
        <f>'数据-取费表'!B31</f>
        <v>200</v>
      </c>
      <c r="F19" s="223"/>
      <c r="G19" s="1" t="s">
        <v>436</v>
      </c>
    </row>
    <row r="20" spans="1:7" s="206" customFormat="1" ht="13.5" customHeight="1">
      <c r="A20" s="731" t="s">
        <v>419</v>
      </c>
      <c r="B20" s="202" t="s">
        <v>77</v>
      </c>
      <c r="C20" s="224">
        <f>ROUND((C5+C19)*F20,0)</f>
        <v>417</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1721</v>
      </c>
      <c r="D22" s="227">
        <f ca="1">C26</f>
        <v>8.0000000000000004E-4</v>
      </c>
      <c r="E22" s="228" t="s">
        <v>99</v>
      </c>
      <c r="F22" s="229">
        <f ca="1">'数据-取费表'!B40</f>
        <v>3.1899999999999998E-2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1683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21</v>
      </c>
      <c r="D24" s="230"/>
      <c r="E24" s="230"/>
      <c r="F24" s="231"/>
      <c r="G24" s="232" t="s">
        <v>82</v>
      </c>
    </row>
    <row r="25" spans="1:7" s="206" customFormat="1" ht="24">
      <c r="A25" s="734" t="s">
        <v>348</v>
      </c>
      <c r="B25" s="207" t="s">
        <v>420</v>
      </c>
      <c r="C25" s="1042">
        <f ca="1">ROUND(IF('数据-取费表'!B22&lt;=1,C20*F22*'数据-取费表'!B23/2,C20*(POWER((1+F22),'数据-取费表'!B23/2)-1)),0)</f>
        <v>17</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4257</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4257</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29576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5134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4555</v>
      </c>
      <c r="D34" s="209"/>
      <c r="E34" s="212"/>
      <c r="F34" s="249">
        <f>IF('数据-取费表'!B24=0,1,'数据-取费表'!N16)</f>
        <v>1</v>
      </c>
      <c r="G34" s="211" t="s">
        <v>89</v>
      </c>
    </row>
    <row r="35" spans="1:7" ht="13.5" customHeight="1">
      <c r="A35" s="734" t="s">
        <v>351</v>
      </c>
      <c r="B35" s="207" t="s">
        <v>33</v>
      </c>
      <c r="C35" s="212">
        <f>ROUND(C34*F35,0)</f>
        <v>228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260</v>
      </c>
      <c r="D37" s="209">
        <f>'数据-汇总表'!E3</f>
        <v>13013.62</v>
      </c>
      <c r="E37" s="241">
        <f>'数据-取费表'!B35</f>
        <v>200</v>
      </c>
      <c r="F37" s="251"/>
      <c r="G37" s="253" t="s">
        <v>92</v>
      </c>
    </row>
    <row r="38" spans="1:7" ht="13.5" customHeight="1">
      <c r="A38" s="734" t="s">
        <v>354</v>
      </c>
      <c r="B38" s="207" t="s">
        <v>36</v>
      </c>
      <c r="C38" s="212">
        <f>ROUND(C34*F38,0)</f>
        <v>91</v>
      </c>
      <c r="D38" s="212"/>
      <c r="E38" s="212"/>
      <c r="F38" s="251">
        <f>'数据-取费表'!B36</f>
        <v>0.02</v>
      </c>
      <c r="G38" s="211" t="s">
        <v>90</v>
      </c>
    </row>
    <row r="39" spans="1:7" s="206" customFormat="1" ht="13.5" customHeight="1">
      <c r="A39" s="731" t="s">
        <v>338</v>
      </c>
      <c r="B39" s="202" t="s">
        <v>77</v>
      </c>
      <c r="C39" s="224">
        <f>ROUND(C33*F20,0)</f>
        <v>103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210</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206</v>
      </c>
      <c r="D42" s="230"/>
      <c r="E42" s="230"/>
      <c r="F42" s="231"/>
      <c r="G42" s="3352" t="s">
        <v>94</v>
      </c>
    </row>
    <row r="43" spans="1:7" ht="13.5" customHeight="1">
      <c r="A43" s="734" t="s">
        <v>347</v>
      </c>
      <c r="B43" s="207" t="s">
        <v>426</v>
      </c>
      <c r="C43" s="230">
        <f ca="1">ROUND(IF('数据-取费表'!B22&lt;=1,C39*F22*'数据-取费表'!B21/2,C39*(POWER((1+F22),'数据-取费表'!B21/2)-1)),0)</f>
        <v>4</v>
      </c>
      <c r="D43" s="230"/>
      <c r="E43" s="230"/>
      <c r="F43" s="231"/>
      <c r="G43" s="3353"/>
    </row>
    <row r="44" spans="1:7" ht="13.5" customHeight="1">
      <c r="A44" s="734" t="s">
        <v>348</v>
      </c>
      <c r="B44" s="207" t="s">
        <v>428</v>
      </c>
      <c r="C44" s="230">
        <f ca="1">ROUND(IF('数据-取费表'!B22&lt;=1,C40*F22*'数据-取费表'!B21/2,C40*(POWER((1+F22),'数据-取费表'!B21/2)-1)),4)</f>
        <v>8.0000000000000004E-4</v>
      </c>
      <c r="D44" s="230"/>
      <c r="E44" s="230"/>
      <c r="F44" s="231"/>
      <c r="G44" s="3354"/>
    </row>
    <row r="45" spans="1:7" s="206" customFormat="1" ht="13.5" customHeight="1">
      <c r="A45" s="731" t="s">
        <v>341</v>
      </c>
      <c r="B45" s="236" t="s">
        <v>85</v>
      </c>
      <c r="C45" s="237">
        <f>C46</f>
        <v>1047</v>
      </c>
      <c r="D45" s="227">
        <f>C47</f>
        <v>4.0000000000000001E-3</v>
      </c>
      <c r="E45" s="228" t="s">
        <v>102</v>
      </c>
      <c r="F45" s="238"/>
      <c r="G45" s="239" t="s">
        <v>434</v>
      </c>
    </row>
    <row r="46" spans="1:7" s="206" customFormat="1" ht="13.5" customHeight="1">
      <c r="A46" s="734" t="s">
        <v>349</v>
      </c>
      <c r="B46" s="240" t="s">
        <v>427</v>
      </c>
      <c r="C46" s="241">
        <f>ROUND((C33+C39)*F27,0)</f>
        <v>1047</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7044</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4931</v>
      </c>
      <c r="D51" s="224"/>
      <c r="E51" s="224"/>
      <c r="F51" s="256"/>
      <c r="G51" s="226" t="s">
        <v>37</v>
      </c>
    </row>
    <row r="52" spans="1:7" s="200" customFormat="1" ht="16.5" thickBot="1">
      <c r="A52" s="257" t="s">
        <v>38</v>
      </c>
      <c r="B52" s="258"/>
      <c r="C52" s="259">
        <f ca="1">C31+C51</f>
        <v>34507</v>
      </c>
      <c r="D52" s="258"/>
      <c r="E52" s="258"/>
      <c r="F52" s="258"/>
      <c r="G52" s="260"/>
    </row>
    <row r="55" spans="1:7" ht="15">
      <c r="B55" s="262" t="s">
        <v>39</v>
      </c>
      <c r="C55" s="263"/>
    </row>
    <row r="56" spans="1:7">
      <c r="B56" s="265" t="s">
        <v>40</v>
      </c>
      <c r="C56" s="266">
        <f ca="1">ROUND(C51/C52,3)</f>
        <v>0.14299999999999999</v>
      </c>
    </row>
    <row r="57" spans="1:7">
      <c r="B57" s="265" t="s">
        <v>41</v>
      </c>
      <c r="C57" s="267">
        <f ca="1">1-C56</f>
        <v>0.85699999999999998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9" t="s">
        <v>3172</v>
      </c>
      <c r="B1" s="3489"/>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490" t="s">
        <v>3223</v>
      </c>
      <c r="B1" s="3490"/>
      <c r="C1" s="3490"/>
      <c r="D1" s="3490"/>
      <c r="E1" s="3490"/>
      <c r="F1" s="3491"/>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8">
        <f>基准地价修正!G23</f>
        <v>45902</v>
      </c>
      <c r="B1" s="2930" t="s">
        <v>3367</v>
      </c>
      <c r="C1" s="2931"/>
      <c r="D1" s="2931"/>
      <c r="E1" s="2931"/>
      <c r="F1" s="2931"/>
      <c r="G1" s="2931"/>
      <c r="H1" s="2931"/>
      <c r="I1" s="2931"/>
      <c r="J1" s="2897"/>
      <c r="K1" s="2931" t="s">
        <v>454</v>
      </c>
      <c r="L1" s="2931"/>
      <c r="M1" s="2931"/>
      <c r="N1" s="2931"/>
      <c r="O1" s="2931"/>
      <c r="P1" s="2931"/>
      <c r="Q1" s="2897"/>
      <c r="R1" s="3492" t="s">
        <v>456</v>
      </c>
      <c r="S1" s="3493"/>
      <c r="T1" s="3493"/>
      <c r="U1" s="3493"/>
      <c r="V1" s="3493"/>
      <c r="W1" s="3493"/>
      <c r="X1" s="2897"/>
      <c r="Y1" s="3492" t="s">
        <v>457</v>
      </c>
      <c r="Z1" s="3493"/>
      <c r="AA1" s="3493"/>
      <c r="AB1" s="3493"/>
      <c r="AC1" s="3493"/>
      <c r="AD1" s="3493"/>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3394</v>
      </c>
      <c r="AG2" t="s">
        <v>673</v>
      </c>
      <c r="AH2" t="s">
        <v>21</v>
      </c>
      <c r="AI2" t="s">
        <v>3395</v>
      </c>
      <c r="AJ2" t="s">
        <v>3</v>
      </c>
      <c r="AK2" t="s">
        <v>3396</v>
      </c>
      <c r="AM2" t="s">
        <v>3394</v>
      </c>
      <c r="AN2" t="s">
        <v>673</v>
      </c>
      <c r="AO2" t="s">
        <v>21</v>
      </c>
      <c r="AP2" t="s">
        <v>3395</v>
      </c>
      <c r="AQ2" t="s">
        <v>3</v>
      </c>
      <c r="AR2" t="s">
        <v>3396</v>
      </c>
    </row>
    <row r="3" spans="1:44" s="2887" customFormat="1" ht="12.75">
      <c r="A3" s="2885" t="s">
        <v>2810</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2.75">
      <c r="A6" s="2040" t="s">
        <v>3392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3391</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3399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2.75">
      <c r="A9" s="2040" t="s">
        <v>3398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2.75">
      <c r="A10" s="2040" t="s">
        <v>3371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2.75">
      <c r="A11" s="2906" t="s">
        <v>3365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2.75">
      <c r="A12" s="2906" t="s">
        <v>3364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2.75">
      <c r="A13" s="2906" t="s">
        <v>3360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2.75">
      <c r="A14" s="2906" t="s">
        <v>3359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2.75">
      <c r="A15" s="2906" t="s">
        <v>3357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2.75">
      <c r="A16" s="2906" t="s">
        <v>3356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2.75">
      <c r="A17" s="2906" t="s">
        <v>3355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2.75">
      <c r="A18" s="2906" t="s">
        <v>3353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2.75">
      <c r="A19" s="2906" t="s">
        <v>3344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4.25" thickTop="1"/>
    <row r="26" spans="1:44">
      <c r="A26" s="3144" t="s">
        <v>3370</v>
      </c>
    </row>
    <row r="27" spans="1:44">
      <c r="I27" s="1405" t="s">
        <v>2816</v>
      </c>
    </row>
    <row r="29" spans="1:44" s="2009" customFormat="1" ht="12.75">
      <c r="B29" s="2930" t="s">
        <v>3368</v>
      </c>
      <c r="C29" s="2931"/>
      <c r="D29" s="2931"/>
      <c r="E29" s="2931"/>
      <c r="F29" s="2931"/>
      <c r="G29" s="2931"/>
      <c r="H29" s="2931"/>
      <c r="I29" s="2931"/>
      <c r="J29" s="2897"/>
      <c r="K29" s="2931" t="s">
        <v>2817</v>
      </c>
      <c r="L29" s="2931"/>
      <c r="M29" s="2931"/>
      <c r="N29" s="2931"/>
      <c r="O29" s="2931"/>
      <c r="P29" s="2931"/>
      <c r="Q29" s="2897"/>
      <c r="R29" s="3492" t="s">
        <v>2818</v>
      </c>
      <c r="S29" s="3493"/>
      <c r="T29" s="3493"/>
      <c r="U29" s="3493"/>
      <c r="V29" s="3493"/>
      <c r="W29" s="3493"/>
      <c r="X29" s="2897"/>
      <c r="Y29" s="3492" t="s">
        <v>2819</v>
      </c>
      <c r="Z29" s="3493"/>
      <c r="AA29" s="3493"/>
      <c r="AB29" s="3493"/>
      <c r="AC29" s="3493"/>
      <c r="AD29" s="3493"/>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3395</v>
      </c>
      <c r="AJ30"/>
      <c r="AK30" t="s">
        <v>3396</v>
      </c>
      <c r="AN30" t="s">
        <v>673</v>
      </c>
      <c r="AO30" t="s">
        <v>21</v>
      </c>
      <c r="AP30" t="s">
        <v>3395</v>
      </c>
      <c r="AQ30"/>
      <c r="AR30" t="s">
        <v>3396</v>
      </c>
    </row>
    <row r="31" spans="1:44" s="2887" customFormat="1" ht="12.75">
      <c r="A31" s="2885" t="s">
        <v>2825</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2.75">
      <c r="A34" s="2040" t="s">
        <v>3392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2.75">
      <c r="A35" s="2908" t="s">
        <v>3400</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2.75">
      <c r="A37" s="2040" t="s">
        <v>3398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2.75">
      <c r="A38" s="2040" t="s">
        <v>3362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2.75">
      <c r="A39" s="2906" t="s">
        <v>3366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2.75">
      <c r="A40" s="2906" t="s">
        <v>3363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2.75">
      <c r="A41" s="2906" t="s">
        <v>3361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2.75">
      <c r="A42" s="2906" t="s">
        <v>3359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2.75">
      <c r="A43" s="2906" t="s">
        <v>3358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2.75">
      <c r="A44" s="2906" t="s">
        <v>3356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2.75">
      <c r="A45" s="2906" t="s">
        <v>3355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2.75">
      <c r="A46" s="2906" t="s">
        <v>3354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2.75">
      <c r="A47" s="2906" t="s">
        <v>3344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4.25" thickTop="1"/>
    <row r="54" spans="1:44">
      <c r="A54" s="3144" t="s">
        <v>3369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8" t="str">
        <f>IF(项目基本情况!B9="房地产市场价值","估价结果一览表","结果表-2")</f>
        <v>结果表-2</v>
      </c>
      <c r="B1" s="3188"/>
      <c r="C1" s="3188"/>
      <c r="D1" s="3188"/>
      <c r="E1" s="3188"/>
      <c r="F1" s="3188"/>
      <c r="G1" s="3188"/>
      <c r="H1" s="3188"/>
      <c r="I1" s="3188"/>
    </row>
    <row r="2" spans="1:9" ht="30" customHeight="1" thickTop="1">
      <c r="A2" s="3189" t="s">
        <v>928</v>
      </c>
      <c r="B2" s="3189" t="s">
        <v>929</v>
      </c>
      <c r="C2" s="3189" t="s">
        <v>930</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
      <c r="A3" s="3184"/>
      <c r="B3" s="3184"/>
      <c r="C3" s="3184"/>
      <c r="D3" s="801" t="s">
        <v>925</v>
      </c>
      <c r="E3" s="801" t="s">
        <v>931</v>
      </c>
      <c r="F3" s="801" t="s">
        <v>925</v>
      </c>
      <c r="G3" s="801" t="s">
        <v>926</v>
      </c>
      <c r="H3" s="801" t="s">
        <v>925</v>
      </c>
      <c r="I3" s="801" t="s">
        <v>926</v>
      </c>
    </row>
    <row r="4" spans="1:9" ht="15">
      <c r="A4" s="1403" t="str">
        <f>项目基本情况!S2</f>
        <v>房地产</v>
      </c>
      <c r="B4" s="801">
        <f>项目基本情况!C17</f>
        <v>13013.62</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4" t="s">
        <v>927</v>
      </c>
      <c r="B5" s="3184"/>
      <c r="C5" s="3184"/>
      <c r="D5" s="3184" t="e">
        <f ca="1">结果表!D119</f>
        <v>#REF!</v>
      </c>
      <c r="E5" s="3184"/>
      <c r="F5" s="3184" t="e">
        <f ca="1">结果表!F119</f>
        <v>#REF!</v>
      </c>
      <c r="G5" s="3184"/>
      <c r="H5" s="3184" t="e">
        <f ca="1">结果表!H119</f>
        <v>#REF!</v>
      </c>
      <c r="I5" s="3184"/>
    </row>
    <row r="6" spans="1:9" ht="15.75">
      <c r="A6" s="3183" t="str">
        <f>结果表!A120</f>
        <v>估价师知悉的法定优先受偿款</v>
      </c>
      <c r="B6" s="3183"/>
      <c r="C6" s="3183"/>
      <c r="D6" s="3183">
        <f>结果表!D120</f>
        <v>0</v>
      </c>
      <c r="E6" s="3183"/>
      <c r="F6" s="3183"/>
      <c r="G6" s="3183"/>
      <c r="H6" s="3183"/>
      <c r="I6" s="3183"/>
    </row>
    <row r="7" spans="1:9" ht="15">
      <c r="A7" s="3184" t="s">
        <v>927</v>
      </c>
      <c r="B7" s="3184"/>
      <c r="C7" s="3184"/>
      <c r="D7" s="3185" t="str">
        <f>结果表!D121</f>
        <v>零元整</v>
      </c>
      <c r="E7" s="3186"/>
      <c r="F7" s="3186"/>
      <c r="G7" s="3186"/>
      <c r="H7" s="3186"/>
      <c r="I7" s="3187"/>
    </row>
    <row r="8" spans="1:9" ht="15.75">
      <c r="A8" s="3183" t="str">
        <f>结果表!A122</f>
        <v>房地产抵押价值</v>
      </c>
      <c r="B8" s="3183"/>
      <c r="C8" s="3183"/>
      <c r="D8" s="3183" t="e">
        <f ca="1">结果表!D122</f>
        <v>#REF!</v>
      </c>
      <c r="E8" s="3183"/>
      <c r="F8" s="3183"/>
      <c r="G8" s="3183"/>
      <c r="H8" s="3183"/>
      <c r="I8" s="3183"/>
    </row>
    <row r="9" spans="1:9" ht="15">
      <c r="A9" s="3184" t="s">
        <v>927</v>
      </c>
      <c r="B9" s="3184"/>
      <c r="C9" s="3184"/>
      <c r="D9" s="3184" t="e">
        <f ca="1">结果表!D123</f>
        <v>#REF!</v>
      </c>
      <c r="E9" s="3184"/>
      <c r="F9" s="3184"/>
      <c r="G9" s="3184"/>
      <c r="H9" s="3184"/>
      <c r="I9" s="3184"/>
    </row>
    <row r="10" spans="1:9" ht="15.75">
      <c r="A10" s="3183" t="str">
        <f>结果表!A124</f>
        <v/>
      </c>
      <c r="B10" s="3183"/>
      <c r="C10" s="3183"/>
      <c r="D10" s="3183" t="str">
        <f>结果表!D124</f>
        <v>——</v>
      </c>
      <c r="E10" s="3183"/>
      <c r="F10" s="3183"/>
      <c r="G10" s="3183"/>
      <c r="H10" s="3183"/>
      <c r="I10" s="3183"/>
    </row>
    <row r="11" spans="1:9" ht="15">
      <c r="A11" s="3184" t="s">
        <v>927</v>
      </c>
      <c r="B11" s="3184"/>
      <c r="C11" s="3184"/>
      <c r="D11" s="3184" t="e">
        <f>结果表!D125</f>
        <v>#VALUE!</v>
      </c>
      <c r="E11" s="3184"/>
      <c r="F11" s="3184"/>
      <c r="G11" s="3184"/>
      <c r="H11" s="3184"/>
      <c r="I11" s="3184"/>
    </row>
    <row r="12" spans="1:9" ht="15.75">
      <c r="A12" s="3183" t="str">
        <f>结果表!A126</f>
        <v/>
      </c>
      <c r="B12" s="3183"/>
      <c r="C12" s="3183"/>
      <c r="D12" s="3183" t="str">
        <f>结果表!D126</f>
        <v>——</v>
      </c>
      <c r="E12" s="3183"/>
      <c r="F12" s="3183"/>
      <c r="G12" s="3183"/>
      <c r="H12" s="3183"/>
      <c r="I12" s="3183"/>
    </row>
    <row r="13" spans="1:9" ht="15.75" thickBot="1">
      <c r="A13" s="3181" t="s">
        <v>927</v>
      </c>
      <c r="B13" s="3181"/>
      <c r="C13" s="3181"/>
      <c r="D13" s="3181" t="e">
        <f>结果表!D127</f>
        <v>#VALUE!</v>
      </c>
      <c r="E13" s="3181"/>
      <c r="F13" s="3181"/>
      <c r="G13" s="3181"/>
      <c r="H13" s="3181"/>
      <c r="I13" s="3181"/>
    </row>
    <row r="14" spans="1:9" ht="15" thickTop="1">
      <c r="A14" s="3182" t="s">
        <v>932</v>
      </c>
      <c r="B14" s="3182"/>
      <c r="C14" s="3182"/>
      <c r="D14" s="3182"/>
      <c r="E14" s="3182"/>
      <c r="F14" s="3182"/>
      <c r="G14" s="3182"/>
      <c r="H14" s="3182"/>
      <c r="I14" s="318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5" t="s">
        <v>2830</v>
      </c>
      <c r="B1" s="3505"/>
      <c r="C1" s="3505"/>
      <c r="D1" s="3505"/>
      <c r="E1" s="3505"/>
      <c r="F1" s="3505"/>
      <c r="G1" s="3506"/>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503"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504"/>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45902</v>
      </c>
      <c r="D1" s="1217" t="s">
        <v>603</v>
      </c>
      <c r="E1" s="1212">
        <f>'数据-取费表'!B22</f>
        <v>2.5</v>
      </c>
      <c r="F1" s="1217" t="s">
        <v>604</v>
      </c>
      <c r="G1" s="1213">
        <f ca="1">IF(OR(C1&lt;C27,E1&lt;=1),INDIRECT("d"&amp;$K$1)/100,ROUND((D5+(E1-C5)*(D7-D5)/(C7-C5))/100,4))</f>
        <v>3.1899999999999998E-2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6" t="s">
        <v>949</v>
      </c>
      <c r="B1" s="3196"/>
      <c r="C1" s="3196"/>
      <c r="D1" s="3196"/>
    </row>
    <row r="2" spans="1:4" ht="18">
      <c r="A2" s="3197" t="s">
        <v>933</v>
      </c>
      <c r="B2" s="3197"/>
      <c r="C2" s="3197"/>
      <c r="D2" s="319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7" t="s">
        <v>939</v>
      </c>
      <c r="B6" s="3197"/>
      <c r="C6" s="3197"/>
      <c r="D6" s="319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8" t="s">
        <v>942</v>
      </c>
      <c r="B11" s="3190"/>
      <c r="C11" s="3190"/>
      <c r="D11" s="3190"/>
    </row>
    <row r="12" spans="1:4" ht="15.75">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0" t="str">
        <f>IF(项目基本情况!B8="抵押","4.本次评估估价师所知悉的法定优先受偿款情况说明如下：","——")</f>
        <v>4.本次评估估价师所知悉的法定优先受偿款情况说明如下：</v>
      </c>
      <c r="B14" s="3195"/>
      <c r="C14" s="3195"/>
      <c r="D14" s="3195"/>
    </row>
    <row r="15" spans="1:4" ht="42" customHeight="1">
      <c r="A15" s="31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0"/>
      <c r="C15" s="3190"/>
      <c r="D15" s="3190"/>
    </row>
    <row r="16" spans="1:4" ht="30" customHeight="1">
      <c r="A16" s="3192" t="s">
        <v>943</v>
      </c>
      <c r="B16" s="3192"/>
      <c r="C16" s="3192"/>
      <c r="D16" s="3192"/>
    </row>
    <row r="17" spans="1:4" ht="144" customHeight="1">
      <c r="A17" s="3192" t="s">
        <v>944</v>
      </c>
      <c r="B17" s="3192"/>
      <c r="C17" s="3192"/>
      <c r="D17" s="3192"/>
    </row>
    <row r="18" spans="1:4" ht="15.75" customHeight="1">
      <c r="A18" s="3190" t="str">
        <f>IF(项目基本情况!B8="抵押",结果表!K120,"——")</f>
        <v>故，本次评估不存在估价师知悉的法定优先受偿款</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0"/>
      <c r="C20" s="3190"/>
      <c r="D20" s="3190"/>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3"/>
      <c r="C21" s="3193"/>
      <c r="D21" s="3193"/>
    </row>
    <row r="22" spans="1:4" ht="18.75" customHeight="1">
      <c r="A22" s="3194" t="s">
        <v>945</v>
      </c>
      <c r="B22" s="3194"/>
      <c r="C22" s="3194"/>
      <c r="D22" s="319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1">
        <v>42551</v>
      </c>
      <c r="D31" s="31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4" t="s">
        <v>956</v>
      </c>
      <c r="B15" s="3199" t="s">
        <v>109</v>
      </c>
      <c r="C15" s="3200"/>
    </row>
    <row r="16" spans="1:7" ht="13.5">
      <c r="A16" s="3205"/>
      <c r="B16" s="3199" t="s">
        <v>42</v>
      </c>
      <c r="C16" s="3200"/>
    </row>
    <row r="17" spans="1:3" ht="13.5">
      <c r="A17" s="3205"/>
      <c r="B17" s="3202" t="s">
        <v>957</v>
      </c>
      <c r="C17" s="1429" t="s">
        <v>956</v>
      </c>
    </row>
    <row r="18" spans="1:3" ht="13.5">
      <c r="A18" s="3205"/>
      <c r="B18" s="3202"/>
      <c r="C18" s="1429" t="s">
        <v>958</v>
      </c>
    </row>
    <row r="19" spans="1:3" ht="13.5">
      <c r="A19" s="3205"/>
      <c r="B19" s="3202"/>
      <c r="C19" s="1429" t="s">
        <v>959</v>
      </c>
    </row>
    <row r="20" spans="1:3" ht="13.5">
      <c r="A20" s="3206"/>
      <c r="B20" s="3201" t="s">
        <v>960</v>
      </c>
      <c r="C20" s="3200"/>
    </row>
    <row r="21" spans="1:3" ht="13.5">
      <c r="A21" s="1430" t="s">
        <v>961</v>
      </c>
      <c r="B21" s="1431"/>
      <c r="C21" s="1432"/>
    </row>
    <row r="22" spans="1:3" ht="13.5">
      <c r="A22" s="3203" t="s">
        <v>962</v>
      </c>
      <c r="B22" s="3201" t="s">
        <v>963</v>
      </c>
      <c r="C22" s="3200"/>
    </row>
    <row r="23" spans="1:3" ht="13.5">
      <c r="A23" s="3203"/>
      <c r="B23" s="3201" t="s">
        <v>964</v>
      </c>
      <c r="C23" s="3200"/>
    </row>
    <row r="24" spans="1:3" ht="13.5">
      <c r="A24" s="3203"/>
      <c r="B24" s="3201" t="s">
        <v>965</v>
      </c>
      <c r="C24" s="3200"/>
    </row>
    <row r="25" spans="1:3" ht="13.5">
      <c r="A25" s="3203"/>
      <c r="B25" s="3202" t="s">
        <v>966</v>
      </c>
      <c r="C25" s="1429" t="s">
        <v>967</v>
      </c>
    </row>
    <row r="26" spans="1:3" ht="13.5">
      <c r="A26" s="3203"/>
      <c r="B26" s="3202"/>
      <c r="C26" s="1429" t="s">
        <v>968</v>
      </c>
    </row>
    <row r="27" spans="1:3" ht="13.5">
      <c r="A27" s="3203"/>
      <c r="B27" s="3202"/>
      <c r="C27" s="1429" t="s">
        <v>969</v>
      </c>
    </row>
    <row r="28" spans="1:3" ht="13.5">
      <c r="A28" s="3203"/>
      <c r="B28" s="3202"/>
      <c r="C28" s="1429" t="s">
        <v>970</v>
      </c>
    </row>
    <row r="29" spans="1:3" ht="13.5">
      <c r="A29" s="3203"/>
      <c r="B29" s="3202"/>
      <c r="C29" s="1429" t="s">
        <v>971</v>
      </c>
    </row>
    <row r="30" spans="1:3" ht="13.5">
      <c r="A30" s="3203"/>
      <c r="B30" s="3202"/>
      <c r="C30" s="1429" t="s">
        <v>972</v>
      </c>
    </row>
    <row r="31" spans="1:3" ht="13.5">
      <c r="A31" s="3203"/>
      <c r="B31" s="3202"/>
      <c r="C31" s="1429" t="s">
        <v>973</v>
      </c>
    </row>
    <row r="32" spans="1:3" ht="13.5">
      <c r="A32" s="3203"/>
      <c r="B32" s="3202"/>
      <c r="C32" s="1429" t="s">
        <v>974</v>
      </c>
    </row>
    <row r="33" spans="1:3" ht="13.5">
      <c r="A33" s="3203"/>
      <c r="B33" s="320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45902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7" t="s">
        <v>2160</v>
      </c>
      <c r="B17" s="3207"/>
      <c r="C17" s="3207"/>
      <c r="D17" s="3207"/>
      <c r="E17" s="3207"/>
      <c r="F17" s="3207"/>
      <c r="G17" s="3207"/>
      <c r="H17" s="3207"/>
    </row>
    <row r="18" spans="1:8" ht="24" customHeight="1">
      <c r="A18" s="3208" t="s">
        <v>2161</v>
      </c>
      <c r="B18" s="3208"/>
      <c r="C18" s="3208"/>
      <c r="D18" s="2160"/>
      <c r="E18" s="3209" t="s">
        <v>2162</v>
      </c>
      <c r="F18" s="3208"/>
      <c r="G18" s="320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172</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大宗比较法-商业</vt:lpstr>
      <vt:lpstr>标定地价</vt:lpstr>
      <vt:lpstr>土地成交</vt:lpstr>
      <vt:lpstr>sheet1</vt:lpstr>
      <vt:lpstr>大宗买卖</vt:lpstr>
      <vt:lpstr>Sheet3</vt:lpstr>
      <vt:lpstr>Sheet4</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'大宗比较法-商业'!Print_Area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'大宗比较法-商业'!商业层高</vt:lpstr>
      <vt:lpstr>商业层高</vt:lpstr>
      <vt:lpstr>'大宗比较法-商业'!商业成新度</vt:lpstr>
      <vt:lpstr>商业成新度</vt:lpstr>
      <vt:lpstr>商业繁华度</vt:lpstr>
      <vt:lpstr>'大宗比较法-商业'!商业公共部分装修</vt:lpstr>
      <vt:lpstr>商业公共部分装修</vt:lpstr>
      <vt:lpstr>'大宗比较法-商业'!商业基础设施水平</vt:lpstr>
      <vt:lpstr>商业基础设施水平</vt:lpstr>
      <vt:lpstr>'大宗比较法-商业'!商业建筑结构</vt:lpstr>
      <vt:lpstr>商业建筑结构</vt:lpstr>
      <vt:lpstr>'大宗比较法-商业'!商业交易情况</vt:lpstr>
      <vt:lpstr>商业交易情况</vt:lpstr>
      <vt:lpstr>商业街名称</vt:lpstr>
      <vt:lpstr>'大宗比较法-商业'!商业进深比</vt:lpstr>
      <vt:lpstr>商业进深比</vt:lpstr>
      <vt:lpstr>'大宗比较法-商业'!商业类型</vt:lpstr>
      <vt:lpstr>商业类型</vt:lpstr>
      <vt:lpstr>'大宗比较法-商业'!商业临街状况</vt:lpstr>
      <vt:lpstr>商业临街状况</vt:lpstr>
      <vt:lpstr>'大宗比较法-商业'!商业楼层</vt:lpstr>
      <vt:lpstr>商业楼层</vt:lpstr>
      <vt:lpstr>'大宗比较法-商业'!商业内部装修</vt:lpstr>
      <vt:lpstr>商业内部装修</vt:lpstr>
      <vt:lpstr>'大宗比较法-商业'!商业人流量</vt:lpstr>
      <vt:lpstr>商业人流量</vt:lpstr>
      <vt:lpstr>'大宗比较法-商业'!商业业态</vt:lpstr>
      <vt:lpstr>商业业态</vt:lpstr>
      <vt:lpstr>'大宗比较法-商业'!商业用途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2025-09-02T05:52:20Z</dcterms:modified>
</cp:coreProperties>
</file>