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成本法" sheetId="68"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信息" sheetId="80" r:id="rId34"/>
    <sheet name="中指" sheetId="83" r:id="rId35"/>
    <sheet name="租金案例" sheetId="82"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1" i="40" l="1"/>
  <c r="E41" i="40"/>
  <c r="T3" i="83"/>
  <c r="T4" i="83"/>
  <c r="T5" i="83"/>
  <c r="T6" i="83"/>
  <c r="T7" i="83"/>
  <c r="T8" i="83"/>
  <c r="T9" i="83"/>
  <c r="T10" i="83"/>
  <c r="T11" i="83"/>
  <c r="T12" i="83"/>
  <c r="T13" i="83"/>
  <c r="T14" i="83"/>
  <c r="T15" i="83"/>
  <c r="T16" i="83"/>
  <c r="T17" i="83"/>
  <c r="T18" i="83"/>
  <c r="T19" i="83"/>
  <c r="T20" i="83"/>
  <c r="T21" i="83"/>
  <c r="T22" i="83"/>
  <c r="T23" i="83"/>
  <c r="T24" i="83"/>
  <c r="T25" i="83"/>
  <c r="T26" i="83"/>
  <c r="T27" i="83"/>
  <c r="T28" i="83"/>
  <c r="T29" i="83"/>
  <c r="T30" i="83"/>
  <c r="T31" i="83"/>
  <c r="T32" i="83"/>
  <c r="T33" i="83"/>
  <c r="T34" i="83"/>
  <c r="T35" i="83"/>
  <c r="T36" i="83"/>
  <c r="T37" i="83"/>
  <c r="T38" i="83"/>
  <c r="T39" i="83"/>
  <c r="T40" i="83"/>
  <c r="T41" i="83"/>
  <c r="T42" i="83"/>
  <c r="T43" i="83"/>
  <c r="T44" i="83"/>
  <c r="T45" i="83"/>
  <c r="T46" i="83"/>
  <c r="T2" i="83"/>
  <c r="L25" i="9" l="1"/>
  <c r="I41" i="40" l="1"/>
  <c r="G41" i="40"/>
  <c r="I34" i="40"/>
  <c r="G34" i="40"/>
  <c r="E34" i="40"/>
  <c r="I7" i="40"/>
  <c r="G7" i="40"/>
  <c r="E7" i="40"/>
  <c r="I5" i="40"/>
  <c r="G5" i="40"/>
  <c r="E5" i="40"/>
  <c r="C19" i="80"/>
  <c r="A3" i="3"/>
  <c r="D19" i="80"/>
  <c r="D20" i="80"/>
  <c r="B14" i="74" l="1"/>
  <c r="C20" i="80"/>
  <c r="B21" i="80"/>
  <c r="B19" i="80"/>
  <c r="C10" i="40"/>
  <c r="J49" i="15"/>
  <c r="Y6" i="1"/>
  <c r="E109" i="40" l="1"/>
  <c r="F109" i="40"/>
  <c r="G109" i="40"/>
  <c r="D109" i="40"/>
  <c r="N6" i="1"/>
  <c r="N19" i="1"/>
  <c r="I14" i="3"/>
  <c r="I15" i="3"/>
  <c r="I16" i="3"/>
  <c r="I13" i="3"/>
  <c r="A5" i="80"/>
  <c r="B16" i="80"/>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27" i="71" s="1"/>
  <c r="Z27"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18" i="36"/>
  <c r="H25" i="40"/>
  <c r="AB25" i="40" s="1"/>
  <c r="J25" i="40"/>
  <c r="AC25" i="40" s="1"/>
  <c r="H29" i="39"/>
  <c r="AB29" i="39" s="1"/>
  <c r="J29" i="39"/>
  <c r="AC29" i="39" s="1"/>
  <c r="J18" i="36"/>
  <c r="AC18" i="36" s="1"/>
  <c r="F68" i="35"/>
  <c r="G68" i="35" s="1"/>
  <c r="H18" i="35"/>
  <c r="AB18" i="35" s="1"/>
  <c r="J18" i="35"/>
  <c r="W18" i="35" s="1"/>
  <c r="H21" i="37"/>
  <c r="AB21" i="37" s="1"/>
  <c r="F21" i="37"/>
  <c r="AA21" i="37" s="1"/>
  <c r="F84" i="34"/>
  <c r="H21" i="34"/>
  <c r="AB21" i="34" s="1"/>
  <c r="H21" i="33"/>
  <c r="U21" i="33" s="1"/>
  <c r="F21" i="33"/>
  <c r="AA21" i="33" s="1"/>
  <c r="E83" i="21"/>
  <c r="F83" i="21" s="1"/>
  <c r="H1" i="69"/>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D90" i="40"/>
  <c r="E90" i="40" s="1"/>
  <c r="F90" i="40" s="1"/>
  <c r="G90" i="40" s="1"/>
  <c r="D88" i="40"/>
  <c r="E88" i="40" s="1"/>
  <c r="F88" i="40" s="1"/>
  <c r="G88" i="40" s="1"/>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F30" i="21" s="1"/>
  <c r="S30" i="21" s="1"/>
  <c r="B94" i="21"/>
  <c r="J29" i="21"/>
  <c r="AC29" i="21"/>
  <c r="B92" i="21"/>
  <c r="J28" i="21" s="1"/>
  <c r="B90" i="21"/>
  <c r="J27" i="21"/>
  <c r="W27" i="2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S31" i="35"/>
  <c r="U34" i="35"/>
  <c r="F36" i="34"/>
  <c r="J35" i="34"/>
  <c r="W9" i="34"/>
  <c r="U34" i="34"/>
  <c r="H39" i="33"/>
  <c r="AB39" i="33" s="1"/>
  <c r="U33" i="33"/>
  <c r="S40" i="33"/>
  <c r="W33" i="33"/>
  <c r="W39" i="33"/>
  <c r="S27" i="35"/>
  <c r="AA9"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17" i="40"/>
  <c r="U17" i="40" s="1"/>
  <c r="J15" i="40"/>
  <c r="W15" i="40" s="1"/>
  <c r="AB8" i="39"/>
  <c r="AC12" i="34"/>
  <c r="AB12" i="35"/>
  <c r="W32" i="40"/>
  <c r="S44" i="39"/>
  <c r="F37" i="39"/>
  <c r="AA37" i="39"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c r="F23" i="35"/>
  <c r="AA23" i="35" s="1"/>
  <c r="J32" i="35"/>
  <c r="AC32" i="35" s="1"/>
  <c r="J16" i="35"/>
  <c r="AC16" i="35"/>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s="1"/>
  <c r="F15" i="34"/>
  <c r="AA15" i="34" s="1"/>
  <c r="J15" i="34"/>
  <c r="H15" i="34"/>
  <c r="AB15" i="34" s="1"/>
  <c r="W8" i="34"/>
  <c r="J28" i="34"/>
  <c r="W28" i="34"/>
  <c r="F41" i="33"/>
  <c r="S41" i="33" s="1"/>
  <c r="E113" i="33"/>
  <c r="F32" i="33"/>
  <c r="AA32" i="33"/>
  <c r="J19" i="33"/>
  <c r="AC19" i="33" s="1"/>
  <c r="J15" i="33"/>
  <c r="AC15" i="33" s="1"/>
  <c r="F11" i="33"/>
  <c r="AA11" i="33" s="1"/>
  <c r="U40" i="33"/>
  <c r="W40" i="33"/>
  <c r="F37" i="40"/>
  <c r="AA37" i="40" s="1"/>
  <c r="F36" i="40"/>
  <c r="AA36" i="40" s="1"/>
  <c r="H28" i="40"/>
  <c r="U28" i="40" s="1"/>
  <c r="F17" i="40"/>
  <c r="AA17" i="40" s="1"/>
  <c r="J17" i="40"/>
  <c r="W17" i="40" s="1"/>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F14" i="21"/>
  <c r="S14" i="21" s="1"/>
  <c r="H28" i="21"/>
  <c r="AB28" i="21" s="1"/>
  <c r="F28" i="21"/>
  <c r="AA28" i="21" s="1"/>
  <c r="H30" i="21"/>
  <c r="AB30" i="21" s="1"/>
  <c r="U30" i="21"/>
  <c r="J44" i="21"/>
  <c r="H44" i="21"/>
  <c r="U44" i="21"/>
  <c r="F44" i="21"/>
  <c r="AA44" i="21" s="1"/>
  <c r="H46" i="21"/>
  <c r="U46" i="21" s="1"/>
  <c r="J46" i="21"/>
  <c r="F46" i="21"/>
  <c r="AA46"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AC31" i="33" s="1"/>
  <c r="H31" i="33"/>
  <c r="F31" i="33"/>
  <c r="H45" i="33"/>
  <c r="U45" i="33" s="1"/>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H14" i="33"/>
  <c r="U14" i="33" s="1"/>
  <c r="F14" i="33"/>
  <c r="S14" i="33" s="1"/>
  <c r="J14" i="33"/>
  <c r="H30" i="33"/>
  <c r="AB30" i="33" s="1"/>
  <c r="F30" i="33"/>
  <c r="J30" i="33"/>
  <c r="H44" i="33"/>
  <c r="J44" i="33"/>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s="1"/>
  <c r="H30" i="40"/>
  <c r="AB30" i="40" s="1"/>
  <c r="F33" i="40"/>
  <c r="AA33" i="40"/>
  <c r="H33" i="40"/>
  <c r="U33" i="40" s="1"/>
  <c r="J35" i="40"/>
  <c r="AC35" i="40"/>
  <c r="J37" i="40"/>
  <c r="AC37" i="40" s="1"/>
  <c r="H13" i="40"/>
  <c r="U13" i="40" s="1"/>
  <c r="J13" i="40"/>
  <c r="W13" i="40"/>
  <c r="F13" i="40"/>
  <c r="AA13" i="40" s="1"/>
  <c r="F14" i="37"/>
  <c r="AA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W31" i="34"/>
  <c r="S11" i="36"/>
  <c r="AA14" i="34"/>
  <c r="S45" i="33"/>
  <c r="AB45" i="33"/>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c r="BA552" i="3"/>
  <c r="AZ552" i="3" s="1"/>
  <c r="BA548" i="3"/>
  <c r="BA546" i="3"/>
  <c r="AZ546" i="3" s="1"/>
  <c r="BA544" i="3"/>
  <c r="AZ544" i="3" s="1"/>
  <c r="BA542" i="3"/>
  <c r="AZ542" i="3"/>
  <c r="BA540" i="3"/>
  <c r="BA538" i="3"/>
  <c r="BA536" i="3"/>
  <c r="AZ536" i="3" s="1"/>
  <c r="BA534" i="3"/>
  <c r="AZ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s="1"/>
  <c r="BQ527" i="3"/>
  <c r="BL527" i="3" s="1"/>
  <c r="BQ525" i="3"/>
  <c r="BL525" i="3"/>
  <c r="AZ525" i="3" s="1"/>
  <c r="BQ523" i="3"/>
  <c r="BL523" i="3" s="1"/>
  <c r="BA521" i="3"/>
  <c r="AC521" i="3"/>
  <c r="G521" i="3"/>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c r="F37" i="37"/>
  <c r="AA37" i="37" s="1"/>
  <c r="F31" i="40"/>
  <c r="AA31" i="40" s="1"/>
  <c r="H31" i="40"/>
  <c r="U31" i="40" s="1"/>
  <c r="F32" i="40"/>
  <c r="S32" i="40"/>
  <c r="H32" i="40"/>
  <c r="AB32" i="40" s="1"/>
  <c r="J36" i="40"/>
  <c r="W36" i="40" s="1"/>
  <c r="H19" i="37"/>
  <c r="AB19" i="37" s="1"/>
  <c r="H42" i="33"/>
  <c r="AB42" i="33" s="1"/>
  <c r="J43" i="33"/>
  <c r="AC43" i="33" s="1"/>
  <c r="S28" i="31"/>
  <c r="S27" i="31"/>
  <c r="S26" i="31"/>
  <c r="U14" i="40"/>
  <c r="W23" i="35"/>
  <c r="U26" i="37"/>
  <c r="AA13" i="33"/>
  <c r="AC45" i="33"/>
  <c r="U11" i="33"/>
  <c r="U19"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5" i="3"/>
  <c r="AA25" i="21"/>
  <c r="H19" i="40"/>
  <c r="U19"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AZ124" i="3" s="1"/>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55"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8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4"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41" i="3"/>
  <c r="BA379" i="3"/>
  <c r="AZ379" i="3" s="1"/>
  <c r="BL380" i="3"/>
  <c r="G381" i="3"/>
  <c r="BA383" i="3"/>
  <c r="AZ383" i="3" s="1"/>
  <c r="BL384" i="3"/>
  <c r="G385" i="3"/>
  <c r="BA387" i="3"/>
  <c r="AZ387" i="3" s="1"/>
  <c r="BL388" i="3"/>
  <c r="AZ388" i="3" s="1"/>
  <c r="G389" i="3"/>
  <c r="BA391" i="3"/>
  <c r="BL392" i="3"/>
  <c r="AZ392" i="3" s="1"/>
  <c r="G393" i="3"/>
  <c r="AZ291" i="3"/>
  <c r="BO5" i="3"/>
  <c r="BM5" i="3"/>
  <c r="BJ5" i="3"/>
  <c r="BH5" i="3"/>
  <c r="BF5" i="3"/>
  <c r="BD5" i="3"/>
  <c r="AC5" i="3"/>
  <c r="AZ506" i="3"/>
  <c r="AZ496" i="3"/>
  <c r="G548" i="3"/>
  <c r="G538" i="3"/>
  <c r="G520" i="3"/>
  <c r="G502" i="3"/>
  <c r="BS5" i="3"/>
  <c r="BP5" i="3"/>
  <c r="BN5" i="3"/>
  <c r="G29" i="6" s="1"/>
  <c r="BK5" i="3"/>
  <c r="BI5" i="3"/>
  <c r="BG5" i="3"/>
  <c r="BE5" i="3"/>
  <c r="BC5" i="3"/>
  <c r="G17" i="3"/>
  <c r="BA17" i="3"/>
  <c r="BT5" i="3"/>
  <c r="AZ368" i="3"/>
  <c r="BA15" i="3"/>
  <c r="AZ15" i="3" s="1"/>
  <c r="BB5" i="3"/>
  <c r="BR5" i="3"/>
  <c r="AZ380" i="3"/>
  <c r="AZ499" i="3"/>
  <c r="G509" i="3"/>
  <c r="BL493" i="3"/>
  <c r="AZ493" i="3" s="1"/>
  <c r="U36" i="40"/>
  <c r="F83" i="43"/>
  <c r="H85" i="43" s="1"/>
  <c r="F50" i="43"/>
  <c r="H54" i="43" s="1"/>
  <c r="F72" i="43"/>
  <c r="H75" i="43" s="1"/>
  <c r="U17" i="39"/>
  <c r="S14" i="35"/>
  <c r="U43" i="21"/>
  <c r="U35" i="21"/>
  <c r="AC35" i="21"/>
  <c r="AZ563" i="3"/>
  <c r="W37" i="37"/>
  <c r="W44" i="34"/>
  <c r="AC44" i="34"/>
  <c r="S15" i="37"/>
  <c r="U13" i="37"/>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W12" i="33"/>
  <c r="AC12" i="33"/>
  <c r="AA32" i="36"/>
  <c r="S32" i="36"/>
  <c r="BL14" i="3"/>
  <c r="U30" i="33"/>
  <c r="AC13" i="34"/>
  <c r="AA47" i="34"/>
  <c r="W28" i="37"/>
  <c r="S19" i="39"/>
  <c r="F12" i="33"/>
  <c r="H12" i="39"/>
  <c r="AB12" i="39" s="1"/>
  <c r="F39" i="40"/>
  <c r="BA14" i="3"/>
  <c r="AZ254" i="3"/>
  <c r="AZ297" i="3"/>
  <c r="AZ157" i="3"/>
  <c r="B12" i="1"/>
  <c r="E12" i="1" s="1"/>
  <c r="B10" i="1"/>
  <c r="E10" i="1" s="1"/>
  <c r="K12" i="1"/>
  <c r="M12" i="1" s="1"/>
  <c r="S13" i="1"/>
  <c r="AR13" i="1" s="1"/>
  <c r="R13" i="1"/>
  <c r="J51" i="67"/>
  <c r="C42" i="1"/>
  <c r="C24" i="12" s="1"/>
  <c r="AC34" i="33"/>
  <c r="AA34" i="33"/>
  <c r="B41" i="1"/>
  <c r="F48" i="9" s="1"/>
  <c r="O52" i="9" s="1"/>
  <c r="AB37" i="40"/>
  <c r="S35" i="40"/>
  <c r="AC36" i="40"/>
  <c r="W38" i="40"/>
  <c r="AA32" i="40"/>
  <c r="AB27" i="40"/>
  <c r="S28"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S36" i="40"/>
  <c r="W37" i="40"/>
  <c r="AC14" i="40"/>
  <c r="S13" i="40"/>
  <c r="S33" i="40"/>
  <c r="S31" i="40"/>
  <c r="AB13" i="40"/>
  <c r="U15"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S37" i="21"/>
  <c r="AB15" i="21"/>
  <c r="J23" i="21"/>
  <c r="F85" i="21"/>
  <c r="G85" i="21" s="1"/>
  <c r="H23" i="21"/>
  <c r="S13" i="21"/>
  <c r="AP7" i="1"/>
  <c r="AB45" i="21"/>
  <c r="AB9" i="21"/>
  <c r="AA32" i="21"/>
  <c r="S32" i="21"/>
  <c r="W9" i="21"/>
  <c r="AC9" i="21"/>
  <c r="AB32" i="21"/>
  <c r="U32" i="21"/>
  <c r="U32" i="39"/>
  <c r="AC32" i="39"/>
  <c r="J11" i="37"/>
  <c r="AC11" i="37"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L48" i="67"/>
  <c r="B10" i="76"/>
  <c r="E8" i="76"/>
  <c r="M23" i="67"/>
  <c r="F36" i="67"/>
  <c r="J15" i="67"/>
  <c r="F9" i="15"/>
  <c r="C76" i="67"/>
  <c r="B7" i="76"/>
  <c r="F40" i="67"/>
  <c r="F4" i="73"/>
  <c r="F6" i="73"/>
  <c r="M26" i="15"/>
  <c r="E10" i="76"/>
  <c r="M6" i="15"/>
  <c r="M22" i="67"/>
  <c r="F40" i="15"/>
  <c r="F20" i="31"/>
  <c r="F38" i="15"/>
  <c r="F7" i="73"/>
  <c r="M8" i="15"/>
  <c r="E9" i="76"/>
  <c r="F42" i="15"/>
  <c r="B8" i="76"/>
  <c r="M28" i="67"/>
  <c r="M9" i="67"/>
  <c r="E7" i="76"/>
  <c r="M24" i="67"/>
  <c r="B13" i="76"/>
  <c r="AO13" i="1"/>
  <c r="L47" i="15"/>
  <c r="F5" i="73"/>
  <c r="M23" i="15"/>
  <c r="F6" i="15"/>
  <c r="E13" i="76"/>
  <c r="F3" i="73"/>
  <c r="B9" i="76"/>
  <c r="B11" i="76"/>
  <c r="L47" i="67"/>
  <c r="B12" i="76"/>
  <c r="E2" i="69"/>
  <c r="F16" i="67"/>
  <c r="F26" i="67"/>
  <c r="M8" i="67"/>
  <c r="D6" i="73"/>
  <c r="E12" i="76"/>
  <c r="E11" i="76"/>
  <c r="F11" i="40" l="1"/>
  <c r="AA11" i="40" s="1"/>
  <c r="U9" i="40"/>
  <c r="H11" i="40"/>
  <c r="AB11" i="40" s="1"/>
  <c r="J11" i="40"/>
  <c r="W11" i="40" s="1"/>
  <c r="U35" i="40"/>
  <c r="W25" i="40"/>
  <c r="G92" i="40"/>
  <c r="H23" i="40"/>
  <c r="AB23" i="40" s="1"/>
  <c r="F23" i="40"/>
  <c r="AA23" i="40" s="1"/>
  <c r="J23" i="40"/>
  <c r="AC23" i="40" s="1"/>
  <c r="J21" i="40"/>
  <c r="W21" i="40" s="1"/>
  <c r="F21" i="40"/>
  <c r="S21" i="40" s="1"/>
  <c r="S17" i="40"/>
  <c r="U25" i="40"/>
  <c r="S25" i="40"/>
  <c r="S23" i="40"/>
  <c r="W23" i="40"/>
  <c r="U21" i="40"/>
  <c r="AA21" i="40"/>
  <c r="AC21" i="40"/>
  <c r="AA19" i="40"/>
  <c r="W19" i="40"/>
  <c r="AB19" i="40"/>
  <c r="AC17" i="40"/>
  <c r="AB17" i="40"/>
  <c r="AC15" i="40"/>
  <c r="AA15" i="40"/>
  <c r="AA12" i="40"/>
  <c r="U12" i="40"/>
  <c r="W12" i="40"/>
  <c r="W8" i="40"/>
  <c r="U8" i="40"/>
  <c r="C40" i="69"/>
  <c r="C21" i="68"/>
  <c r="G26" i="12"/>
  <c r="G22" i="68"/>
  <c r="G22" i="69"/>
  <c r="U19" i="33"/>
  <c r="AC27" i="33"/>
  <c r="AC23" i="37"/>
  <c r="D6" i="52"/>
  <c r="S36" i="33"/>
  <c r="AA23" i="37"/>
  <c r="W33" i="34"/>
  <c r="AA40" i="34"/>
  <c r="W27" i="40"/>
  <c r="S23" i="21"/>
  <c r="W15" i="21"/>
  <c r="U32" i="37"/>
  <c r="U25" i="39"/>
  <c r="S30" i="40"/>
  <c r="AZ14" i="3"/>
  <c r="AZ345" i="3"/>
  <c r="AZ372" i="3"/>
  <c r="AZ347" i="3"/>
  <c r="AZ337" i="3"/>
  <c r="AZ376" i="3"/>
  <c r="AZ309" i="3"/>
  <c r="AA11" i="39"/>
  <c r="AZ511" i="3"/>
  <c r="W31" i="33"/>
  <c r="AA44" i="34"/>
  <c r="U12" i="39"/>
  <c r="AA27" i="40"/>
  <c r="AZ529" i="3"/>
  <c r="AZ537" i="3"/>
  <c r="AC47" i="34"/>
  <c r="W47" i="34"/>
  <c r="AB38" i="40"/>
  <c r="U38" i="40"/>
  <c r="W17" i="21"/>
  <c r="AB36" i="33"/>
  <c r="AA19" i="33"/>
  <c r="AA39" i="39"/>
  <c r="AC11" i="39"/>
  <c r="F29" i="6"/>
  <c r="AZ391" i="3"/>
  <c r="AZ318" i="3"/>
  <c r="AZ364" i="3"/>
  <c r="AZ329" i="3"/>
  <c r="AZ306" i="3"/>
  <c r="AZ513" i="3"/>
  <c r="AZ575" i="3"/>
  <c r="AZ498" i="3"/>
  <c r="AZ528" i="3"/>
  <c r="S14" i="37"/>
  <c r="W11" i="35"/>
  <c r="AC11" i="35"/>
  <c r="AC44" i="33"/>
  <c r="W44" i="33"/>
  <c r="AC44" i="21"/>
  <c r="W44" i="21"/>
  <c r="AA41" i="33"/>
  <c r="W28" i="21"/>
  <c r="AC28" i="21"/>
  <c r="BL550" i="3"/>
  <c r="BA398" i="3"/>
  <c r="BA399" i="3"/>
  <c r="AZ399" i="3" s="1"/>
  <c r="BL587" i="3"/>
  <c r="AZ587" i="3" s="1"/>
  <c r="BL586" i="3"/>
  <c r="AZ586" i="3" s="1"/>
  <c r="J36" i="35"/>
  <c r="AC36" i="35" s="1"/>
  <c r="G574" i="3"/>
  <c r="BL16" i="3"/>
  <c r="AZ16" i="3" s="1"/>
  <c r="BL408" i="3"/>
  <c r="AZ519" i="3"/>
  <c r="AZ531" i="3"/>
  <c r="AZ573" i="3"/>
  <c r="AZ583" i="3"/>
  <c r="AZ568" i="3"/>
  <c r="AZ576" i="3"/>
  <c r="J30" i="21"/>
  <c r="J14" i="21"/>
  <c r="F24" i="36"/>
  <c r="W31" i="40"/>
  <c r="F26" i="33"/>
  <c r="F39" i="37"/>
  <c r="S39" i="37" s="1"/>
  <c r="J44" i="39"/>
  <c r="G587" i="3"/>
  <c r="F9" i="33"/>
  <c r="AA9" i="33" s="1"/>
  <c r="J12" i="35"/>
  <c r="H12" i="36"/>
  <c r="BA551" i="3"/>
  <c r="AZ551" i="3" s="1"/>
  <c r="BA550" i="3"/>
  <c r="AZ550" i="3" s="1"/>
  <c r="BL548" i="3"/>
  <c r="AZ548" i="3" s="1"/>
  <c r="G398" i="3"/>
  <c r="G399" i="3"/>
  <c r="BL400" i="3"/>
  <c r="AZ400" i="3" s="1"/>
  <c r="BA408" i="3"/>
  <c r="AZ408" i="3" s="1"/>
  <c r="BA409" i="3"/>
  <c r="AZ409" i="3" s="1"/>
  <c r="BL416" i="3"/>
  <c r="AZ523" i="3"/>
  <c r="AZ547" i="3"/>
  <c r="AZ571" i="3"/>
  <c r="AZ579" i="3"/>
  <c r="AZ516" i="3"/>
  <c r="S38" i="33"/>
  <c r="F12" i="36"/>
  <c r="J34" i="36"/>
  <c r="W34" i="36" s="1"/>
  <c r="AB39" i="40"/>
  <c r="H39" i="37"/>
  <c r="U35" i="33"/>
  <c r="W22" i="35"/>
  <c r="W28" i="36"/>
  <c r="BL585" i="3"/>
  <c r="AZ585" i="3" s="1"/>
  <c r="B75" i="43"/>
  <c r="H24" i="36"/>
  <c r="G558" i="3"/>
  <c r="BL398" i="3"/>
  <c r="BL403" i="3"/>
  <c r="AZ403" i="3" s="1"/>
  <c r="G406" i="3"/>
  <c r="G410" i="3"/>
  <c r="G411" i="3"/>
  <c r="AZ466" i="3"/>
  <c r="BL426" i="3"/>
  <c r="BA428" i="3"/>
  <c r="BA429" i="3"/>
  <c r="AZ432" i="3"/>
  <c r="AZ443" i="3"/>
  <c r="AZ487" i="3"/>
  <c r="BA396" i="3"/>
  <c r="BA218" i="3"/>
  <c r="BL401" i="3"/>
  <c r="AZ401" i="3" s="1"/>
  <c r="BL404" i="3"/>
  <c r="AZ404" i="3" s="1"/>
  <c r="BL405" i="3"/>
  <c r="AZ405" i="3" s="1"/>
  <c r="BL407" i="3"/>
  <c r="AZ407" i="3" s="1"/>
  <c r="BA412" i="3"/>
  <c r="AZ412" i="3" s="1"/>
  <c r="BA414" i="3"/>
  <c r="AZ414" i="3" s="1"/>
  <c r="BA415" i="3"/>
  <c r="AZ415" i="3" s="1"/>
  <c r="BA416" i="3"/>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BL466" i="3"/>
  <c r="G468" i="3"/>
  <c r="G469" i="3"/>
  <c r="BL476" i="3"/>
  <c r="AZ476" i="3" s="1"/>
  <c r="BL477" i="3"/>
  <c r="BL478" i="3"/>
  <c r="BL480" i="3"/>
  <c r="AZ480" i="3" s="1"/>
  <c r="BA483" i="3"/>
  <c r="BL483" i="3"/>
  <c r="BA486" i="3"/>
  <c r="BL489" i="3"/>
  <c r="BL491" i="3"/>
  <c r="BL492" i="3"/>
  <c r="BA315" i="3"/>
  <c r="AZ315" i="3" s="1"/>
  <c r="BA333" i="3"/>
  <c r="BL346" i="3"/>
  <c r="AZ346" i="3" s="1"/>
  <c r="BA384" i="3"/>
  <c r="AZ384" i="3" s="1"/>
  <c r="BL410" i="3"/>
  <c r="G412" i="3"/>
  <c r="BA422" i="3"/>
  <c r="AZ422" i="3" s="1"/>
  <c r="BL431" i="3"/>
  <c r="BL434" i="3"/>
  <c r="BL438" i="3"/>
  <c r="BL439" i="3"/>
  <c r="BA441" i="3"/>
  <c r="AZ441" i="3" s="1"/>
  <c r="BL445" i="3"/>
  <c r="BL446" i="3"/>
  <c r="BL449" i="3"/>
  <c r="BL450" i="3"/>
  <c r="BL452" i="3"/>
  <c r="BL456" i="3"/>
  <c r="BA464" i="3"/>
  <c r="BL467" i="3"/>
  <c r="BL468" i="3"/>
  <c r="BL470" i="3"/>
  <c r="BL473" i="3"/>
  <c r="AZ473" i="3" s="1"/>
  <c r="BL474"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10" i="3"/>
  <c r="BL210" i="3"/>
  <c r="BA225" i="3"/>
  <c r="BL411" i="3"/>
  <c r="AZ411" i="3" s="1"/>
  <c r="BL413" i="3"/>
  <c r="AZ413" i="3" s="1"/>
  <c r="G415" i="3"/>
  <c r="G416" i="3"/>
  <c r="BL417" i="3"/>
  <c r="AZ417" i="3" s="1"/>
  <c r="BL418" i="3"/>
  <c r="BL420" i="3"/>
  <c r="G422" i="3"/>
  <c r="G423" i="3"/>
  <c r="BL424" i="3"/>
  <c r="G426" i="3"/>
  <c r="G427" i="3"/>
  <c r="BL428" i="3"/>
  <c r="BL429" i="3"/>
  <c r="BL432" i="3"/>
  <c r="BL435" i="3"/>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2" i="3"/>
  <c r="G218" i="3"/>
  <c r="BL222" i="3"/>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L122" i="3"/>
  <c r="BA126" i="3"/>
  <c r="AZ126" i="3" s="1"/>
  <c r="BA134" i="3"/>
  <c r="BL139" i="3"/>
  <c r="AZ139" i="3" s="1"/>
  <c r="G140" i="3"/>
  <c r="BL141" i="3"/>
  <c r="BL143" i="3"/>
  <c r="AZ143" i="3" s="1"/>
  <c r="G146" i="3"/>
  <c r="AZ270" i="3"/>
  <c r="BA130" i="3"/>
  <c r="BL130"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AZ121" i="3" s="1"/>
  <c r="BL121" i="3"/>
  <c r="BL123" i="3"/>
  <c r="AZ123" i="3" s="1"/>
  <c r="G127" i="3"/>
  <c r="BA129" i="3"/>
  <c r="BL133" i="3"/>
  <c r="AZ133" i="3" s="1"/>
  <c r="BL134" i="3"/>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A128" i="3"/>
  <c r="AZ128" i="3" s="1"/>
  <c r="BA150" i="3"/>
  <c r="BL167" i="3"/>
  <c r="AZ167" i="3" s="1"/>
  <c r="BL178" i="3"/>
  <c r="BA180" i="3"/>
  <c r="AZ180" i="3" s="1"/>
  <c r="BL182" i="3"/>
  <c r="BA185" i="3"/>
  <c r="BL191" i="3"/>
  <c r="AZ191" i="3" s="1"/>
  <c r="BA193" i="3"/>
  <c r="BA196" i="3"/>
  <c r="AZ196" i="3" s="1"/>
  <c r="G203" i="3"/>
  <c r="BA205" i="3"/>
  <c r="AZ205" i="3" s="1"/>
  <c r="BL20" i="3"/>
  <c r="BA21" i="3"/>
  <c r="AZ21" i="3" s="1"/>
  <c r="AZ62" i="3"/>
  <c r="D44" i="71"/>
  <c r="T44" i="71"/>
  <c r="C55" i="71"/>
  <c r="D54" i="71"/>
  <c r="D67" i="71"/>
  <c r="C66" i="71"/>
  <c r="O67" i="7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AZ25" i="3" s="1"/>
  <c r="BL27" i="3"/>
  <c r="BA28" i="3"/>
  <c r="AZ28" i="3" s="1"/>
  <c r="BA31" i="3"/>
  <c r="BA32" i="3"/>
  <c r="G38" i="3"/>
  <c r="BA38" i="3"/>
  <c r="AZ38" i="3" s="1"/>
  <c r="BA41" i="3"/>
  <c r="BA42" i="3"/>
  <c r="G47" i="3"/>
  <c r="BL48" i="3"/>
  <c r="BA51" i="3"/>
  <c r="G55" i="3"/>
  <c r="BL56" i="3"/>
  <c r="BA58" i="3"/>
  <c r="BL59" i="3"/>
  <c r="AZ59" i="3" s="1"/>
  <c r="BL60" i="3"/>
  <c r="BA61" i="3"/>
  <c r="AZ61" i="3" s="1"/>
  <c r="BL69" i="3"/>
  <c r="G70" i="3"/>
  <c r="BL70" i="3"/>
  <c r="BL71" i="3"/>
  <c r="BL72" i="3"/>
  <c r="AZ72" i="3" s="1"/>
  <c r="BA75" i="3"/>
  <c r="AZ75" i="3" s="1"/>
  <c r="BL86" i="3"/>
  <c r="C64" i="71"/>
  <c r="D63" i="71"/>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L64" i="3"/>
  <c r="AZ64" i="3" s="1"/>
  <c r="BL65" i="3"/>
  <c r="AZ65" i="3" s="1"/>
  <c r="BL66" i="3"/>
  <c r="BL67" i="3"/>
  <c r="AZ67" i="3" s="1"/>
  <c r="AZ70" i="3"/>
  <c r="BL73" i="3"/>
  <c r="BA74" i="3"/>
  <c r="AZ74" i="3" s="1"/>
  <c r="BL79" i="3"/>
  <c r="BL81" i="3"/>
  <c r="BA92" i="3"/>
  <c r="G95" i="3"/>
  <c r="BA98" i="3"/>
  <c r="D31" i="71"/>
  <c r="C32" i="71"/>
  <c r="D50" i="71"/>
  <c r="C51" i="71"/>
  <c r="BA18" i="3"/>
  <c r="G29" i="3"/>
  <c r="BL29" i="3"/>
  <c r="AZ29" i="3" s="1"/>
  <c r="BA37" i="3"/>
  <c r="G39" i="3"/>
  <c r="BL39" i="3"/>
  <c r="AZ39" i="3" s="1"/>
  <c r="BA45" i="3"/>
  <c r="AZ45" i="3" s="1"/>
  <c r="G51" i="3"/>
  <c r="BA52" i="3"/>
  <c r="AZ52" i="3" s="1"/>
  <c r="BA53" i="3"/>
  <c r="BA54" i="3"/>
  <c r="BL57" i="3"/>
  <c r="G62" i="3"/>
  <c r="BL62" i="3"/>
  <c r="BL63" i="3"/>
  <c r="G67" i="3"/>
  <c r="BL68" i="3"/>
  <c r="BA69" i="3"/>
  <c r="AZ69" i="3" s="1"/>
  <c r="G78" i="3"/>
  <c r="G79" i="3"/>
  <c r="T28" i="71"/>
  <c r="D28" i="71"/>
  <c r="U28" i="71" s="1"/>
  <c r="C27" i="71"/>
  <c r="F66" i="71"/>
  <c r="Q67" i="71"/>
  <c r="V24" i="71"/>
  <c r="E23" i="71"/>
  <c r="E22" i="71" s="1"/>
  <c r="E21" i="71" s="1"/>
  <c r="E20" i="71" s="1"/>
  <c r="G81" i="3"/>
  <c r="G85" i="3"/>
  <c r="BL85" i="3"/>
  <c r="BA86" i="3"/>
  <c r="BA87" i="3"/>
  <c r="BA91" i="3"/>
  <c r="AZ91" i="3" s="1"/>
  <c r="G96" i="3"/>
  <c r="BL97" i="3"/>
  <c r="AZ97" i="3" s="1"/>
  <c r="BL101" i="3"/>
  <c r="BL102" i="3"/>
  <c r="G104" i="3"/>
  <c r="G105" i="3"/>
  <c r="BL106" i="3"/>
  <c r="BA108" i="3"/>
  <c r="AZ108" i="3" s="1"/>
  <c r="BA110" i="3"/>
  <c r="AZ110" i="3" s="1"/>
  <c r="F3" i="35"/>
  <c r="S21" i="33"/>
  <c r="S21" i="37"/>
  <c r="AZ103" i="3"/>
  <c r="P66" i="71"/>
  <c r="AA27" i="71"/>
  <c r="AB26" i="71"/>
  <c r="S28" i="71"/>
  <c r="C83" i="71"/>
  <c r="C79" i="71"/>
  <c r="C75" i="71"/>
  <c r="C71" i="71"/>
  <c r="O68" i="71"/>
  <c r="D46" i="71"/>
  <c r="C39" i="71"/>
  <c r="Y28" i="71"/>
  <c r="Z28" i="71" s="1"/>
  <c r="X35" i="71"/>
  <c r="C34" i="71"/>
  <c r="Y30" i="71"/>
  <c r="Z30" i="71" s="1"/>
  <c r="X28" i="71"/>
  <c r="X32" i="71"/>
  <c r="F38" i="71"/>
  <c r="F39" i="71" s="1"/>
  <c r="F40" i="71" s="1"/>
  <c r="V40" i="71" s="1"/>
  <c r="AB38" i="71"/>
  <c r="F75" i="71"/>
  <c r="F74" i="71" s="1"/>
  <c r="B79" i="71"/>
  <c r="B78" i="71" s="1"/>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AA3" i="71"/>
  <c r="D76" i="71"/>
  <c r="T68" i="71"/>
  <c r="X34" i="71"/>
  <c r="X31" i="71"/>
  <c r="F35" i="71"/>
  <c r="F36" i="71" s="1"/>
  <c r="V36" i="71" s="1"/>
  <c r="AA34" i="71"/>
  <c r="AB35" i="71"/>
  <c r="BA82" i="3"/>
  <c r="AZ82" i="3" s="1"/>
  <c r="BL83" i="3"/>
  <c r="BA90" i="3"/>
  <c r="BL94" i="3"/>
  <c r="AZ94" i="3" s="1"/>
  <c r="BA100" i="3"/>
  <c r="AZ100" i="3" s="1"/>
  <c r="BA102" i="3"/>
  <c r="AZ102" i="3" s="1"/>
  <c r="BL105" i="3"/>
  <c r="AZ105" i="3" s="1"/>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L59" i="15"/>
  <c r="N59" i="15"/>
  <c r="M59" i="15"/>
  <c r="F66" i="15"/>
  <c r="Q71" i="67"/>
  <c r="C27" i="67"/>
  <c r="N59" i="67"/>
  <c r="L59" i="67"/>
  <c r="L58" i="67"/>
  <c r="M59" i="67"/>
  <c r="B13" i="70"/>
  <c r="F68" i="67"/>
  <c r="F64" i="67"/>
  <c r="F68" i="15"/>
  <c r="D9" i="69"/>
  <c r="D3" i="73"/>
  <c r="M28" i="15"/>
  <c r="F6" i="67"/>
  <c r="F37" i="67"/>
  <c r="F38" i="67"/>
  <c r="F43" i="67"/>
  <c r="F37" i="15"/>
  <c r="M29" i="67"/>
  <c r="F8" i="15"/>
  <c r="C36" i="68"/>
  <c r="F26" i="15"/>
  <c r="F13" i="67"/>
  <c r="M9" i="15"/>
  <c r="M22" i="15"/>
  <c r="M24" i="15"/>
  <c r="C76" i="15"/>
  <c r="M26" i="67"/>
  <c r="F8" i="67"/>
  <c r="F7" i="67"/>
  <c r="D9" i="68"/>
  <c r="D4" i="73"/>
  <c r="F36" i="15"/>
  <c r="F13" i="15"/>
  <c r="M6" i="67"/>
  <c r="J15" i="15"/>
  <c r="F9" i="67"/>
  <c r="F42" i="67"/>
  <c r="F16" i="15"/>
  <c r="D7" i="73"/>
  <c r="D5" i="73"/>
  <c r="L48" i="15"/>
  <c r="S11" i="40" l="1"/>
  <c r="U11" i="40"/>
  <c r="AC11" i="40"/>
  <c r="E59" i="40"/>
  <c r="G26" i="43"/>
  <c r="J26" i="43"/>
  <c r="N94" i="46"/>
  <c r="P6" i="1"/>
  <c r="C13" i="12" s="1"/>
  <c r="E26" i="43"/>
  <c r="D26" i="43" s="1"/>
  <c r="C25" i="43" s="1"/>
  <c r="H26" i="43"/>
  <c r="N370" i="46"/>
  <c r="F64" i="15"/>
  <c r="F51" i="15"/>
  <c r="C6" i="67"/>
  <c r="C32" i="67" s="1"/>
  <c r="F31" i="67"/>
  <c r="Q71" i="15"/>
  <c r="C27" i="15"/>
  <c r="F65" i="67"/>
  <c r="F31" i="15"/>
  <c r="F51" i="67"/>
  <c r="F59" i="67" s="1"/>
  <c r="F50" i="67"/>
  <c r="M7" i="67"/>
  <c r="J6" i="67" s="1"/>
  <c r="J18" i="67" s="1"/>
  <c r="F65" i="15"/>
  <c r="F66" i="67"/>
  <c r="J57" i="15"/>
  <c r="J55" i="15" s="1"/>
  <c r="J58" i="15" s="1"/>
  <c r="Q50" i="15" s="1"/>
  <c r="L58" i="15"/>
  <c r="Q73" i="15" s="1"/>
  <c r="I54" i="15"/>
  <c r="J53" i="15"/>
  <c r="L56" i="15" s="1"/>
  <c r="F71" i="67"/>
  <c r="D34" i="71"/>
  <c r="C35" i="71"/>
  <c r="D79" i="71"/>
  <c r="C78" i="71"/>
  <c r="D78" i="71" s="1"/>
  <c r="C52" i="71"/>
  <c r="D51" i="71"/>
  <c r="AZ49" i="3"/>
  <c r="AZ51" i="3"/>
  <c r="AZ41" i="3"/>
  <c r="AZ31" i="3"/>
  <c r="AZ20" i="3"/>
  <c r="O65" i="71"/>
  <c r="D66" i="71"/>
  <c r="O66" i="71"/>
  <c r="AZ271" i="3"/>
  <c r="AZ130" i="3"/>
  <c r="AZ210" i="3"/>
  <c r="AZ454" i="3"/>
  <c r="AZ435" i="3"/>
  <c r="AZ416" i="3"/>
  <c r="AZ429" i="3"/>
  <c r="AB39" i="37"/>
  <c r="U39" i="37"/>
  <c r="D83" i="71"/>
  <c r="C82" i="71"/>
  <c r="D82" i="71" s="1"/>
  <c r="AZ86" i="3"/>
  <c r="C26" i="71"/>
  <c r="D26" i="71" s="1"/>
  <c r="D27" i="71"/>
  <c r="AZ58" i="3"/>
  <c r="AZ491" i="3"/>
  <c r="AZ464" i="3"/>
  <c r="AZ218" i="3"/>
  <c r="AZ428" i="3"/>
  <c r="AB12" i="36"/>
  <c r="U12" i="36"/>
  <c r="W44" i="39"/>
  <c r="AC44" i="39"/>
  <c r="AA24" i="36"/>
  <c r="S24" i="36"/>
  <c r="AZ398" i="3"/>
  <c r="C70" i="71"/>
  <c r="D70" i="71" s="1"/>
  <c r="D71" i="71"/>
  <c r="AZ53" i="3"/>
  <c r="T32" i="71"/>
  <c r="D32" i="71"/>
  <c r="AZ27" i="3"/>
  <c r="AZ118" i="3"/>
  <c r="AZ150" i="3"/>
  <c r="AZ483" i="3"/>
  <c r="AZ459" i="3"/>
  <c r="AB24" i="36"/>
  <c r="U24" i="36"/>
  <c r="W12" i="35"/>
  <c r="AC12" i="35"/>
  <c r="W14" i="21"/>
  <c r="AC14" i="21"/>
  <c r="G5" i="3"/>
  <c r="B3" i="3" s="1"/>
  <c r="C40" i="71"/>
  <c r="D39" i="71"/>
  <c r="D75" i="71"/>
  <c r="C74" i="71"/>
  <c r="D74" i="71" s="1"/>
  <c r="C56" i="71"/>
  <c r="D55" i="71"/>
  <c r="AZ418" i="3"/>
  <c r="AA12" i="36"/>
  <c r="S12" i="36"/>
  <c r="S26" i="33"/>
  <c r="AA26" i="33"/>
  <c r="W30" i="21"/>
  <c r="AC30" i="21"/>
  <c r="J7" i="37"/>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67"/>
  <c r="Q52" i="67"/>
  <c r="Q61" i="67"/>
  <c r="Q74" i="67"/>
  <c r="Q74" i="15"/>
  <c r="Q61" i="15"/>
  <c r="AE11" i="1"/>
  <c r="AE9" i="1"/>
  <c r="AE7" i="1"/>
  <c r="AE8" i="1"/>
  <c r="AE12" i="1"/>
  <c r="AE10" i="1"/>
  <c r="C16" i="67"/>
  <c r="G1" i="73"/>
  <c r="F27" i="68"/>
  <c r="F41" i="67"/>
  <c r="E103" i="3" l="1"/>
  <c r="F19" i="6"/>
  <c r="Q60" i="15"/>
  <c r="J5" i="67"/>
  <c r="J24" i="67" s="1"/>
  <c r="E135" i="3"/>
  <c r="E248" i="3"/>
  <c r="E378" i="3"/>
  <c r="E131" i="3"/>
  <c r="E487" i="3"/>
  <c r="E132" i="3"/>
  <c r="X6" i="3"/>
  <c r="S10" i="40"/>
  <c r="E514" i="3"/>
  <c r="E572" i="3"/>
  <c r="E214" i="3"/>
  <c r="E406" i="3"/>
  <c r="E439" i="3"/>
  <c r="E585" i="3"/>
  <c r="E293" i="3"/>
  <c r="E125" i="3"/>
  <c r="E532" i="3"/>
  <c r="E510" i="3"/>
  <c r="E139" i="3"/>
  <c r="E369" i="3"/>
  <c r="E240" i="3"/>
  <c r="E119" i="3"/>
  <c r="E215" i="3"/>
  <c r="E322" i="3"/>
  <c r="E327" i="3"/>
  <c r="E133" i="3"/>
  <c r="E538" i="3"/>
  <c r="E107" i="3"/>
  <c r="E407" i="3"/>
  <c r="E390" i="3"/>
  <c r="E493" i="3"/>
  <c r="AB10" i="40"/>
  <c r="AC10" i="40"/>
  <c r="E118" i="3"/>
  <c r="AY6" i="3"/>
  <c r="E142" i="3"/>
  <c r="E296" i="3"/>
  <c r="E100" i="3"/>
  <c r="E191" i="3"/>
  <c r="E563" i="3"/>
  <c r="AB6" i="3"/>
  <c r="E579" i="3"/>
  <c r="E109" i="3"/>
  <c r="E531" i="3"/>
  <c r="E74" i="3"/>
  <c r="E465" i="3"/>
  <c r="E545" i="3"/>
  <c r="E183" i="3"/>
  <c r="E555" i="3"/>
  <c r="E476" i="3"/>
  <c r="E279" i="3"/>
  <c r="E511" i="3"/>
  <c r="E260" i="3"/>
  <c r="E569" i="3"/>
  <c r="Q6" i="3"/>
  <c r="E397" i="3"/>
  <c r="E398" i="3"/>
  <c r="E75" i="3"/>
  <c r="E69" i="3"/>
  <c r="E509" i="3"/>
  <c r="E485" i="3"/>
  <c r="E495" i="3"/>
  <c r="E441" i="3"/>
  <c r="E562" i="3"/>
  <c r="E320" i="3"/>
  <c r="E254" i="3"/>
  <c r="E455" i="3"/>
  <c r="E385" i="3"/>
  <c r="E457" i="3"/>
  <c r="E483" i="3"/>
  <c r="E161" i="3"/>
  <c r="E311" i="3"/>
  <c r="E182" i="3"/>
  <c r="E171" i="3"/>
  <c r="E586" i="3"/>
  <c r="E44" i="3"/>
  <c r="E518" i="3"/>
  <c r="E88" i="3"/>
  <c r="E488" i="3"/>
  <c r="E242" i="3"/>
  <c r="E200" i="3"/>
  <c r="AI6" i="3"/>
  <c r="E172" i="3"/>
  <c r="E387" i="3"/>
  <c r="E201" i="3"/>
  <c r="E526" i="3"/>
  <c r="E489" i="3"/>
  <c r="E204" i="3"/>
  <c r="E468" i="3"/>
  <c r="AK6" i="3"/>
  <c r="E361" i="3"/>
  <c r="E410" i="3"/>
  <c r="E447" i="3"/>
  <c r="E351" i="3"/>
  <c r="E99" i="3"/>
  <c r="E550" i="3"/>
  <c r="E396" i="3"/>
  <c r="I6" i="3"/>
  <c r="E272" i="3"/>
  <c r="E464" i="3"/>
  <c r="E452" i="3"/>
  <c r="E3" i="6"/>
  <c r="E347" i="3"/>
  <c r="E91" i="3"/>
  <c r="E216" i="3"/>
  <c r="E270" i="3"/>
  <c r="E343" i="3"/>
  <c r="E186" i="3"/>
  <c r="E414" i="3"/>
  <c r="E567" i="3"/>
  <c r="E433" i="3"/>
  <c r="E519" i="3"/>
  <c r="E253" i="3"/>
  <c r="E61" i="3"/>
  <c r="E130" i="3"/>
  <c r="E358" i="3"/>
  <c r="E282" i="3"/>
  <c r="E295" i="3"/>
  <c r="P6" i="3"/>
  <c r="E496" i="3"/>
  <c r="AA6" i="3"/>
  <c r="E298" i="3"/>
  <c r="E501" i="3"/>
  <c r="E548" i="3"/>
  <c r="E471" i="3"/>
  <c r="E98" i="3"/>
  <c r="E341" i="3"/>
  <c r="E312" i="3"/>
  <c r="E123" i="3"/>
  <c r="E463" i="3"/>
  <c r="E324" i="3"/>
  <c r="E205" i="3"/>
  <c r="E541" i="3"/>
  <c r="E241" i="3"/>
  <c r="E63" i="3"/>
  <c r="E206" i="3"/>
  <c r="E469" i="3"/>
  <c r="E243" i="3"/>
  <c r="E83" i="3"/>
  <c r="E490" i="3"/>
  <c r="E333" i="3"/>
  <c r="E339" i="3"/>
  <c r="E218" i="3"/>
  <c r="E65" i="3"/>
  <c r="E209" i="3"/>
  <c r="E47" i="3"/>
  <c r="E66" i="3"/>
  <c r="E167" i="3"/>
  <c r="E306" i="3"/>
  <c r="E288" i="3"/>
  <c r="E257" i="3"/>
  <c r="E379" i="3"/>
  <c r="E546" i="3"/>
  <c r="E29" i="3"/>
  <c r="E574" i="3"/>
  <c r="E418" i="3"/>
  <c r="E213" i="3"/>
  <c r="AN6" i="3"/>
  <c r="E262" i="3"/>
  <c r="E344" i="3"/>
  <c r="E274" i="3"/>
  <c r="E57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192" i="3"/>
  <c r="E381" i="3"/>
  <c r="E34" i="3"/>
  <c r="E456" i="3"/>
  <c r="E225" i="3"/>
  <c r="E326" i="3"/>
  <c r="E440" i="3"/>
  <c r="E346" i="3"/>
  <c r="E299" i="3"/>
  <c r="E176" i="3"/>
  <c r="E521" i="3"/>
  <c r="E138" i="3"/>
  <c r="E582" i="3"/>
  <c r="E259" i="3"/>
  <c r="E154" i="3"/>
  <c r="E122" i="3"/>
  <c r="E438" i="3"/>
  <c r="E208" i="3"/>
  <c r="E145" i="3"/>
  <c r="E403" i="3"/>
  <c r="AM6" i="3"/>
  <c r="O6" i="3"/>
  <c r="E506" i="3"/>
  <c r="E565" i="3"/>
  <c r="E402" i="3"/>
  <c r="E128" i="3"/>
  <c r="E424" i="3"/>
  <c r="E256" i="3"/>
  <c r="E164"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480" i="3"/>
  <c r="E404" i="3"/>
  <c r="E32" i="3"/>
  <c r="E330" i="3"/>
  <c r="E221" i="3"/>
  <c r="E97" i="3"/>
  <c r="E126" i="3"/>
  <c r="E93" i="3"/>
  <c r="E313" i="3"/>
  <c r="Y6" i="3"/>
  <c r="E19" i="3"/>
  <c r="E552" i="3"/>
  <c r="E15" i="3"/>
  <c r="E393" i="3"/>
  <c r="E13" i="3"/>
  <c r="E42" i="3"/>
  <c r="E423" i="3"/>
  <c r="E445" i="3"/>
  <c r="E189" i="3"/>
  <c r="M6" i="3"/>
  <c r="E431" i="3"/>
  <c r="E268" i="3"/>
  <c r="E211" i="3"/>
  <c r="E400" i="3"/>
  <c r="E227" i="3"/>
  <c r="E454" i="3"/>
  <c r="K6" i="3"/>
  <c r="E77" i="3"/>
  <c r="E134" i="3"/>
  <c r="E185" i="3"/>
  <c r="E533" i="3"/>
  <c r="E305" i="3"/>
  <c r="E210" i="3"/>
  <c r="E477" i="3"/>
  <c r="E549" i="3"/>
  <c r="E72" i="3"/>
  <c r="E573" i="3"/>
  <c r="E453" i="3"/>
  <c r="E245" i="3"/>
  <c r="E114" i="3"/>
  <c r="E559" i="3"/>
  <c r="N6" i="3"/>
  <c r="E316" i="3"/>
  <c r="E443" i="3"/>
  <c r="E55" i="3"/>
  <c r="E156" i="3"/>
  <c r="E169" i="3"/>
  <c r="E153" i="3"/>
  <c r="E432" i="3"/>
  <c r="E475" i="3"/>
  <c r="E82" i="3"/>
  <c r="E373" i="3"/>
  <c r="E421" i="3"/>
  <c r="E147" i="3"/>
  <c r="E40" i="3"/>
  <c r="E342" i="3"/>
  <c r="E140" i="3"/>
  <c r="E267" i="3"/>
  <c r="E57" i="3"/>
  <c r="E51" i="3"/>
  <c r="E155" i="3"/>
  <c r="E101" i="3"/>
  <c r="E50" i="3"/>
  <c r="E52" i="3"/>
  <c r="E137" i="3"/>
  <c r="E43" i="3"/>
  <c r="E202" i="3"/>
  <c r="E498" i="3"/>
  <c r="E486" i="3"/>
  <c r="E223" i="3"/>
  <c r="E370" i="3"/>
  <c r="E78" i="3"/>
  <c r="E104" i="3"/>
  <c r="E360" i="3"/>
  <c r="E534" i="3"/>
  <c r="E287" i="3"/>
  <c r="E235" i="3"/>
  <c r="E198" i="3"/>
  <c r="E67" i="3"/>
  <c r="E409" i="3"/>
  <c r="I3" i="6"/>
  <c r="E352" i="3"/>
  <c r="E504" i="3"/>
  <c r="E459" i="3"/>
  <c r="E39" i="3"/>
  <c r="E375" i="3"/>
  <c r="E284" i="3"/>
  <c r="E520" i="3"/>
  <c r="E250" i="3"/>
  <c r="E90" i="3"/>
  <c r="E524" i="3"/>
  <c r="E364" i="3"/>
  <c r="AQ6" i="3"/>
  <c r="E170" i="3"/>
  <c r="E60" i="3"/>
  <c r="E178" i="3"/>
  <c r="J6" i="3"/>
  <c r="E427" i="3"/>
  <c r="E188" i="3"/>
  <c r="E232" i="3"/>
  <c r="E412" i="3"/>
  <c r="E26" i="3"/>
  <c r="E451" i="3"/>
  <c r="E525" i="3"/>
  <c r="E113" i="3"/>
  <c r="E129" i="3"/>
  <c r="E21" i="3"/>
  <c r="E23" i="3"/>
  <c r="E76" i="3"/>
  <c r="E212" i="3"/>
  <c r="E199" i="3"/>
  <c r="E435" i="3"/>
  <c r="E363" i="3"/>
  <c r="E425" i="3"/>
  <c r="E300" i="3"/>
  <c r="E144" i="3"/>
  <c r="E264" i="3"/>
  <c r="E332" i="3"/>
  <c r="E18" i="3"/>
  <c r="E383" i="3"/>
  <c r="E251"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R6" i="3"/>
  <c r="E56" i="3"/>
  <c r="E389" i="3"/>
  <c r="E64" i="3"/>
  <c r="E310" i="3"/>
  <c r="E233" i="3"/>
  <c r="E309" i="3"/>
  <c r="AL6" i="3"/>
  <c r="E96" i="3"/>
  <c r="E522"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Q52" i="15"/>
  <c r="F1" i="15"/>
  <c r="C49" i="67"/>
  <c r="E95" i="3"/>
  <c r="E417" i="3"/>
  <c r="E554" i="3"/>
  <c r="E449" i="3"/>
  <c r="E442" i="3"/>
  <c r="E575" i="3"/>
  <c r="E536" i="3"/>
  <c r="AF6" i="3"/>
  <c r="E86" i="3"/>
  <c r="E174" i="3"/>
  <c r="E482" i="3"/>
  <c r="E391" i="3"/>
  <c r="E494" i="3"/>
  <c r="E283" i="3"/>
  <c r="E68" i="3"/>
  <c r="E184" i="3"/>
  <c r="E84" i="3"/>
  <c r="E371" i="3"/>
  <c r="E160" i="3"/>
  <c r="E467" i="3"/>
  <c r="E59" i="3"/>
  <c r="E349" i="3"/>
  <c r="E258" i="3"/>
  <c r="E37" i="3"/>
  <c r="E491" i="3"/>
  <c r="AP6" i="3"/>
  <c r="E430" i="3"/>
  <c r="E502" i="3"/>
  <c r="E286" i="3"/>
  <c r="E539" i="3"/>
  <c r="D56" i="71"/>
  <c r="T56" i="71"/>
  <c r="T40" i="71"/>
  <c r="D40" i="71"/>
  <c r="C36" i="71"/>
  <c r="D35" i="71"/>
  <c r="T52" i="71"/>
  <c r="D52"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F45" i="68"/>
  <c r="C47" i="68"/>
  <c r="D45" i="68" s="1"/>
  <c r="C29" i="68"/>
  <c r="D27" i="68"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3" i="34"/>
  <c r="D19" i="11"/>
  <c r="C19" i="11" s="1"/>
  <c r="C17" i="4"/>
  <c r="B4" i="52" s="1"/>
  <c r="B43" i="72" s="1"/>
  <c r="D3" i="33"/>
  <c r="D3" i="37"/>
  <c r="C39" i="43"/>
  <c r="C42" i="43"/>
  <c r="E42" i="43" s="1"/>
  <c r="C38" i="43"/>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AE6" i="1"/>
  <c r="F41" i="15"/>
  <c r="M27" i="67"/>
  <c r="M27" i="15"/>
  <c r="E19" i="6" l="1"/>
  <c r="F27" i="6"/>
  <c r="F31" i="6" s="1"/>
  <c r="W10" i="40"/>
  <c r="U10" i="40"/>
  <c r="F22" i="68"/>
  <c r="F25" i="12"/>
  <c r="C26" i="12" s="1"/>
  <c r="D25" i="12" s="1"/>
  <c r="C48" i="67"/>
  <c r="C66" i="67" s="1"/>
  <c r="AC6" i="3"/>
  <c r="H6" i="3"/>
  <c r="D116" i="43"/>
  <c r="F22" i="11"/>
  <c r="C24" i="11" s="1"/>
  <c r="F24" i="67"/>
  <c r="C24" i="67" s="1"/>
  <c r="F24" i="15"/>
  <c r="C24" i="15" s="1"/>
  <c r="F22" i="69"/>
  <c r="F41" i="69" s="1"/>
  <c r="D36" i="71"/>
  <c r="T36" i="71"/>
  <c r="E49" i="34"/>
  <c r="O36" i="43"/>
  <c r="Q36" i="43"/>
  <c r="N36" i="43"/>
  <c r="M36" i="43"/>
  <c r="P36" i="43"/>
  <c r="C17" i="71"/>
  <c r="D18" i="71"/>
  <c r="P37" i="43"/>
  <c r="M37" i="43"/>
  <c r="Q37" i="43"/>
  <c r="O37" i="43"/>
  <c r="N37" i="43"/>
  <c r="C34" i="43"/>
  <c r="E34" i="43" s="1"/>
  <c r="F69" i="15"/>
  <c r="E33" i="43"/>
  <c r="S11" i="1"/>
  <c r="E11" i="70" s="1"/>
  <c r="S9" i="1"/>
  <c r="S7" i="1"/>
  <c r="E7" i="70" s="1"/>
  <c r="S10" i="1"/>
  <c r="E10" i="70" s="1"/>
  <c r="S12" i="1"/>
  <c r="C20" i="11"/>
  <c r="D17" i="12"/>
  <c r="C17" i="12" s="1"/>
  <c r="D10" i="11"/>
  <c r="C10" i="11" s="1"/>
  <c r="D20" i="12"/>
  <c r="C20" i="12" s="1"/>
  <c r="D25" i="6"/>
  <c r="D15" i="6"/>
  <c r="D22" i="6"/>
  <c r="D21" i="6"/>
  <c r="D24" i="6"/>
  <c r="D20" i="6"/>
  <c r="D26" i="6"/>
  <c r="D8" i="6"/>
  <c r="D14" i="6"/>
  <c r="D6" i="6"/>
  <c r="D9" i="6"/>
  <c r="D10" i="6"/>
  <c r="D29" i="6"/>
  <c r="D19" i="6"/>
  <c r="C18" i="4"/>
  <c r="D23" i="6"/>
  <c r="D5" i="6"/>
  <c r="D12" i="6"/>
  <c r="D11" i="6"/>
  <c r="D13" i="6"/>
  <c r="D28" i="6"/>
  <c r="D30" i="6" s="1"/>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14" i="67"/>
  <c r="C17" i="67"/>
  <c r="M19" i="9" l="1"/>
  <c r="C118" i="9" s="1"/>
  <c r="B2" i="74" s="1"/>
  <c r="D8" i="74" s="1"/>
  <c r="C14" i="74"/>
  <c r="C34" i="40"/>
  <c r="K6" i="1"/>
  <c r="M18" i="9"/>
  <c r="B118" i="9" s="1"/>
  <c r="B1" i="74" s="1"/>
  <c r="E27" i="6"/>
  <c r="C44" i="68"/>
  <c r="D41" i="68" s="1"/>
  <c r="C26" i="68"/>
  <c r="D22" i="68" s="1"/>
  <c r="F41" i="68"/>
  <c r="C44" i="11"/>
  <c r="D41" i="11" s="1"/>
  <c r="C26" i="11"/>
  <c r="D22" i="11" s="1"/>
  <c r="C25" i="11"/>
  <c r="C60" i="67"/>
  <c r="C23" i="11"/>
  <c r="E6" i="3"/>
  <c r="C44" i="69"/>
  <c r="D41" i="69" s="1"/>
  <c r="C26" i="69"/>
  <c r="D22" i="69" s="1"/>
  <c r="C16" i="71"/>
  <c r="D17" i="71"/>
  <c r="C18" i="67"/>
  <c r="C15" i="67"/>
  <c r="C30" i="43"/>
  <c r="C31" i="43"/>
  <c r="E12" i="70"/>
  <c r="F34" i="11"/>
  <c r="F11" i="12"/>
  <c r="E9" i="70"/>
  <c r="AR9" i="1"/>
  <c r="AQ9" i="1"/>
  <c r="T9" i="1"/>
  <c r="AQ11" i="1"/>
  <c r="AR11" i="1"/>
  <c r="T11" i="1"/>
  <c r="AR12" i="1"/>
  <c r="T12" i="1"/>
  <c r="AQ12" i="1"/>
  <c r="AQ10" i="1"/>
  <c r="T10" i="1"/>
  <c r="AR10" i="1"/>
  <c r="AR7" i="1"/>
  <c r="AQ7" i="1"/>
  <c r="T7" i="1"/>
  <c r="D16" i="6"/>
  <c r="C15" i="12"/>
  <c r="C12" i="12"/>
  <c r="D27" i="6"/>
  <c r="D31" i="6" s="1"/>
  <c r="C10" i="69"/>
  <c r="C8" i="69" s="1"/>
  <c r="C5" i="69" s="1"/>
  <c r="D19" i="69"/>
  <c r="C4" i="52"/>
  <c r="B45" i="72" s="1"/>
  <c r="A10" i="51"/>
  <c r="B9" i="72" s="1"/>
  <c r="A7" i="51"/>
  <c r="B7" i="72" s="1"/>
  <c r="B2" i="43"/>
  <c r="B3" i="43" s="1"/>
  <c r="H69" i="39"/>
  <c r="I67" i="39"/>
  <c r="G65" i="40"/>
  <c r="H63" i="40"/>
  <c r="C43" i="37"/>
  <c r="C42" i="37"/>
  <c r="I48" i="35"/>
  <c r="C48" i="33"/>
  <c r="C49" i="33"/>
  <c r="H58" i="21"/>
  <c r="E47" i="37"/>
  <c r="F47" i="37" s="1"/>
  <c r="E46" i="37"/>
  <c r="F46" i="37" s="1"/>
  <c r="I47" i="37"/>
  <c r="J47" i="37" s="1"/>
  <c r="E53" i="33"/>
  <c r="F53" i="33" s="1"/>
  <c r="E52" i="33"/>
  <c r="F52" i="33" s="1"/>
  <c r="C33" i="67"/>
  <c r="J19" i="67"/>
  <c r="F43" i="15"/>
  <c r="B6" i="76"/>
  <c r="F7" i="15"/>
  <c r="E6" i="76"/>
  <c r="M29" i="15"/>
  <c r="D7" i="74" l="1"/>
  <c r="M7" i="15"/>
  <c r="J6" i="15" s="1"/>
  <c r="F50" i="15"/>
  <c r="C49" i="15" s="1"/>
  <c r="C48" i="15" s="1"/>
  <c r="C6" i="15"/>
  <c r="F71" i="15"/>
  <c r="AP6" i="1"/>
  <c r="C36" i="69" s="1"/>
  <c r="M6" i="1"/>
  <c r="H16" i="1"/>
  <c r="G16" i="1"/>
  <c r="K16" i="1"/>
  <c r="Q16" i="1"/>
  <c r="C34" i="69"/>
  <c r="K26" i="6"/>
  <c r="M26" i="6" s="1"/>
  <c r="I26" i="6" s="1"/>
  <c r="K20" i="6"/>
  <c r="M20" i="6" s="1"/>
  <c r="I20" i="6" s="1"/>
  <c r="K24" i="6"/>
  <c r="M24" i="6" s="1"/>
  <c r="I24" i="6" s="1"/>
  <c r="K23" i="6"/>
  <c r="M23" i="6" s="1"/>
  <c r="I23" i="6" s="1"/>
  <c r="K22" i="6"/>
  <c r="M22" i="6" s="1"/>
  <c r="I22" i="6" s="1"/>
  <c r="K21" i="6"/>
  <c r="K25" i="6"/>
  <c r="M25" i="6" s="1"/>
  <c r="I25" i="6" s="1"/>
  <c r="E31" i="6"/>
  <c r="F34" i="40"/>
  <c r="J34" i="40"/>
  <c r="H34" i="40"/>
  <c r="K19" i="6"/>
  <c r="C22" i="11"/>
  <c r="C15" i="71"/>
  <c r="T16" i="71"/>
  <c r="D16" i="71"/>
  <c r="U16" i="71" s="1"/>
  <c r="C19" i="67"/>
  <c r="C20" i="67" s="1"/>
  <c r="C26" i="67" s="1"/>
  <c r="C36" i="11"/>
  <c r="C37" i="11"/>
  <c r="C23" i="12"/>
  <c r="C14" i="12"/>
  <c r="C16" i="12" s="1"/>
  <c r="C19" i="68"/>
  <c r="C19" i="69"/>
  <c r="C24" i="69" s="1"/>
  <c r="D37" i="69"/>
  <c r="C37" i="69" s="1"/>
  <c r="I5" i="6"/>
  <c r="I6" i="6"/>
  <c r="C23" i="69"/>
  <c r="E2" i="76"/>
  <c r="B2" i="76"/>
  <c r="I69" i="39"/>
  <c r="J67" i="39"/>
  <c r="I63" i="40"/>
  <c r="H65" i="40"/>
  <c r="I58" i="21"/>
  <c r="J58" i="21" s="1"/>
  <c r="K58" i="21" s="1"/>
  <c r="L58" i="21" s="1"/>
  <c r="M58" i="21" s="1"/>
  <c r="N58" i="21" s="1"/>
  <c r="O58" i="21" s="1"/>
  <c r="H7" i="21" s="1"/>
  <c r="J48" i="35"/>
  <c r="C16" i="15"/>
  <c r="S23" i="6" l="1"/>
  <c r="H23" i="6"/>
  <c r="R23" i="6" s="1"/>
  <c r="R10" i="1" s="1"/>
  <c r="C38" i="69"/>
  <c r="C35" i="69"/>
  <c r="F10" i="39"/>
  <c r="H10" i="39"/>
  <c r="J10" i="39"/>
  <c r="AB34" i="40"/>
  <c r="U34" i="40"/>
  <c r="S25" i="6"/>
  <c r="H25" i="6"/>
  <c r="R25" i="6" s="1"/>
  <c r="R12" i="1" s="1"/>
  <c r="S24" i="6"/>
  <c r="H24" i="6"/>
  <c r="R24" i="6" s="1"/>
  <c r="R11" i="1" s="1"/>
  <c r="C32" i="15"/>
  <c r="C10" i="15"/>
  <c r="C5" i="15" s="1"/>
  <c r="C38" i="15" s="1"/>
  <c r="C33" i="15"/>
  <c r="AC34" i="40"/>
  <c r="W34" i="40"/>
  <c r="S8" i="1"/>
  <c r="M21" i="6"/>
  <c r="I21" i="6" s="1"/>
  <c r="S20" i="6"/>
  <c r="H20" i="6"/>
  <c r="R20" i="6" s="1"/>
  <c r="R7" i="1" s="1"/>
  <c r="F27" i="69"/>
  <c r="F28" i="12"/>
  <c r="C29" i="12" s="1"/>
  <c r="D28" i="12" s="1"/>
  <c r="F27" i="11"/>
  <c r="O6" i="1"/>
  <c r="O16" i="1" s="1"/>
  <c r="M16" i="1"/>
  <c r="C66" i="15"/>
  <c r="C60" i="15"/>
  <c r="S6" i="1"/>
  <c r="K27" i="6"/>
  <c r="M19" i="6"/>
  <c r="AA34" i="40"/>
  <c r="S34" i="40"/>
  <c r="S22" i="6"/>
  <c r="H22" i="6"/>
  <c r="R22" i="6" s="1"/>
  <c r="R9" i="1" s="1"/>
  <c r="S26" i="6"/>
  <c r="H26" i="6"/>
  <c r="R26" i="6" s="1"/>
  <c r="J18" i="15"/>
  <c r="J5" i="15"/>
  <c r="J24" i="15" s="1"/>
  <c r="C14" i="71"/>
  <c r="D15" i="71"/>
  <c r="F7" i="21"/>
  <c r="S7" i="21" s="1"/>
  <c r="J7" i="21"/>
  <c r="AC7" i="21" s="1"/>
  <c r="V48" i="21" s="1"/>
  <c r="I48" i="21" s="1"/>
  <c r="C23" i="67"/>
  <c r="C29" i="67" s="1"/>
  <c r="J59" i="67" s="1"/>
  <c r="J60" i="67" s="1"/>
  <c r="Q48" i="67" s="1"/>
  <c r="C20" i="69"/>
  <c r="C24" i="68"/>
  <c r="B3" i="76"/>
  <c r="J69" i="39"/>
  <c r="K67" i="39"/>
  <c r="U7" i="21"/>
  <c r="AB7" i="21"/>
  <c r="T48" i="21" s="1"/>
  <c r="G48" i="21" s="1"/>
  <c r="J63" i="40"/>
  <c r="I65" i="40"/>
  <c r="K48" i="35"/>
  <c r="L48" i="35" s="1"/>
  <c r="M48" i="35" s="1"/>
  <c r="N48" i="35" s="1"/>
  <c r="O48" i="35" s="1"/>
  <c r="H7" i="35" s="1"/>
  <c r="D10" i="68"/>
  <c r="C17" i="15"/>
  <c r="C33" i="69" l="1"/>
  <c r="C42" i="69" s="1"/>
  <c r="C28" i="69"/>
  <c r="C27" i="69" s="1"/>
  <c r="D19" i="68"/>
  <c r="D37" i="68" s="1"/>
  <c r="C37" i="68" s="1"/>
  <c r="C10" i="68"/>
  <c r="B29" i="1" s="1"/>
  <c r="C18" i="12" s="1"/>
  <c r="C21" i="12" s="1"/>
  <c r="L16" i="1"/>
  <c r="C34" i="11"/>
  <c r="C47" i="69"/>
  <c r="D45" i="69" s="1"/>
  <c r="F45" i="69"/>
  <c r="C29" i="69"/>
  <c r="D27" i="69" s="1"/>
  <c r="E8" i="70"/>
  <c r="AQ8" i="1"/>
  <c r="T8" i="1"/>
  <c r="AR8" i="1"/>
  <c r="W10" i="39"/>
  <c r="AC10" i="39"/>
  <c r="M27" i="6"/>
  <c r="I19" i="6"/>
  <c r="C29" i="11"/>
  <c r="D27" i="11" s="1"/>
  <c r="C47" i="11"/>
  <c r="D45" i="11" s="1"/>
  <c r="C28" i="11"/>
  <c r="C27" i="11" s="1"/>
  <c r="U10" i="39"/>
  <c r="AB10" i="39"/>
  <c r="AQ6" i="1"/>
  <c r="AR6" i="1"/>
  <c r="T6" i="1"/>
  <c r="S16" i="1"/>
  <c r="E6" i="70"/>
  <c r="N16" i="1"/>
  <c r="S21" i="6"/>
  <c r="H21" i="6"/>
  <c r="R21" i="6" s="1"/>
  <c r="R8" i="1" s="1"/>
  <c r="S10" i="39"/>
  <c r="AA10" i="39"/>
  <c r="D14" i="71"/>
  <c r="C13" i="71"/>
  <c r="W7" i="21"/>
  <c r="AA7" i="21"/>
  <c r="R48" i="21" s="1"/>
  <c r="R49" i="21" s="1"/>
  <c r="J7" i="35"/>
  <c r="W7" i="35" s="1"/>
  <c r="Q49" i="67"/>
  <c r="J14" i="67"/>
  <c r="J13" i="67" s="1"/>
  <c r="J23" i="67" s="1"/>
  <c r="C36" i="67"/>
  <c r="C57" i="67"/>
  <c r="C64" i="67" s="1"/>
  <c r="C13" i="67"/>
  <c r="Q70" i="67" s="1"/>
  <c r="C61" i="67"/>
  <c r="C25" i="69"/>
  <c r="C22" i="69" s="1"/>
  <c r="L67" i="39"/>
  <c r="K69" i="39"/>
  <c r="J65" i="40"/>
  <c r="K63" i="40"/>
  <c r="I52" i="21"/>
  <c r="J52" i="21" s="1"/>
  <c r="U7" i="35"/>
  <c r="AB7" i="35"/>
  <c r="T38" i="35" s="1"/>
  <c r="G38" i="35" s="1"/>
  <c r="E48" i="21"/>
  <c r="G52" i="21"/>
  <c r="H52" i="21" s="1"/>
  <c r="G53" i="21"/>
  <c r="H53" i="21" s="1"/>
  <c r="F7" i="35"/>
  <c r="M21" i="67"/>
  <c r="F35" i="67"/>
  <c r="C34" i="68"/>
  <c r="C14" i="15"/>
  <c r="C22" i="12" l="1"/>
  <c r="C30" i="12" s="1"/>
  <c r="C28" i="12" s="1"/>
  <c r="C39" i="69"/>
  <c r="C43" i="69" s="1"/>
  <c r="C41" i="69" s="1"/>
  <c r="C31" i="69"/>
  <c r="C15" i="15"/>
  <c r="C18" i="15"/>
  <c r="C38" i="68"/>
  <c r="C35" i="68"/>
  <c r="C35" i="11"/>
  <c r="C38" i="11"/>
  <c r="T16" i="1"/>
  <c r="L18" i="9"/>
  <c r="H19" i="6"/>
  <c r="S19" i="6"/>
  <c r="S27" i="6" s="1"/>
  <c r="I27" i="6"/>
  <c r="F50" i="68"/>
  <c r="F50" i="69"/>
  <c r="F50" i="11"/>
  <c r="C31" i="11"/>
  <c r="E2" i="70"/>
  <c r="AC7" i="35"/>
  <c r="V38" i="35" s="1"/>
  <c r="I38" i="35" s="1"/>
  <c r="C12" i="71"/>
  <c r="D13" i="71"/>
  <c r="C56" i="67"/>
  <c r="C65" i="67" s="1"/>
  <c r="J22" i="67"/>
  <c r="C37" i="67"/>
  <c r="C75" i="67"/>
  <c r="C34" i="67"/>
  <c r="C31" i="67" s="1"/>
  <c r="F63" i="67"/>
  <c r="C62" i="67" s="1"/>
  <c r="C59" i="67" s="1"/>
  <c r="J20" i="67"/>
  <c r="J17" i="67" s="1"/>
  <c r="J19" i="15"/>
  <c r="L69" i="39"/>
  <c r="M67" i="39"/>
  <c r="S7" i="35"/>
  <c r="AA7" i="35"/>
  <c r="R38" i="35" s="1"/>
  <c r="C49" i="21"/>
  <c r="C48" i="21"/>
  <c r="E52" i="21"/>
  <c r="F52" i="21" s="1"/>
  <c r="E53" i="21"/>
  <c r="F53" i="21" s="1"/>
  <c r="G42" i="35"/>
  <c r="H42" i="35" s="1"/>
  <c r="G43" i="35"/>
  <c r="H43" i="35" s="1"/>
  <c r="I53" i="21"/>
  <c r="J53" i="21" s="1"/>
  <c r="K65" i="40"/>
  <c r="L63" i="40"/>
  <c r="I42" i="35"/>
  <c r="J42" i="35" s="1"/>
  <c r="C33" i="11" l="1"/>
  <c r="C39" i="11" s="1"/>
  <c r="C43" i="11" s="1"/>
  <c r="C27" i="12"/>
  <c r="C25" i="12" s="1"/>
  <c r="C32" i="12" s="1"/>
  <c r="B2" i="12" s="1"/>
  <c r="B3" i="12" s="1"/>
  <c r="C33" i="68"/>
  <c r="C39" i="68" s="1"/>
  <c r="C46" i="69"/>
  <c r="C45" i="69" s="1"/>
  <c r="C49" i="69" s="1"/>
  <c r="C51" i="69" s="1"/>
  <c r="C19" i="15"/>
  <c r="C20" i="15" s="1"/>
  <c r="C26" i="15" s="1"/>
  <c r="C42" i="11"/>
  <c r="C41" i="11" s="1"/>
  <c r="L19" i="9"/>
  <c r="R19" i="6"/>
  <c r="H27" i="6"/>
  <c r="C46" i="11"/>
  <c r="C45" i="11" s="1"/>
  <c r="C11" i="71"/>
  <c r="T12" i="71"/>
  <c r="D12" i="71"/>
  <c r="U12" i="71" s="1"/>
  <c r="C58" i="67"/>
  <c r="C67" i="67" s="1"/>
  <c r="C68" i="67" s="1"/>
  <c r="C71" i="67" s="1"/>
  <c r="J16" i="67"/>
  <c r="J25" i="67" s="1"/>
  <c r="J26" i="67" s="1"/>
  <c r="J29" i="67" s="1"/>
  <c r="C30" i="67"/>
  <c r="C39" i="67" s="1"/>
  <c r="Q69" i="67" s="1"/>
  <c r="Q68" i="67" s="1"/>
  <c r="C61" i="15"/>
  <c r="M69" i="39"/>
  <c r="N67" i="39"/>
  <c r="R39" i="35"/>
  <c r="E38" i="35"/>
  <c r="M63" i="40"/>
  <c r="L65" i="40"/>
  <c r="D2" i="21"/>
  <c r="C42" i="68" l="1"/>
  <c r="C52" i="69"/>
  <c r="B2" i="69" s="1"/>
  <c r="B3" i="69" s="1"/>
  <c r="C43" i="68"/>
  <c r="C46" i="68"/>
  <c r="C45" i="68" s="1"/>
  <c r="C49" i="11"/>
  <c r="C51" i="11" s="1"/>
  <c r="C52" i="11" s="1"/>
  <c r="B2" i="11" s="1"/>
  <c r="B3" i="11" s="1"/>
  <c r="C23" i="15"/>
  <c r="C29" i="15" s="1"/>
  <c r="Q49" i="15" s="1"/>
  <c r="R6" i="1"/>
  <c r="R27" i="6"/>
  <c r="C10" i="71"/>
  <c r="D11" i="71"/>
  <c r="C80" i="67"/>
  <c r="C79" i="67" s="1"/>
  <c r="C40" i="67"/>
  <c r="C45" i="67" s="1"/>
  <c r="B2" i="21"/>
  <c r="B3" i="21" s="1"/>
  <c r="O67" i="39"/>
  <c r="O69" i="39" s="1"/>
  <c r="N69" i="39"/>
  <c r="F7" i="39"/>
  <c r="C39" i="35"/>
  <c r="C38" i="35"/>
  <c r="N63" i="40"/>
  <c r="M65" i="40"/>
  <c r="E43" i="35"/>
  <c r="F43" i="35" s="1"/>
  <c r="E42" i="35"/>
  <c r="F42" i="35" s="1"/>
  <c r="I43" i="35"/>
  <c r="J43" i="35" s="1"/>
  <c r="F35" i="15"/>
  <c r="L51" i="67"/>
  <c r="M21" i="15"/>
  <c r="D2" i="33"/>
  <c r="C41" i="68" l="1"/>
  <c r="C49" i="68" s="1"/>
  <c r="C51" i="68" s="1"/>
  <c r="C57" i="69"/>
  <c r="C56" i="69" s="1"/>
  <c r="C56" i="11"/>
  <c r="C57" i="11" s="1"/>
  <c r="C57" i="15"/>
  <c r="C64" i="15" s="1"/>
  <c r="J59" i="15"/>
  <c r="J60" i="15" s="1"/>
  <c r="Q48" i="15" s="1"/>
  <c r="C13" i="15"/>
  <c r="C37" i="15" s="1"/>
  <c r="J14" i="15"/>
  <c r="J13" i="15" s="1"/>
  <c r="J23" i="15" s="1"/>
  <c r="C36" i="15"/>
  <c r="J20" i="15"/>
  <c r="J17" i="15" s="1"/>
  <c r="F63" i="15"/>
  <c r="C62" i="15" s="1"/>
  <c r="C59" i="15" s="1"/>
  <c r="C34" i="15"/>
  <c r="C31" i="15" s="1"/>
  <c r="R16" i="1"/>
  <c r="D10" i="71"/>
  <c r="C9"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4"/>
  <c r="D2" i="36"/>
  <c r="D2" i="35"/>
  <c r="D2" i="37"/>
  <c r="C75" i="15" l="1"/>
  <c r="C56" i="15"/>
  <c r="C65" i="15" s="1"/>
  <c r="C58" i="15" s="1"/>
  <c r="C67" i="15" s="1"/>
  <c r="C68" i="15" s="1"/>
  <c r="C71" i="15" s="1"/>
  <c r="Q70" i="15"/>
  <c r="J22" i="15"/>
  <c r="J16" i="15" s="1"/>
  <c r="J25" i="15" s="1"/>
  <c r="J26" i="15" s="1"/>
  <c r="J29" i="15" s="1"/>
  <c r="C30" i="15"/>
  <c r="C39" i="15" s="1"/>
  <c r="C8" i="71"/>
  <c r="D9" i="71"/>
  <c r="Q57" i="67"/>
  <c r="Q62" i="67" s="1"/>
  <c r="Q66" i="67"/>
  <c r="Q75" i="67" s="1"/>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L51" i="15"/>
  <c r="AO7" i="1"/>
  <c r="AO11" i="1"/>
  <c r="AO12" i="1"/>
  <c r="AO8" i="1"/>
  <c r="AO10" i="1"/>
  <c r="AO9" i="1"/>
  <c r="Q67" i="15" l="1"/>
  <c r="C40" i="15"/>
  <c r="C80" i="15"/>
  <c r="C79" i="15" s="1"/>
  <c r="H42" i="15"/>
  <c r="Q69" i="15"/>
  <c r="Q68" i="15" s="1"/>
  <c r="C7" i="71"/>
  <c r="D8" i="71"/>
  <c r="L46" i="15"/>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C46" i="15"/>
  <c r="C43" i="15"/>
  <c r="C83" i="15"/>
  <c r="C82" i="15" s="1"/>
  <c r="Q65" i="15"/>
  <c r="Q75" i="15" s="1"/>
  <c r="Q47" i="15"/>
  <c r="Q53" i="15" s="1"/>
  <c r="Q56" i="15"/>
  <c r="Q62" i="15"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9" i="9"/>
  <c r="AO6" i="1"/>
  <c r="D21" i="9" l="1"/>
  <c r="D102" i="9"/>
  <c r="B6" i="70"/>
  <c r="B2" i="70" s="1"/>
  <c r="B3" i="70" s="1"/>
  <c r="D103" i="9"/>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F61" i="40" s="1"/>
  <c r="B2" i="40" s="1"/>
  <c r="B51" i="40"/>
  <c r="F51" i="40" s="1"/>
  <c r="B3" i="40" l="1"/>
  <c r="C6" i="68"/>
  <c r="C7" i="68" s="1"/>
  <c r="C5" i="68" s="1"/>
  <c r="C23" i="68" l="1"/>
  <c r="C20" i="68"/>
  <c r="C28" i="68" l="1"/>
  <c r="C27" i="68" s="1"/>
  <c r="C25" i="68"/>
  <c r="C22" i="68" s="1"/>
  <c r="C31" i="68" l="1"/>
  <c r="C52" i="68" s="1"/>
  <c r="B2" i="68" s="1"/>
  <c r="C19" i="9"/>
  <c r="B3" i="68"/>
  <c r="C57" i="68" l="1"/>
  <c r="G19" i="9"/>
  <c r="C102" i="9"/>
  <c r="D22" i="9"/>
  <c r="C21" i="9"/>
  <c r="C20" i="9"/>
  <c r="D35" i="9"/>
  <c r="G20" i="9" l="1"/>
  <c r="C103" i="9"/>
  <c r="G21" i="9"/>
  <c r="L24" i="9"/>
  <c r="L26" i="9" s="1"/>
  <c r="P26" i="9" s="1"/>
  <c r="C56" i="68"/>
  <c r="C32" i="9"/>
  <c r="C35" i="9" s="1"/>
  <c r="C34" i="9" s="1"/>
  <c r="D34" i="9"/>
  <c r="D118" i="9" l="1"/>
  <c r="F118" i="9"/>
  <c r="G118" i="9" s="1"/>
  <c r="G4" i="52" s="1"/>
  <c r="B52" i="72" s="1"/>
  <c r="H118" i="9"/>
  <c r="K117" i="9" s="1"/>
  <c r="I118" i="9" l="1"/>
  <c r="H102" i="9" s="1"/>
  <c r="E14" i="74" s="1"/>
  <c r="F4" i="52"/>
  <c r="B51" i="72" s="1"/>
  <c r="F119" i="9"/>
  <c r="F5" i="52" s="1"/>
  <c r="B53" i="72" s="1"/>
  <c r="D119" i="9"/>
  <c r="D5" i="52" s="1"/>
  <c r="B49" i="72" s="1"/>
  <c r="D4" i="52"/>
  <c r="B47" i="72" s="1"/>
  <c r="C104" i="9"/>
  <c r="H101" i="9"/>
  <c r="H119" i="9"/>
  <c r="H5" i="52" s="1"/>
  <c r="H4" i="52"/>
  <c r="D7" i="53" l="1"/>
  <c r="B21" i="72" s="1"/>
  <c r="E118" i="9"/>
  <c r="E4" i="52" s="1"/>
  <c r="B48" i="72" s="1"/>
  <c r="I4" i="52"/>
  <c r="C105" i="9"/>
  <c r="D5" i="53"/>
  <c r="D14" i="74"/>
  <c r="D45" i="9"/>
  <c r="M48" i="9"/>
  <c r="H107" i="9"/>
  <c r="C78" i="9" l="1"/>
  <c r="C73" i="9" s="1"/>
  <c r="C93" i="9"/>
  <c r="C86" i="9" s="1"/>
  <c r="C64" i="9"/>
  <c r="C63" i="9" s="1"/>
  <c r="C67" i="9" s="1"/>
  <c r="D52" i="9"/>
  <c r="D55" i="9"/>
  <c r="M53" i="9" s="1"/>
  <c r="C72" i="9"/>
  <c r="D53" i="9"/>
  <c r="C85" i="9"/>
  <c r="B5" i="74"/>
  <c r="F14" i="74"/>
  <c r="H108" i="9"/>
  <c r="D15" i="53" s="1"/>
  <c r="B31" i="72" s="1"/>
  <c r="M49" i="9"/>
  <c r="D122" i="9"/>
  <c r="G14" i="74"/>
  <c r="B6" i="74" s="1"/>
  <c r="D13" i="53"/>
  <c r="D6" i="53"/>
  <c r="B22" i="72" s="1"/>
  <c r="B20" i="72"/>
  <c r="C79" i="9" l="1"/>
  <c r="C80" i="9" s="1"/>
  <c r="E80" i="9" s="1"/>
  <c r="E81" i="9" s="1"/>
  <c r="C95" i="9"/>
  <c r="C96" i="9" s="1"/>
  <c r="E96" i="9" s="1"/>
  <c r="E97" i="9" s="1"/>
  <c r="C68" i="9"/>
  <c r="D54" i="9" s="1"/>
  <c r="D59" i="9"/>
  <c r="M55" i="9" s="1"/>
  <c r="L63" i="9"/>
  <c r="M63" i="9" s="1"/>
  <c r="L68" i="9"/>
  <c r="M68" i="9" s="1"/>
  <c r="L66" i="9"/>
  <c r="M66" i="9" s="1"/>
  <c r="L64" i="9"/>
  <c r="M64" i="9" s="1"/>
  <c r="L65" i="9"/>
  <c r="M65" i="9" s="1"/>
  <c r="L67" i="9"/>
  <c r="M67" i="9" s="1"/>
  <c r="B30" i="72"/>
  <c r="D14" i="53"/>
  <c r="B32" i="72" s="1"/>
  <c r="D6" i="74"/>
  <c r="C6" i="74"/>
  <c r="D8" i="52"/>
  <c r="D123" i="9"/>
  <c r="D9" i="52" s="1"/>
  <c r="C5" i="74"/>
  <c r="D5" i="74"/>
  <c r="C81" i="9" l="1"/>
  <c r="C97" i="9"/>
  <c r="D58" i="9" s="1"/>
  <c r="D56" i="9" s="1"/>
  <c r="M54" i="9" s="1"/>
  <c r="N57" i="9" s="1"/>
  <c r="N59" i="9" s="1"/>
  <c r="N60" i="9" s="1"/>
  <c r="M69" i="9"/>
  <c r="N69" i="9" s="1"/>
  <c r="N58" i="9" l="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<sst xmlns="http://schemas.openxmlformats.org/spreadsheetml/2006/main" count="8510" uniqueCount="3669">
  <si>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</si>
  <si>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</si>
  <si>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</si>
  <si>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</si>
  <si>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</si>
  <si>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</si>
  <si>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</si>
  <si>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</si>
  <si>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</si>
  <si>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</si>
  <si>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</si>
  <si>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</si>
  <si>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</si>
  <si>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</si>
  <si>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</si>
  <si>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</si>
  <si>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</si>
  <si>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</si>
  <si>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</si>
  <si>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</si>
  <si>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</si>
  <si>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</si>
  <si>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</si>
  <si>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</si>
  <si>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</si>
  <si>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</si>
  <si>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</si>
  <si>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</si>
  <si>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</si>
  <si>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</si>
  <si>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</si>
  <si>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</si>
  <si>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</si>
  <si>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</si>
  <si>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</si>
  <si>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</si>
  <si>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</si>
  <si>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</si>
  <si>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</si>
  <si>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</si>
  <si>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</si>
  <si>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</si>
  <si>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</si>
  <si>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</si>
  <si>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</si>
  <si>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</si>
  <si>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</si>
  <si>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</si>
  <si>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</si>
  <si>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</si>
  <si>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</si>
  <si>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</si>
  <si>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</si>
  <si>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</si>
  <si>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</si>
  <si>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</si>
  <si>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</si>
  <si>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</si>
  <si>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</si>
  <si>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</si>
  <si>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</si>
  <si>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</si>
  <si>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</si>
  <si>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</si>
  <si>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</si>
  <si>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</si>
  <si>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</si>
  <si>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</si>
  <si>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</si>
  <si>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</si>
  <si>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</si>
  <si>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</si>
  <si>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</si>
  <si>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</si>
  <si>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</si>
  <si>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</si>
  <si>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</si>
  <si>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</si>
  <si>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</si>
  <si>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</si>
  <si>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</si>
  <si>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</si>
  <si>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</si>
  <si>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</si>
  <si>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</si>
  <si>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</si>
  <si>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</si>
  <si>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</si>
  <si>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</si>
  <si>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</si>
  <si>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</si>
  <si>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</si>
  <si>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</si>
  <si>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</si>
  <si>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</si>
  <si>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</si>
  <si>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</si>
  <si>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</si>
  <si>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</si>
  <si>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</si>
  <si>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</si>
  <si>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</si>
  <si>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</si>
  <si>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</si>
  <si>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</si>
  <si>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</si>
  <si>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</si>
  <si>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</si>
  <si>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</si>
  <si>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</si>
  <si>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</si>
  <si>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</si>
  <si>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</si>
  <si>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</si>
  <si>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</si>
  <si>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</si>
  <si>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</si>
  <si>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</si>
  <si>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</si>
  <si>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</si>
  <si>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</si>
  <si>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</si>
  <si>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</si>
  <si>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</si>
  <si>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</si>
  <si>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</si>
  <si>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</si>
  <si>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</si>
  <si>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</si>
  <si>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</si>
  <si>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</si>
  <si>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</si>
  <si>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</si>
  <si>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</si>
  <si>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</si>
  <si>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</si>
  <si>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</si>
  <si>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</si>
  <si>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</si>
  <si>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</si>
  <si>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</si>
  <si>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</si>
  <si>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</si>
  <si>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</si>
  <si>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</si>
  <si>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</si>
  <si>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</si>
  <si>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</si>
  <si>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</si>
  <si>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</si>
  <si>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</si>
  <si>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</si>
  <si>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</si>
  <si>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</si>
  <si>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</si>
  <si>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</si>
  <si>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</si>
  <si>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</si>
  <si>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</si>
  <si>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</si>
  <si>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</si>
  <si>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</si>
  <si>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</si>
  <si>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</si>
  <si>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</si>
  <si>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</si>
  <si>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</si>
  <si>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</si>
  <si>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</si>
  <si>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</si>
  <si>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</si>
  <si>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</si>
  <si>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</si>
  <si>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</si>
  <si>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</si>
  <si>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</si>
  <si>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</si>
  <si>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</si>
  <si>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</si>
  <si>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</si>
  <si>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</si>
  <si>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</si>
  <si>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</si>
  <si>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</si>
  <si>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</si>
  <si>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</si>
  <si>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</si>
  <si>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</si>
  <si>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</si>
  <si>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</si>
  <si>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</si>
  <si>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</si>
  <si>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</si>
  <si>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</si>
  <si>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</si>
  <si>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</si>
  <si>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</si>
  <si>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</si>
  <si>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</si>
  <si>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</si>
  <si>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</si>
  <si>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</si>
  <si>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</si>
  <si>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</si>
  <si>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</si>
  <si>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</si>
  <si>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</si>
  <si>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</si>
  <si>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</si>
  <si>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</si>
  <si>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</si>
  <si>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</si>
  <si>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</si>
  <si>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</si>
  <si>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</si>
  <si>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</si>
  <si>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</si>
  <si>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</si>
  <si>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</si>
  <si>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</si>
  <si>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</si>
  <si>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</si>
  <si>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</si>
  <si>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</si>
  <si>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</si>
  <si>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</si>
  <si>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</si>
  <si>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</si>
  <si>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</si>
  <si>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</si>
  <si>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</si>
  <si>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</si>
  <si>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</si>
  <si>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</si>
  <si>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</si>
  <si>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</si>
  <si>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</si>
  <si>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</si>
  <si>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</si>
  <si>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</si>
  <si>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</si>
  <si>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</si>
  <si>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</si>
  <si>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</si>
  <si>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</si>
  <si>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</si>
  <si>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</si>
  <si>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</si>
  <si>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</si>
  <si>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</si>
  <si>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</si>
  <si>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</si>
  <si>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</si>
  <si>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</si>
  <si>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</si>
  <si>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</si>
  <si>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</si>
  <si>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</si>
  <si>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</si>
  <si>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</si>
  <si>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</si>
  <si>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</si>
  <si>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</si>
  <si>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</si>
  <si>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</si>
  <si>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</si>
  <si>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</si>
  <si>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</si>
  <si>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</si>
  <si>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</si>
  <si>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</si>
  <si>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</si>
  <si>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</si>
  <si>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</si>
  <si>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</si>
  <si>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</si>
  <si>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</si>
  <si>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</si>
  <si>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</si>
  <si>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</si>
  <si>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</si>
  <si>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</si>
  <si>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</si>
  <si>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</si>
  <si>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</si>
  <si>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</si>
  <si>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</si>
  <si>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</si>
  <si>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</si>
  <si>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</si>
  <si>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</si>
  <si>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</si>
  <si>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</si>
  <si>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</si>
  <si>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</si>
  <si>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</si>
  <si>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</si>
  <si>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</si>
  <si>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</si>
  <si>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</si>
  <si>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</si>
  <si>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</si>
  <si>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</si>
  <si>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</si>
  <si>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</si>
  <si>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</si>
  <si>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</si>
  <si>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</si>
  <si>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</si>
  <si>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</si>
  <si>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</si>
  <si>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</si>
  <si>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</si>
  <si>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</si>
  <si>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</si>
  <si>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</si>
  <si>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</si>
  <si>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</si>
  <si>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</si>
  <si>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</si>
  <si>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</si>
  <si>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</si>
  <si>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</si>
  <si>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</si>
  <si>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</si>
  <si>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</si>
  <si>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</si>
  <si>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</si>
  <si>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</si>
  <si>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</si>
  <si>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</si>
  <si>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</si>
  <si>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</si>
  <si>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</si>
  <si>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</si>
  <si>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</si>
  <si>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</si>
  <si>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</si>
  <si>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</si>
  <si>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</si>
  <si>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</si>
  <si>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</si>
  <si>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</si>
  <si>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</si>
  <si>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</si>
  <si>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</si>
  <si>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</si>
  <si>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</si>
  <si>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</si>
  <si>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</si>
  <si>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</si>
  <si>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</si>
  <si>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</si>
  <si>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</si>
  <si>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</si>
  <si>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</si>
  <si>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</si>
  <si>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</si>
  <si>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</si>
  <si>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</si>
  <si>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</si>
  <si>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</si>
  <si>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</si>
  <si>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</si>
  <si>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</si>
  <si>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</si>
  <si>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</si>
  <si>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</si>
  <si>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</si>
  <si>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</si>
  <si>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</si>
  <si>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</si>
  <si>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</si>
  <si>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</si>
  <si>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</si>
  <si>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</si>
  <si>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</si>
  <si>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</si>
  <si>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</si>
  <si>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</si>
  <si>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</si>
  <si>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</si>
  <si>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</si>
  <si>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</si>
  <si>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</si>
  <si>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</si>
  <si>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</si>
  <si>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</si>
  <si>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</si>
  <si>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</si>
  <si>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</si>
  <si>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</si>
  <si>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</si>
  <si>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</si>
  <si>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</si>
  <si>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</si>
  <si>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</si>
  <si>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</si>
  <si>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</si>
  <si>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</si>
  <si>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</si>
  <si>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</si>
  <si>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</si>
  <si>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</si>
  <si>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</si>
  <si>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</si>
  <si>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</si>
  <si>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</si>
  <si>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</si>
  <si>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</si>
  <si>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</si>
  <si>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</si>
  <si>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</si>
  <si>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</si>
  <si>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</si>
  <si>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</si>
  <si>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</si>
  <si>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</si>
  <si>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</si>
  <si>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</si>
  <si>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</si>
  <si>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</si>
  <si>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</si>
  <si>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</si>
  <si>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</si>
  <si>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</si>
  <si>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</si>
  <si>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</si>
  <si>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</si>
  <si>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</si>
  <si>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</si>
  <si>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</si>
  <si>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</si>
  <si>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</si>
  <si>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</si>
  <si>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</si>
  <si>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</si>
  <si>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</si>
  <si>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</si>
  <si>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</si>
  <si>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</si>
  <si>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</si>
  <si>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</si>
  <si>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</si>
  <si>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</si>
  <si>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</si>
  <si>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</si>
  <si>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</si>
  <si>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</si>
  <si>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</si>
  <si>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</si>
  <si>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</si>
  <si>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</si>
  <si>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</si>
  <si>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</si>
  <si>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</si>
  <si>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</si>
  <si>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</si>
  <si>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</si>
  <si>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</si>
  <si>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</si>
  <si>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</si>
  <si>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</si>
  <si>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</si>
  <si>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</si>
  <si>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</si>
  <si>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</si>
  <si>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</si>
  <si>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</si>
  <si>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</si>
  <si>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</si>
  <si>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</si>
  <si>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</si>
  <si>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</si>
  <si>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</si>
  <si>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</si>
  <si>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</si>
  <si>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</si>
  <si>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</si>
  <si>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</si>
  <si>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</si>
  <si>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</si>
  <si>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</si>
  <si>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</si>
  <si>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</si>
  <si>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</si>
  <si>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</si>
  <si>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</si>
  <si>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</si>
  <si>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</si>
  <si>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</si>
  <si>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</si>
  <si>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</si>
  <si>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</si>
  <si>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</si>
  <si>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</si>
  <si>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</si>
  <si>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</si>
  <si>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</si>
  <si>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</si>
  <si>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</si>
  <si>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</si>
  <si>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</si>
  <si>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</si>
  <si>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</si>
  <si>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</si>
  <si>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</si>
  <si>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</si>
  <si>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</si>
  <si>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</si>
  <si>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</si>
  <si>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</si>
  <si>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</si>
  <si>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</si>
  <si>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</si>
  <si>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</si>
  <si>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</si>
  <si>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</si>
  <si>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</si>
  <si>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</si>
  <si>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</si>
  <si>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</si>
  <si>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</si>
  <si>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</si>
  <si>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</si>
  <si>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</si>
  <si>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</si>
  <si>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</si>
  <si>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</si>
  <si>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</si>
  <si>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</si>
  <si>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</si>
  <si>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</si>
  <si>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</si>
  <si>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</si>
  <si>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</si>
  <si>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</si>
  <si>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</si>
  <si>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</si>
  <si>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</si>
  <si>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</si>
  <si>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</si>
  <si>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</si>
  <si>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</si>
  <si>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</si>
  <si>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</si>
  <si>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</si>
  <si>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</si>
  <si>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</si>
  <si>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</si>
  <si>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</si>
  <si>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</si>
  <si>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</si>
  <si>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</si>
  <si>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</si>
  <si>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</si>
  <si>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</si>
  <si>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</si>
  <si>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</si>
  <si>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</si>
  <si>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</si>
  <si>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</si>
  <si>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</si>
  <si>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</si>
  <si>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</si>
  <si>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</si>
  <si>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</si>
  <si>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</si>
  <si>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</si>
  <si>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</si>
  <si>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</si>
  <si>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</si>
  <si>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</si>
  <si>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</si>
  <si>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</si>
  <si>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</si>
  <si>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</si>
  <si>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</si>
  <si>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</si>
  <si>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</si>
  <si>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</si>
  <si>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</si>
  <si>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</si>
  <si>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</si>
  <si>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</si>
  <si>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</si>
  <si>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</si>
  <si>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</si>
  <si>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</si>
  <si>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</si>
  <si>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</si>
  <si>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</si>
  <si>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</si>
  <si>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</si>
  <si>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</si>
  <si>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</si>
  <si>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</si>
  <si>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</si>
  <si>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</si>
  <si>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</si>
  <si>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</si>
  <si>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</si>
  <si>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</si>
  <si>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</si>
  <si>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</si>
  <si>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</si>
  <si>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</si>
  <si>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</si>
  <si>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</si>
  <si>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</si>
  <si>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</si>
  <si>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</si>
  <si>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</si>
  <si>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</si>
  <si>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</si>
  <si>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</si>
  <si>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</si>
  <si>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</si>
  <si>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</si>
  <si>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</si>
  <si>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</si>
  <si>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</si>
  <si>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</si>
  <si>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</si>
  <si>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</si>
  <si>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</si>
  <si>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</si>
  <si>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</si>
  <si>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</si>
  <si>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</si>
  <si>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</si>
  <si>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</si>
  <si>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</si>
  <si>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</si>
  <si>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</si>
  <si>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</si>
  <si>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</si>
  <si>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</si>
  <si>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</si>
  <si>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</si>
  <si>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</si>
  <si>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</si>
  <si>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</si>
  <si>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</si>
  <si>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</si>
  <si>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</si>
  <si>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</si>
  <si>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</si>
  <si>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</si>
  <si>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</si>
  <si>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</si>
  <si>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</si>
  <si>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</si>
  <si>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</si>
  <si>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</si>
  <si>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</si>
  <si>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</si>
  <si>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</si>
  <si>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</si>
  <si>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</si>
  <si>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</si>
  <si>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</si>
  <si>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</si>
  <si>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</si>
  <si>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</si>
  <si>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</si>
  <si>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</si>
  <si>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</si>
  <si>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</si>
  <si>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</si>
  <si>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</si>
  <si>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</si>
  <si>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</si>
  <si>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</si>
  <si>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</si>
  <si>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</si>
  <si>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</si>
  <si>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</si>
  <si>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</si>
  <si>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</si>
  <si>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</si>
  <si>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</si>
  <si>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</si>
  <si>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</si>
  <si>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</si>
  <si>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</si>
  <si>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</si>
  <si>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</si>
  <si>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</si>
  <si>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</si>
  <si>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</si>
  <si>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</si>
  <si>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</si>
  <si>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</si>
  <si>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</si>
  <si>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</si>
  <si>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</si>
  <si>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</si>
  <si>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</si>
  <si>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</si>
  <si>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</si>
  <si>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</si>
  <si>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</si>
  <si>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</si>
  <si>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</si>
  <si>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</si>
  <si>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</si>
  <si>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</si>
  <si>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</si>
  <si>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</si>
  <si>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</si>
  <si>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</si>
  <si>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</si>
  <si>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</si>
  <si>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</si>
  <si>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</si>
  <si>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</si>
  <si>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</si>
  <si>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</si>
  <si>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</si>
  <si>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</si>
  <si>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</si>
  <si>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</si>
  <si>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</si>
  <si>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</si>
  <si>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</si>
  <si>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</si>
  <si>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</si>
  <si>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</si>
  <si>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</si>
  <si>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</si>
  <si>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</si>
  <si>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</si>
  <si>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</si>
  <si>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</si>
  <si>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</si>
  <si>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</si>
  <si>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</si>
  <si>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</si>
  <si>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</si>
  <si>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</si>
  <si>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</si>
  <si>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</si>
  <si>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</si>
  <si>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</si>
  <si>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</si>
  <si>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</si>
  <si>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</si>
  <si>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</si>
  <si>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</si>
  <si>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</si>
  <si>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</si>
  <si>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</si>
  <si>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</si>
  <si>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</si>
  <si>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</si>
  <si>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</si>
  <si>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</si>
  <si>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</si>
  <si>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</si>
  <si>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</si>
  <si>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</si>
  <si>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</si>
  <si>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</si>
  <si>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</si>
  <si>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</si>
  <si>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</si>
  <si>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</si>
  <si>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</si>
  <si>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</si>
  <si>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</si>
  <si>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</si>
  <si>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</si>
  <si>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</si>
  <si>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</si>
  <si>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</si>
  <si>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</si>
  <si>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</si>
  <si>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</si>
  <si>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</si>
  <si>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</si>
  <si>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</si>
  <si>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</si>
  <si>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</si>
  <si>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</si>
  <si>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</si>
  <si>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</si>
  <si>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</si>
  <si>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</si>
  <si>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</si>
  <si>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</si>
  <si>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</si>
  <si>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</si>
  <si>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</si>
  <si>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</si>
  <si>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</si>
  <si>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</si>
  <si>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</si>
  <si>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</si>
  <si>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</si>
  <si>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</si>
  <si>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</si>
  <si>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</si>
  <si>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</si>
  <si>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</si>
  <si>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</si>
  <si>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</si>
  <si>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</si>
  <si>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</si>
  <si>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</si>
  <si>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</si>
  <si>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</si>
  <si>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</si>
  <si>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</si>
  <si>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</si>
  <si>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</si>
  <si>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</si>
  <si>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</si>
  <si>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</si>
  <si>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</si>
  <si>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</si>
  <si>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</si>
  <si>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</si>
  <si>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</si>
  <si>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</si>
  <si>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</si>
  <si>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</si>
  <si>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</si>
  <si>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</si>
  <si>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</si>
  <si>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</si>
  <si>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</si>
  <si>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</si>
  <si>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</si>
  <si>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</si>
  <si>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</si>
  <si>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</si>
  <si>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</si>
  <si>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</si>
  <si>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</si>
  <si>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</si>
  <si>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</si>
  <si>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</si>
  <si>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</si>
  <si>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</si>
  <si>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</si>
  <si>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</si>
  <si>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</si>
  <si>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</si>
  <si>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</si>
  <si>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</si>
  <si>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</si>
  <si>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</si>
  <si>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</si>
  <si>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</si>
  <si>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</si>
  <si>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</si>
  <si>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</si>
  <si>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</si>
  <si>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</si>
  <si>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</si>
  <si>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</si>
  <si>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</si>
  <si>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</si>
  <si>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</si>
  <si>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</si>
  <si>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</si>
  <si>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</si>
  <si>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</si>
  <si>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</si>
  <si>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</si>
  <si>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</si>
  <si>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</si>
  <si>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</si>
  <si>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</si>
  <si>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</si>
  <si>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</si>
  <si>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</si>
  <si>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</si>
  <si>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</si>
  <si>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</si>
  <si>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</si>
  <si>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</si>
  <si>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</si>
  <si>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</si>
  <si>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</si>
  <si>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</si>
  <si>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</si>
  <si>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</si>
  <si>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</si>
  <si>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</si>
  <si>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</si>
  <si>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</si>
  <si>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</si>
  <si>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</si>
  <si>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</si>
  <si>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</si>
  <si>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</si>
  <si>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</si>
  <si>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</si>
  <si>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</si>
  <si>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</si>
  <si>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</si>
  <si>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</si>
  <si>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</si>
  <si>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</si>
  <si>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</si>
  <si>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</si>
  <si>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</si>
  <si>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</si>
  <si>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</si>
  <si>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</si>
  <si>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</si>
  <si>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</si>
  <si>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</si>
  <si>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</si>
  <si>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</si>
  <si>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</si>
  <si>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</si>
  <si>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</si>
  <si>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</si>
  <si>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</si>
  <si>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</si>
  <si>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</si>
  <si>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</si>
  <si>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</si>
  <si>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</si>
  <si>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</si>
  <si>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</si>
  <si>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</si>
  <si>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</si>
  <si>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</si>
  <si>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</si>
  <si>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</si>
  <si>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</si>
  <si>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</si>
  <si>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</si>
  <si>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</si>
  <si>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</si>
  <si>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</si>
  <si>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</si>
  <si>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</si>
  <si>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</si>
  <si>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</si>
  <si>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</si>
  <si>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</si>
  <si>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</si>
  <si>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</si>
  <si>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</si>
  <si>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</si>
  <si>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</si>
  <si>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</si>
  <si>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</si>
  <si>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</si>
  <si>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</si>
  <si>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</si>
  <si>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</si>
  <si>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</si>
  <si>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</si>
  <si>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</si>
  <si>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</si>
  <si>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</si>
  <si>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</si>
  <si>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</si>
  <si>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</si>
  <si>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</si>
  <si>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</si>
  <si>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</si>
  <si>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</si>
  <si>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</si>
  <si>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</si>
  <si>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</si>
  <si>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</si>
  <si>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</si>
  <si>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</si>
  <si>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</si>
  <si>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</si>
  <si>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</si>
  <si>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</si>
  <si>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</si>
  <si>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</si>
  <si>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</si>
  <si>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</si>
  <si>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</si>
  <si>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</si>
  <si>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</si>
  <si>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</si>
  <si>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</si>
  <si>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</si>
  <si>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</si>
  <si>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</si>
  <si>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</si>
  <si>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</si>
  <si>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</si>
  <si>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</si>
  <si>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</si>
  <si>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</si>
  <si>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</si>
  <si>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</si>
  <si>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</si>
  <si>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</si>
  <si>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</si>
  <si>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</si>
  <si>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</si>
  <si>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</si>
  <si>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</si>
  <si>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</si>
  <si>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</si>
  <si>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</si>
  <si>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</si>
  <si>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</si>
  <si>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</si>
  <si>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</si>
  <si>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</si>
  <si>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</si>
  <si>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</si>
  <si>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</si>
  <si>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</si>
  <si>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</si>
  <si>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</si>
  <si>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</si>
  <si>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</si>
  <si>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</si>
  <si>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</si>
  <si>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</si>
  <si>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</si>
  <si>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</si>
  <si>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</si>
  <si>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</si>
  <si>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</si>
  <si>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</si>
  <si>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</si>
  <si>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</si>
  <si>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</si>
  <si>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</si>
  <si>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</si>
  <si>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</si>
  <si>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</si>
  <si>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</si>
  <si>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</si>
  <si>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</si>
  <si>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</si>
  <si>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</si>
  <si>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</si>
  <si>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</si>
  <si>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</si>
  <si>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</si>
  <si>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</si>
  <si>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</si>
  <si>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</si>
  <si>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</si>
  <si>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</si>
  <si>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</si>
  <si>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</si>
  <si>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</si>
  <si>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</si>
  <si>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</si>
  <si>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</si>
  <si>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</si>
  <si>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</si>
  <si>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</si>
  <si>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</si>
  <si>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</si>
  <si>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</si>
  <si>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</si>
  <si>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</si>
  <si>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</si>
  <si>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</si>
  <si>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</si>
  <si>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</si>
  <si>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</si>
  <si>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</si>
  <si>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</si>
  <si>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</si>
  <si>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</si>
  <si>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</si>
  <si>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</si>
  <si>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</si>
  <si>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</si>
  <si>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</si>
  <si>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</si>
  <si>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</si>
  <si>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</si>
  <si>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</si>
  <si>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</si>
  <si>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</si>
  <si>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</si>
  <si>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</si>
  <si>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</si>
  <si>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</si>
  <si>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</si>
  <si>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</si>
  <si>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</si>
  <si>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</si>
  <si>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</si>
  <si>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</si>
  <si>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</si>
  <si>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</si>
  <si>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</si>
  <si>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</si>
  <si>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</si>
  <si>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</si>
  <si>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</si>
  <si>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</si>
  <si>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</si>
  <si>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</si>
  <si>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</si>
  <si>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</si>
  <si>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</si>
  <si>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</si>
  <si>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</si>
  <si>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</si>
  <si>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</si>
  <si>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</si>
  <si>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</si>
  <si>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</si>
  <si>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</si>
  <si>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</si>
  <si>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</si>
  <si>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</si>
  <si>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</si>
  <si>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</si>
  <si>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</si>
  <si>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</si>
  <si>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</si>
  <si>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</si>
  <si>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</si>
  <si>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</si>
  <si>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</si>
  <si>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</si>
  <si>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</si>
  <si>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</si>
  <si>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</si>
  <si>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</si>
  <si>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</si>
  <si>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</si>
  <si>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</si>
  <si>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</si>
  <si>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</si>
  <si>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</si>
  <si>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</si>
  <si>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</si>
  <si>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</si>
  <si>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</si>
  <si>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</si>
  <si>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</si>
  <si>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</si>
  <si>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</si>
  <si>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</si>
  <si>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</si>
  <si>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</si>
  <si>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</si>
  <si>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</si>
  <si>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</si>
  <si>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</si>
  <si>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</si>
  <si>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</si>
  <si>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</si>
  <si>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</si>
  <si>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</si>
  <si>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</si>
  <si>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</si>
  <si>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</si>
  <si>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</si>
  <si>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</si>
  <si>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</si>
  <si>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</si>
  <si>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</si>
  <si>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</si>
  <si>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</si>
  <si>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</si>
  <si>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</si>
  <si>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</si>
  <si>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</si>
  <si>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</si>
  <si>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</si>
  <si>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</si>
  <si>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</si>
  <si>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</si>
  <si>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</si>
  <si>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</si>
  <si>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</si>
  <si>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</si>
  <si>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</si>
  <si>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</si>
  <si>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</si>
  <si>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</si>
  <si>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</si>
  <si>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</si>
  <si>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</si>
  <si>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</si>
  <si>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</si>
  <si>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</si>
  <si>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</si>
  <si>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</si>
  <si>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</si>
  <si>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</si>
  <si>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</si>
  <si>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</si>
  <si>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</si>
  <si>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</si>
  <si>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</si>
  <si>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</si>
  <si>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</si>
  <si>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</si>
  <si>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</si>
  <si>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</si>
  <si>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</si>
  <si>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</si>
  <si>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</si>
  <si>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</si>
  <si>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</si>
  <si>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</si>
  <si>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</si>
  <si>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</si>
  <si>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</si>
  <si>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</si>
  <si>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</si>
  <si>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</si>
  <si>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</si>
  <si>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</si>
  <si>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</si>
  <si>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</si>
  <si>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</si>
  <si>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</si>
  <si>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</si>
  <si>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</si>
  <si>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</si>
  <si>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</si>
  <si>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</si>
  <si>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</si>
  <si>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</si>
  <si>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</si>
  <si>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</si>
  <si>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</si>
  <si>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</si>
  <si>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</si>
  <si>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</si>
  <si>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</si>
  <si>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</si>
  <si>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</si>
  <si>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</si>
  <si>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</si>
  <si>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</si>
  <si>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</si>
  <si>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</si>
  <si>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</si>
  <si>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</si>
  <si>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</si>
  <si>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</si>
  <si>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</si>
  <si>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</si>
  <si>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</si>
  <si>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</si>
  <si>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</si>
  <si>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</si>
  <si>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</si>
  <si>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</si>
  <si>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</si>
  <si>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</si>
  <si>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</si>
  <si>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</si>
  <si>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</si>
  <si>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</si>
  <si>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</si>
  <si>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</si>
  <si>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</si>
  <si>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</si>
  <si>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</si>
  <si>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</si>
  <si>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</si>
  <si>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</si>
  <si>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</si>
  <si>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</si>
  <si>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</si>
  <si>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</si>
  <si>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</si>
  <si>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</si>
  <si>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</si>
  <si>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</si>
  <si>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</si>
  <si>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</si>
  <si>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</si>
  <si>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</si>
  <si>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</si>
  <si>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</si>
  <si>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</si>
  <si>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</si>
  <si>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</si>
  <si>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</si>
  <si>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</si>
  <si>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</si>
  <si>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</si>
  <si>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</si>
  <si>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</si>
  <si>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</si>
  <si>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</si>
  <si>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</si>
  <si>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</si>
  <si>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</si>
  <si>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</si>
  <si>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</si>
  <si>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</si>
  <si>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</si>
  <si>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</si>
  <si>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</si>
  <si>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</si>
  <si>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</si>
  <si>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</si>
  <si>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</si>
  <si>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</si>
  <si>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</si>
  <si>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</si>
  <si>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</si>
  <si>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</si>
  <si>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</si>
  <si>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</si>
  <si>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</si>
  <si>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</si>
  <si>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</si>
  <si>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</si>
  <si>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</si>
  <si>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</si>
  <si>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</si>
  <si>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</si>
  <si>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</si>
  <si>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</si>
  <si>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</si>
  <si>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</si>
  <si>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</si>
  <si>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</si>
  <si>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</si>
  <si>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</si>
  <si>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</si>
  <si>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</si>
  <si>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</si>
  <si>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</si>
  <si>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</si>
  <si>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</si>
  <si>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</si>
  <si>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</si>
  <si>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</si>
  <si>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</si>
  <si>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</si>
  <si>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</si>
  <si>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</si>
  <si>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</si>
  <si>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</si>
  <si>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</si>
  <si>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</si>
  <si>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</si>
  <si>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</si>
  <si>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</si>
  <si>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</si>
  <si>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</si>
  <si>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</si>
  <si>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</si>
  <si>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</si>
  <si>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</si>
  <si>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</si>
  <si>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</si>
  <si>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</si>
  <si>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</si>
  <si>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</si>
  <si>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</si>
  <si>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</si>
  <si>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</si>
  <si>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</si>
  <si>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</si>
  <si>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</si>
  <si>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</si>
  <si>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</si>
  <si>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</si>
  <si>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</si>
  <si>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</si>
  <si>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</si>
  <si>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</si>
  <si>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</si>
  <si>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</si>
  <si>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</si>
  <si>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</si>
  <si>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</si>
  <si>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</si>
  <si>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</si>
  <si>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</si>
  <si>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</si>
  <si>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</si>
  <si>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</si>
  <si>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</si>
  <si>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</si>
  <si>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</si>
  <si>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</si>
  <si>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</si>
  <si>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</si>
  <si>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</si>
  <si>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</si>
  <si>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</si>
  <si>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</si>
  <si>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</si>
  <si>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</si>
  <si>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</si>
  <si>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</si>
  <si>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</si>
  <si>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</si>
  <si>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</si>
  <si>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</si>
  <si>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</si>
  <si>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</si>
  <si>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</si>
  <si>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</si>
  <si>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</si>
  <si>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</si>
  <si>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</si>
  <si>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</si>
  <si>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</si>
  <si>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</si>
  <si>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</si>
  <si>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</si>
  <si>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</si>
  <si>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</si>
  <si>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</si>
  <si>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</si>
  <si>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</si>
  <si>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</si>
  <si>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</si>
  <si>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</si>
  <si>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</si>
  <si>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</si>
  <si>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</si>
  <si>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</si>
  <si>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</si>
  <si>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</si>
  <si>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</si>
  <si>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</si>
  <si>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</si>
  <si>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</si>
  <si>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</si>
  <si>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</si>
  <si>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</si>
  <si>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</si>
  <si>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</si>
  <si>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</si>
  <si>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</si>
  <si>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</si>
  <si>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</si>
  <si>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</si>
  <si>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</si>
  <si>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</si>
  <si>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</si>
  <si>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</si>
  <si>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</si>
  <si>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</si>
  <si>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</si>
  <si>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</si>
  <si>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</si>
  <si>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</si>
  <si>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</si>
  <si>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</si>
  <si>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</si>
  <si>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</si>
  <si>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</si>
  <si>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</si>
  <si>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</si>
  <si>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</si>
  <si>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</si>
  <si>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</si>
  <si>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</si>
  <si>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</si>
  <si>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</si>
  <si>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</si>
  <si>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</si>
  <si>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</si>
  <si>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</si>
  <si>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</si>
  <si>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</si>
  <si>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</si>
  <si>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</si>
  <si>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</si>
  <si>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</si>
  <si>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</si>
  <si>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</si>
  <si>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</si>
  <si>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</si>
  <si>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</si>
  <si>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</si>
  <si>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</si>
  <si>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</si>
  <si>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</si>
  <si>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</si>
  <si>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</si>
  <si>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</si>
  <si>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</si>
  <si>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</si>
  <si>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</si>
  <si>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</si>
  <si>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</si>
  <si>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</si>
  <si>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</si>
  <si>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</si>
  <si>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</si>
  <si>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</si>
  <si>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</si>
  <si>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</si>
  <si>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</si>
  <si>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</si>
  <si>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</si>
  <si>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</si>
  <si>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</si>
  <si>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</si>
  <si>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</si>
  <si>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</si>
  <si>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</si>
  <si>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</si>
  <si>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</si>
  <si>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</si>
  <si>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</si>
  <si>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</si>
  <si>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</si>
  <si>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</si>
  <si>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</si>
  <si>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</si>
  <si>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</si>
  <si>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</si>
  <si>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</si>
  <si>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</si>
  <si>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</si>
  <si>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</si>
  <si>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</si>
  <si>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</si>
  <si>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</si>
  <si>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</si>
  <si>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</si>
  <si>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</si>
  <si>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</si>
  <si>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</si>
  <si>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</si>
  <si>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</si>
  <si>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</si>
  <si>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</si>
  <si>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</si>
  <si>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</si>
  <si>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</si>
  <si>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</si>
  <si>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</si>
  <si>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</si>
  <si>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</si>
  <si>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</si>
  <si>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</si>
  <si>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</si>
  <si>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</si>
  <si>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</si>
  <si>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</si>
  <si>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</si>
  <si>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</si>
  <si>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</si>
  <si>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</si>
  <si>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</si>
  <si>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</si>
  <si>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</si>
  <si>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</si>
  <si>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</si>
  <si>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</si>
  <si>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</si>
  <si>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</si>
  <si>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</si>
  <si>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</si>
  <si>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</si>
  <si>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</si>
  <si>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</si>
  <si>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</si>
  <si>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</si>
  <si>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</si>
  <si>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</si>
  <si>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</si>
  <si>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</si>
  <si>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</si>
  <si>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</si>
  <si>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</si>
  <si>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</si>
  <si>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</si>
  <si>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</si>
  <si>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</si>
  <si>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</si>
  <si>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</si>
  <si>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</si>
  <si>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</si>
  <si>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</si>
  <si>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</si>
  <si>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</si>
  <si>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</si>
  <si>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</si>
  <si>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</si>
  <si>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</si>
  <si>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</si>
  <si>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</si>
  <si>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</si>
  <si>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</si>
  <si>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</si>
  <si>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</si>
  <si>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</si>
  <si>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</si>
  <si>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</si>
  <si>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</si>
  <si>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</si>
  <si>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</si>
  <si>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</si>
  <si>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</si>
  <si>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</si>
  <si>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</si>
  <si>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</si>
  <si>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</si>
  <si>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</si>
  <si>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</si>
  <si>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</si>
  <si>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</si>
  <si>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</si>
  <si>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</si>
  <si>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</si>
  <si>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</si>
  <si>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</si>
  <si>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</si>
  <si>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</si>
  <si>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</si>
  <si>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</si>
  <si>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</si>
  <si>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</si>
  <si>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</si>
  <si>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</si>
  <si>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</si>
  <si>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</si>
  <si>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</si>
  <si>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</si>
  <si>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</si>
  <si>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</si>
  <si>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</si>
  <si>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</si>
  <si>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</si>
  <si>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</si>
  <si>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</si>
  <si>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</si>
  <si>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</si>
  <si>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</si>
  <si>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</si>
  <si>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</si>
  <si>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</si>
  <si>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</si>
  <si>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</si>
  <si>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</si>
  <si>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</si>
  <si>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</si>
  <si>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</si>
  <si>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</si>
  <si>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</si>
  <si>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</si>
  <si>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</si>
  <si>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</si>
  <si>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</si>
  <si>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</si>
  <si>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</si>
  <si>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</si>
  <si>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</si>
  <si>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</si>
  <si>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</si>
  <si>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</si>
  <si>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</si>
  <si>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</si>
  <si>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</si>
  <si>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</si>
  <si>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</si>
  <si>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</si>
  <si>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</si>
  <si>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</si>
  <si>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</si>
  <si>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</si>
  <si>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</si>
  <si>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</si>
  <si>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</si>
  <si>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</si>
  <si>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</si>
  <si>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</si>
  <si>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</si>
  <si>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</si>
  <si>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</si>
  <si>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</si>
  <si>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</si>
  <si>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</si>
  <si>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</si>
  <si>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</si>
  <si>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</si>
  <si>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</si>
  <si>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</si>
  <si>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</si>
  <si>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</si>
  <si>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</si>
  <si>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</si>
  <si>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</si>
  <si>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</si>
  <si>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</si>
  <si>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</si>
  <si>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</si>
  <si>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</si>
  <si>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</si>
  <si>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</si>
  <si>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</si>
  <si>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</si>
  <si>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</si>
  <si>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</si>
  <si>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</si>
  <si>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</si>
  <si>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</si>
  <si>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</si>
  <si>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</si>
  <si>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</si>
  <si>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</si>
  <si>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</si>
  <si>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</si>
  <si>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</si>
  <si>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</si>
  <si>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</si>
  <si>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</si>
  <si>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</si>
  <si>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</si>
  <si>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</si>
  <si>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</si>
  <si>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</si>
  <si>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</si>
  <si>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</si>
  <si>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</si>
  <si>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</si>
  <si>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</si>
  <si>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</si>
  <si>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</si>
  <si>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</si>
  <si>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</si>
  <si>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</si>
  <si>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</si>
  <si>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</si>
  <si>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</si>
  <si>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</si>
  <si>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</si>
  <si>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</si>
  <si>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</si>
  <si>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</si>
  <si>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</si>
  <si>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</si>
  <si>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</si>
  <si>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</si>
  <si>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</si>
  <si>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</si>
  <si>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</si>
  <si>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</si>
  <si>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</si>
  <si>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</si>
  <si>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</si>
  <si>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</si>
  <si>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</si>
  <si>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</si>
  <si>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</si>
  <si>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</si>
  <si>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</si>
  <si>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</si>
  <si>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</si>
  <si>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</si>
  <si>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</si>
  <si>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</si>
  <si>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</si>
  <si>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</si>
  <si>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</si>
  <si>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</si>
  <si>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</si>
  <si>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</si>
  <si>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</si>
  <si>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</si>
  <si>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</si>
  <si>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</si>
  <si>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</si>
  <si>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</si>
  <si>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</si>
  <si>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</si>
  <si>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</si>
  <si>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</si>
  <si>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</si>
  <si>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</si>
  <si>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</si>
  <si>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</si>
  <si>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</si>
  <si>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</si>
  <si>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</si>
  <si>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</si>
  <si>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</si>
  <si>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</si>
  <si>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</si>
  <si>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</si>
  <si>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</si>
  <si>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</si>
  <si>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</si>
  <si>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</si>
  <si>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</si>
  <si>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</si>
  <si>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</si>
  <si>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</si>
  <si>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</si>
  <si>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</si>
  <si>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</si>
  <si>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</si>
  <si>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</si>
  <si>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</si>
  <si>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</si>
  <si>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</si>
  <si>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</si>
  <si>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</si>
  <si>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</si>
  <si>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</si>
  <si>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</si>
  <si>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</si>
  <si>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</si>
  <si>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</si>
  <si>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</si>
  <si>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</si>
  <si>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</si>
  <si>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</si>
  <si>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</si>
  <si>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</si>
  <si>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</si>
  <si>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</si>
  <si>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</si>
  <si>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</si>
  <si>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</si>
  <si>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</si>
  <si>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</si>
  <si>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</si>
  <si>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</si>
  <si>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</si>
  <si>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</si>
  <si>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</si>
  <si>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</si>
  <si>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</si>
  <si>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</si>
  <si>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</si>
  <si>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</si>
  <si>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</si>
  <si>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</si>
  <si>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</si>
  <si>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</si>
  <si>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</si>
  <si>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</si>
  <si>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</si>
  <si>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</si>
  <si>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</si>
  <si>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</si>
  <si>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</si>
  <si>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</si>
  <si>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</si>
  <si>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</si>
  <si>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</si>
  <si>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</si>
  <si>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</si>
  <si>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</si>
  <si>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</si>
  <si>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</si>
  <si>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</si>
  <si>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</si>
  <si>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</si>
  <si>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</si>
  <si>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</si>
  <si>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</si>
  <si>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</si>
  <si>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</si>
  <si>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</si>
  <si>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</si>
  <si>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</si>
  <si>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</si>
  <si>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</si>
  <si>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</si>
  <si>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</si>
  <si>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</si>
  <si>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</si>
  <si>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</si>
  <si>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</si>
  <si>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</si>
  <si>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</si>
  <si>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</si>
  <si>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</si>
  <si>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</si>
  <si>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</si>
  <si>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</si>
  <si>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</si>
  <si>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</si>
  <si>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</si>
  <si>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</si>
  <si>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</si>
  <si>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</si>
  <si>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</si>
  <si>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</si>
  <si>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</si>
  <si>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</si>
  <si>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</si>
  <si>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</si>
  <si>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</si>
  <si>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</si>
  <si>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</si>
  <si>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</si>
  <si>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</si>
  <si>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</si>
  <si>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</si>
  <si>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</si>
  <si>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</si>
  <si>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</si>
  <si>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</si>
  <si>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</si>
  <si>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</si>
  <si>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</si>
  <si>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</si>
  <si>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</si>
  <si>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</si>
  <si>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</si>
  <si>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</si>
  <si>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</si>
  <si>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</si>
  <si>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</si>
  <si>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</si>
  <si>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</si>
  <si>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</si>
  <si>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</si>
  <si>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</si>
  <si>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</si>
  <si>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</si>
  <si>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</si>
  <si>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</si>
  <si>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</si>
  <si>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</si>
  <si>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</si>
  <si>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</si>
  <si>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</si>
  <si>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</si>
  <si>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</si>
  <si>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</si>
  <si>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</si>
  <si>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</si>
  <si>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</si>
  <si>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</si>
  <si>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</si>
  <si>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</si>
  <si>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</si>
  <si>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</si>
  <si>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</si>
  <si>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</si>
  <si>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</si>
  <si>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</si>
  <si>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</si>
  <si>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</si>
  <si>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</si>
  <si>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</si>
  <si>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</si>
  <si>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</si>
  <si>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</si>
  <si>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</si>
  <si>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</si>
  <si>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</si>
  <si>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</si>
  <si>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</si>
  <si>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</si>
  <si>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</si>
  <si>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</si>
  <si>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</si>
  <si>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</si>
  <si>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</si>
  <si>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</si>
  <si>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</si>
  <si>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</si>
  <si>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</si>
  <si>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</si>
  <si>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</si>
  <si>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</si>
  <si>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</si>
  <si>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</si>
  <si>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</si>
  <si>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</si>
  <si>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</si>
  <si>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</si>
  <si>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</si>
  <si>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</si>
  <si>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</si>
  <si>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</si>
  <si>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</si>
  <si>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</si>
  <si>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</si>
  <si>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</si>
  <si>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</si>
  <si>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</si>
  <si>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</si>
  <si>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</si>
  <si>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</si>
  <si>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</si>
  <si>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</si>
  <si>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</si>
  <si>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</si>
  <si>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</si>
  <si>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</si>
  <si>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</si>
  <si>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</si>
  <si>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</si>
  <si>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</si>
  <si>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</si>
  <si>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</si>
  <si>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</si>
  <si>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</si>
  <si>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</si>
  <si>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</si>
  <si>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</si>
  <si>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</si>
  <si>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</si>
  <si>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</si>
  <si>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</si>
  <si>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</si>
  <si>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</si>
  <si>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</si>
  <si>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</si>
  <si>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</si>
  <si>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</si>
  <si>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</si>
  <si>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</si>
  <si>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</si>
  <si>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</si>
  <si>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</si>
  <si>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</si>
  <si>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</si>
  <si>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</si>
  <si>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</si>
  <si>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</si>
  <si>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</si>
  <si>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</si>
  <si>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</si>
  <si>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</si>
  <si>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</si>
  <si>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</si>
  <si>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</si>
  <si>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</si>
  <si>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</si>
  <si>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</si>
  <si>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</si>
  <si>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</si>
  <si>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</si>
  <si>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</si>
  <si>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</si>
  <si>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</si>
  <si>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</si>
  <si>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</si>
  <si>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</si>
  <si>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</si>
  <si>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</si>
  <si>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</si>
  <si>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</si>
  <si>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</si>
  <si>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</si>
  <si>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</si>
  <si>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</si>
  <si>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</si>
  <si>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</si>
  <si>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</si>
  <si>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</si>
  <si>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</si>
  <si>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</si>
  <si>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</si>
  <si>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</si>
  <si>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</si>
  <si>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</si>
  <si>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</si>
  <si>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</si>
  <si>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</si>
  <si>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</si>
  <si>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</si>
  <si>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</si>
  <si>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</si>
  <si>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</si>
  <si>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</si>
  <si>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</si>
  <si>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</si>
  <si>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</si>
  <si>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</si>
  <si>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</si>
  <si>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</si>
  <si>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</si>
  <si>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</si>
  <si>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</si>
  <si>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</si>
  <si>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</si>
  <si>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</si>
  <si>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</si>
  <si>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</si>
  <si>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</si>
  <si>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</si>
  <si>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</si>
  <si>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</si>
  <si>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</si>
  <si>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</si>
  <si>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</si>
  <si>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</si>
  <si>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</si>
  <si>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</si>
  <si>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</si>
  <si>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</si>
  <si>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</si>
  <si>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</si>
  <si>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</si>
  <si>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</si>
  <si>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</si>
  <si>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</si>
  <si>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</si>
  <si>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</si>
  <si>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</si>
  <si>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</si>
  <si>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</si>
  <si>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</si>
  <si>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</si>
  <si>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</si>
  <si>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</si>
  <si>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</si>
  <si>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</si>
  <si>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</si>
  <si>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</si>
  <si>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</si>
  <si>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</si>
  <si>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</si>
  <si>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</si>
  <si>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</si>
  <si>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</si>
  <si>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</si>
  <si>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</si>
  <si>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</si>
  <si>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</si>
  <si>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</si>
  <si>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</si>
  <si>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</si>
  <si>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</si>
  <si>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</si>
  <si>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</si>
  <si>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</si>
  <si>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</si>
  <si>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</si>
  <si>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</si>
  <si>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</si>
  <si>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</si>
  <si>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</si>
  <si>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</si>
  <si>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</si>
  <si>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</si>
  <si>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</si>
  <si>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</si>
  <si>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</si>
  <si>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</si>
  <si>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</si>
  <si>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</si>
  <si>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</si>
  <si>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</si>
  <si>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</si>
  <si>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</si>
  <si>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</si>
  <si>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</si>
  <si>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</si>
  <si>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</si>
  <si>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</si>
  <si>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</si>
  <si>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</si>
  <si>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</si>
  <si>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</si>
  <si>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</si>
  <si>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</si>
  <si>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</si>
  <si>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</si>
  <si>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</si>
  <si>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</si>
  <si>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</si>
  <si>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</si>
  <si>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</si>
  <si>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</si>
  <si>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</si>
  <si>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</si>
  <si>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</si>
  <si>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</si>
  <si>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</si>
  <si>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</si>
  <si>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</si>
  <si>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</si>
  <si>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</si>
  <si>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</si>
  <si>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</si>
  <si>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</si>
  <si>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</si>
  <si>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</si>
  <si>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</si>
  <si>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</si>
  <si>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</si>
  <si>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</si>
  <si>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</si>
  <si>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</si>
  <si>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</si>
  <si>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</si>
  <si>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</si>
  <si>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</si>
  <si>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</si>
  <si>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</si>
  <si>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</si>
  <si>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</si>
  <si>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</si>
  <si>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</si>
  <si>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</si>
  <si>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</si>
  <si>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</si>
  <si>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</si>
  <si>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</si>
  <si>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</si>
  <si>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</si>
  <si>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</si>
  <si>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</si>
  <si>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</si>
  <si>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</si>
  <si>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</si>
  <si>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</si>
  <si>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</si>
  <si>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</si>
  <si>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</si>
  <si>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</si>
  <si>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</si>
  <si>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</si>
  <si>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</si>
  <si>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</si>
  <si>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</si>
  <si>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</si>
  <si>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</si>
  <si>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</si>
  <si>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</si>
  <si>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</si>
  <si>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</si>
  <si>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</si>
  <si>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</si>
  <si>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</si>
  <si>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</si>
  <si>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</si>
  <si>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</si>
  <si>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</si>
  <si>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</si>
  <si>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</si>
  <si>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</si>
  <si>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</si>
  <si>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</si>
  <si>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</si>
  <si>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</si>
  <si>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</si>
  <si>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</si>
  <si>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</si>
  <si>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</si>
  <si>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</si>
  <si>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</si>
  <si>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</si>
  <si>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</si>
  <si>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</si>
  <si>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</si>
  <si>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</si>
  <si>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</si>
  <si>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</si>
  <si>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</si>
  <si>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</si>
  <si>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</si>
  <si>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</si>
  <si>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</si>
  <si>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</si>
  <si>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</si>
  <si>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</si>
  <si>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</si>
  <si>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</si>
  <si>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</si>
  <si>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</si>
  <si>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</si>
  <si>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</si>
  <si>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</si>
  <si>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</si>
  <si>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</si>
  <si>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</si>
  <si>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</si>
  <si>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</si>
  <si>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</si>
  <si>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</si>
  <si>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</si>
  <si>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</si>
  <si>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</si>
  <si>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</si>
  <si>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</si>
  <si>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</si>
  <si>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</si>
  <si>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</si>
  <si>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</si>
  <si>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</si>
  <si>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</si>
  <si>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</si>
  <si>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</si>
  <si>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</si>
  <si>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</si>
  <si>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</si>
  <si>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</si>
  <si>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</si>
  <si>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</si>
  <si>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</si>
  <si>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</si>
  <si>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</si>
  <si>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</si>
  <si>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</si>
  <si>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</si>
  <si>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</si>
  <si>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</si>
  <si>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</si>
  <si>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</si>
  <si>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</si>
  <si>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</si>
  <si>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</si>
  <si>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</si>
  <si>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</si>
  <si>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</si>
  <si>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</si>
  <si>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</si>
  <si>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</si>
  <si>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</si>
  <si>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</si>
  <si>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</si>
  <si>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</si>
  <si>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</si>
  <si>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</si>
  <si>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</si>
  <si>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</si>
  <si>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</si>
  <si>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</si>
  <si>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</si>
  <si>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</si>
  <si>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</si>
  <si>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</si>
  <si>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</si>
  <si>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</si>
  <si>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</si>
  <si>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</si>
  <si>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</si>
  <si>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</si>
  <si>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</si>
  <si>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</si>
  <si>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</si>
  <si>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</si>
  <si>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</si>
  <si>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</si>
  <si>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</si>
  <si>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</si>
  <si>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</si>
  <si>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</si>
  <si>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</si>
  <si>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</si>
  <si>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</si>
  <si>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</si>
  <si>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</si>
  <si>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</si>
  <si>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</si>
  <si>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</si>
  <si>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</si>
  <si>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</si>
  <si>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</si>
  <si>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</si>
  <si>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</si>
  <si>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</si>
  <si>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</si>
  <si>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</si>
  <si>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</si>
  <si>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</si>
  <si>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</si>
  <si>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</si>
  <si>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</si>
  <si>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</si>
  <si>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</si>
  <si>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</si>
  <si>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</si>
  <si>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</si>
  <si>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</si>
  <si>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</si>
  <si>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</si>
  <si>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</si>
  <si>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</si>
  <si>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</si>
  <si>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</si>
  <si>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</si>
  <si>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</si>
  <si>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</si>
  <si>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</si>
  <si>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</si>
  <si>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</si>
  <si>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</si>
  <si>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</si>
  <si>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</si>
  <si>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</si>
  <si>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</si>
  <si>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</si>
  <si>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</si>
  <si>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</si>
  <si>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</si>
  <si>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</si>
  <si>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</si>
  <si>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</si>
  <si>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</si>
  <si>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</si>
  <si>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</si>
  <si>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</si>
  <si>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</si>
  <si>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</si>
  <si>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</si>
  <si>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</si>
  <si>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</si>
  <si>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</si>
  <si>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</si>
  <si>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</si>
  <si>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</si>
  <si>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</si>
  <si>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</si>
  <si>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</si>
  <si>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</si>
  <si>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</si>
  <si>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</si>
  <si>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</si>
  <si>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</si>
  <si>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</si>
  <si>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</si>
  <si>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</si>
  <si>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</si>
  <si>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</si>
  <si>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</si>
  <si>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</si>
  <si>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</si>
  <si>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</si>
  <si>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</si>
  <si>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</si>
  <si>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</si>
  <si>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</si>
  <si>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</si>
  <si>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</si>
  <si>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</si>
  <si>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</si>
  <si>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</si>
  <si>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</si>
  <si>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</si>
  <si>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</si>
  <si>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</si>
  <si>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</si>
  <si>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</si>
  <si>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</si>
  <si>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</si>
  <si>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</si>
  <si>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</si>
  <si>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</si>
  <si>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</si>
  <si>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</si>
  <si>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</si>
  <si>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</si>
  <si>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</si>
  <si>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</si>
  <si>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</si>
  <si>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</si>
  <si>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</si>
  <si>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</si>
  <si>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</si>
  <si>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</si>
  <si>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</si>
  <si>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</si>
  <si>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</si>
  <si>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</si>
  <si>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</si>
  <si>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</si>
  <si>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</si>
  <si>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</si>
  <si>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</si>
  <si>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</si>
  <si>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</si>
  <si>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</si>
  <si>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</si>
  <si>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</si>
  <si>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</si>
  <si>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</si>
  <si>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</si>
  <si>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</si>
  <si>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</si>
  <si>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</si>
  <si>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</si>
  <si>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</si>
  <si>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</si>
  <si>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</si>
  <si>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</si>
  <si>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</si>
  <si>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</si>
  <si>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</si>
  <si>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</si>
  <si>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</si>
  <si>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</si>
  <si>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</si>
  <si>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</si>
  <si>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</si>
  <si>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</si>
  <si>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</si>
  <si>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</si>
  <si>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</si>
  <si>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</si>
  <si>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</si>
  <si>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</si>
  <si>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</si>
  <si>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</si>
  <si>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</si>
  <si>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</si>
  <si>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</si>
  <si>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</si>
  <si>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</si>
  <si>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</si>
  <si>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</si>
  <si>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</si>
  <si>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</si>
  <si>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</si>
  <si>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</si>
  <si>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</si>
  <si>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</si>
  <si>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</si>
  <si>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</si>
  <si>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</si>
  <si>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</si>
  <si>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</si>
  <si>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</si>
  <si>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</si>
  <si>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</si>
  <si>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</si>
  <si>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</si>
  <si>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</si>
  <si>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</si>
  <si>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</si>
  <si>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</si>
  <si>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</si>
  <si>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</si>
  <si>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</si>
  <si>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</si>
  <si>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</si>
  <si>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</si>
  <si>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</si>
  <si>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</si>
  <si>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</si>
  <si>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</si>
  <si>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</si>
  <si>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</si>
  <si>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</si>
  <si>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</si>
  <si>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</si>
  <si>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</si>
  <si>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</si>
  <si>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</si>
  <si>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</si>
  <si>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</si>
  <si>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</si>
  <si>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</si>
  <si>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</si>
  <si>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</si>
  <si>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</si>
  <si>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</si>
  <si>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</si>
  <si>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</si>
  <si>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</si>
  <si>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</si>
  <si>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</si>
  <si>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</si>
  <si>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</si>
  <si>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</si>
  <si>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</si>
  <si>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</si>
  <si>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</si>
  <si>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</si>
  <si>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</si>
  <si>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</si>
  <si>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</si>
  <si>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</si>
  <si>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</si>
  <si>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</si>
  <si>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</si>
  <si>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</si>
  <si>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</si>
  <si>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</si>
  <si>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</si>
  <si>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</si>
  <si>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</si>
  <si>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</si>
  <si>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</si>
  <si>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</si>
  <si>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</si>
  <si>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</si>
  <si>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</si>
  <si>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</si>
  <si>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</si>
  <si>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</si>
  <si>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</si>
  <si>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</si>
  <si>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</si>
  <si>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</si>
  <si>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</si>
  <si>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</si>
  <si>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</si>
  <si>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</si>
  <si>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</si>
  <si>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</si>
  <si>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</si>
  <si>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</si>
  <si>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</si>
  <si>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</si>
  <si>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</si>
  <si>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</si>
  <si>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</si>
  <si>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</si>
  <si>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</si>
  <si>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</si>
  <si>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</si>
  <si>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</si>
  <si>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</si>
  <si>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</si>
  <si>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</si>
  <si>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</si>
  <si>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</si>
  <si>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</si>
  <si>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</si>
  <si>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</si>
  <si>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</si>
  <si>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</si>
  <si>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</si>
  <si>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</si>
  <si>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</si>
  <si>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</si>
  <si>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</si>
  <si>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</si>
  <si>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</si>
  <si>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</si>
  <si>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</si>
  <si>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</si>
  <si>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</si>
  <si>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</si>
  <si>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</si>
  <si>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</si>
  <si>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</si>
  <si>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</si>
  <si>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</si>
  <si>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</si>
  <si>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</si>
  <si>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</si>
  <si>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</si>
  <si>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</si>
  <si>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</si>
  <si>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</si>
  <si>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</si>
  <si>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</si>
  <si>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</si>
  <si>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</si>
  <si>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</si>
  <si>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</si>
  <si>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</si>
  <si>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</si>
  <si>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</si>
  <si>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</si>
  <si>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</si>
  <si>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</si>
  <si>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</si>
  <si>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</si>
  <si>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</si>
  <si>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</si>
  <si>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</si>
  <si>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</si>
  <si>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</si>
  <si>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</si>
  <si>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</si>
  <si>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</si>
  <si>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</si>
  <si>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</si>
  <si>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</si>
  <si>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</si>
  <si>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</si>
  <si>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</si>
  <si>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</si>
  <si>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</si>
  <si>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</si>
  <si>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</si>
  <si>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</si>
  <si>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</si>
  <si>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</si>
  <si>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</si>
  <si>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</si>
  <si>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</si>
  <si>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</si>
  <si>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</si>
  <si>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</si>
  <si>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</si>
  <si>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</si>
  <si>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</si>
  <si>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</si>
  <si>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</si>
  <si>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</si>
  <si>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</si>
  <si>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</si>
  <si>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</si>
  <si>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</si>
  <si>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</si>
  <si>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</si>
  <si>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</si>
  <si>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</si>
  <si>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</si>
  <si>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</si>
  <si>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</si>
  <si>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</si>
  <si>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</si>
  <si>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</si>
  <si>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</si>
  <si>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</si>
  <si>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</si>
  <si>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</si>
  <si>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</si>
  <si>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</si>
  <si>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</si>
  <si>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</si>
  <si>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</si>
  <si>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</si>
  <si>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</si>
  <si>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</si>
  <si>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</si>
  <si>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</si>
  <si>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</si>
  <si>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</si>
  <si>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</si>
  <si>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</si>
  <si>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</si>
  <si>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</si>
  <si>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</si>
  <si>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</si>
  <si>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</si>
  <si>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</si>
  <si>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</si>
  <si>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</si>
  <si>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</si>
  <si>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</si>
  <si>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</si>
  <si>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</si>
  <si>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</si>
  <si>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</si>
  <si>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</si>
  <si>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</si>
  <si>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</si>
  <si>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</si>
  <si>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</si>
  <si>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</si>
  <si>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</si>
  <si>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</si>
  <si>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</si>
  <si>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</si>
  <si>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</si>
  <si>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</si>
  <si>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</si>
  <si>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</si>
  <si>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</si>
  <si>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</si>
  <si>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</si>
  <si>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</si>
  <si>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</si>
  <si>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</si>
  <si>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</si>
  <si>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</si>
  <si>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</si>
  <si>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</si>
  <si>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</si>
  <si>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</si>
  <si>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</si>
  <si>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</si>
  <si>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</si>
  <si>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</si>
  <si>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</si>
  <si>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</si>
  <si>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</si>
  <si>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</si>
  <si>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</si>
  <si>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</si>
  <si>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</si>
  <si>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</si>
  <si>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</si>
  <si>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</si>
  <si>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</si>
  <si>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</si>
  <si>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</si>
  <si>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</si>
  <si>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</si>
  <si>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</si>
  <si>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</si>
  <si>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</si>
  <si>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</si>
  <si>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</si>
  <si>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</si>
  <si>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</si>
  <si>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</si>
  <si>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</si>
  <si>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</si>
  <si>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</si>
  <si>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</si>
  <si>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</si>
  <si>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</si>
  <si>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</si>
  <si>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</si>
  <si>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</si>
  <si>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</si>
  <si>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</si>
  <si>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</si>
  <si>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</si>
  <si>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</si>
  <si>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</si>
  <si>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</si>
  <si>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</si>
  <si>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</si>
  <si>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</si>
  <si>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</si>
  <si>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</si>
  <si>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</si>
  <si>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</si>
  <si>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</si>
  <si>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</si>
  <si>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</si>
  <si>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</si>
  <si>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</si>
  <si>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</si>
  <si>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</si>
  <si>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</si>
  <si>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</si>
  <si>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</si>
  <si>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</si>
  <si>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</si>
  <si>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</si>
  <si>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</si>
  <si>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</si>
  <si>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</si>
  <si>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</si>
  <si>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</si>
  <si>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</si>
  <si>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</si>
  <si>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</si>
  <si>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</si>
  <si>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</si>
  <si>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</si>
  <si>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</si>
  <si>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</si>
  <si>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</si>
  <si>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</si>
  <si>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</si>
  <si>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</si>
  <si>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</si>
  <si>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</si>
  <si>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</si>
  <si>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</si>
  <si>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</si>
  <si>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</si>
  <si>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</si>
  <si>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</si>
  <si>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</si>
  <si>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</si>
  <si>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</si>
  <si>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</si>
  <si>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</si>
  <si>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</si>
  <si>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</si>
  <si>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</si>
  <si>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</si>
  <si>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</si>
  <si>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</si>
  <si>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</si>
  <si>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</si>
  <si>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</si>
  <si>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</si>
  <si>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</si>
  <si>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</si>
  <si>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</si>
  <si>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</si>
  <si>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</si>
  <si>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</si>
  <si>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</si>
  <si>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</si>
  <si>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</si>
  <si>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</si>
  <si>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</si>
  <si>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</si>
  <si>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</si>
  <si>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</si>
  <si>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</si>
  <si>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</si>
  <si>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</si>
  <si>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</si>
  <si>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</si>
  <si>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</si>
  <si>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</si>
  <si>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</si>
  <si>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</si>
  <si>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</si>
  <si>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</si>
  <si>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</si>
  <si>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</si>
  <si>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</si>
  <si>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</si>
  <si>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</si>
  <si>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</si>
  <si>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</si>
  <si>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</si>
  <si>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</si>
  <si>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</si>
  <si>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</si>
  <si>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</si>
  <si>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</si>
  <si>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</si>
  <si>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</si>
  <si>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</si>
  <si>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</si>
  <si>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</si>
  <si>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</si>
  <si>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</si>
  <si>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</si>
  <si>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</si>
  <si>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</si>
  <si>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</si>
  <si>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</si>
  <si>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</si>
  <si>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</si>
  <si>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</si>
  <si>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</si>
  <si>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</si>
  <si>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</si>
  <si>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</si>
  <si>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</si>
  <si>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</si>
  <si>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</si>
  <si>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</si>
  <si>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</si>
  <si>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</si>
  <si>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</si>
  <si>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</si>
  <si>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</si>
  <si>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</si>
  <si>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</si>
  <si>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</si>
  <si>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</si>
  <si>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</si>
  <si>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</si>
  <si>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</si>
  <si>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</si>
  <si>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</si>
  <si>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</si>
  <si>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</si>
  <si>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</si>
  <si>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</si>
  <si>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</si>
  <si>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</si>
  <si>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</si>
  <si>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</si>
  <si>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</si>
  <si>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</si>
  <si>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</si>
  <si>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</si>
  <si>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</si>
  <si>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</si>
  <si>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</si>
  <si>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</si>
  <si>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</si>
  <si>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</si>
  <si>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</si>
  <si>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</si>
  <si>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</si>
  <si>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</si>
  <si>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</si>
  <si>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</si>
  <si>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</si>
  <si>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</si>
  <si>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</si>
  <si>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</si>
  <si>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</si>
  <si>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</si>
  <si>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</si>
  <si>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</si>
  <si>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</si>
  <si>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</si>
  <si>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</si>
  <si>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</si>
  <si>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</si>
  <si>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</si>
  <si>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</si>
  <si>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</si>
  <si>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</si>
  <si>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</si>
  <si>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</si>
  <si>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</si>
  <si>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</si>
  <si>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</si>
  <si>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</si>
  <si>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</si>
  <si>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</si>
  <si>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</si>
  <si>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</si>
  <si>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</si>
  <si>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</si>
  <si>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</si>
  <si>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</si>
  <si>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</si>
  <si>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</si>
  <si>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</si>
  <si>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</si>
  <si>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</si>
  <si>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</si>
  <si>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</si>
  <si>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</si>
  <si>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</si>
  <si>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</si>
  <si>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</si>
  <si>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</si>
  <si>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</si>
  <si>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</si>
  <si>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</si>
  <si>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</si>
  <si>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</si>
  <si>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</si>
  <si>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</si>
  <si>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</si>
  <si>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</si>
  <si>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</si>
  <si>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</si>
  <si>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</si>
  <si>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</si>
  <si>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</si>
  <si>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</si>
  <si>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</si>
  <si>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</si>
  <si>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</si>
  <si>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</si>
  <si>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</si>
  <si>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</si>
  <si>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</si>
  <si>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</si>
  <si>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</si>
  <si>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</si>
  <si>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</si>
  <si>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</si>
  <si>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</si>
  <si>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</si>
  <si>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</si>
  <si>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</si>
  <si>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</si>
  <si>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</si>
  <si>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</si>
  <si>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</si>
  <si>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</si>
  <si>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</si>
  <si>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</si>
  <si>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</si>
  <si>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</si>
  <si>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</si>
  <si>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</si>
  <si>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</si>
  <si>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</si>
  <si>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</si>
  <si>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</si>
  <si>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</si>
  <si>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</si>
  <si>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</si>
  <si>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</si>
  <si>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</si>
  <si>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</si>
  <si>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</si>
  <si>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</si>
  <si>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</si>
  <si>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</si>
  <si>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</si>
  <si>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</si>
  <si>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</si>
  <si>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</si>
  <si>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</si>
  <si>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</si>
  <si>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</si>
  <si>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</si>
  <si>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</si>
  <si>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</si>
  <si>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</si>
  <si>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</si>
  <si>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</si>
  <si>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</si>
  <si>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</si>
  <si>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</si>
  <si>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</si>
  <si>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</si>
  <si>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</si>
  <si>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</si>
  <si>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</si>
  <si>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</si>
  <si>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</si>
  <si>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</si>
  <si>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</si>
  <si>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</si>
  <si>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</si>
  <si>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</si>
  <si>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</si>
  <si>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</si>
  <si>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</si>
  <si>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</si>
  <si>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</si>
  <si>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</si>
  <si>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</si>
  <si>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</si>
  <si>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</si>
  <si>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</si>
  <si>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</si>
  <si>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</si>
  <si>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</si>
  <si>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</si>
  <si>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</si>
  <si>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</si>
  <si>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</si>
  <si>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</si>
  <si>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</si>
  <si>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</si>
  <si>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</si>
  <si>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</si>
  <si>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</si>
  <si>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</si>
  <si>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</si>
  <si>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</si>
  <si>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</si>
  <si>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</si>
  <si>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</si>
  <si>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</si>
  <si>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</si>
  <si>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</si>
  <si>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</si>
  <si>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</si>
  <si>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</si>
  <si>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</si>
  <si>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</si>
  <si>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</si>
  <si>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</si>
  <si>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</si>
  <si>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</si>
  <si>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</si>
  <si>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</si>
  <si>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</si>
  <si>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</si>
  <si>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</si>
  <si>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</si>
  <si>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</si>
  <si>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</si>
  <si>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</si>
  <si>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</si>
  <si>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</si>
  <si>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</si>
  <si>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</si>
  <si>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</si>
  <si>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</si>
  <si>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</si>
  <si>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</si>
  <si>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</si>
  <si>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</si>
  <si>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</si>
  <si>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</si>
  <si>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</si>
  <si>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</si>
  <si>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</si>
  <si>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</si>
  <si>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</si>
  <si>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</si>
  <si>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</si>
  <si>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</si>
  <si>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</si>
  <si>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</si>
  <si>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</si>
  <si>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</si>
  <si>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</si>
  <si>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</si>
  <si>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</si>
  <si>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</si>
  <si>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</si>
  <si>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</si>
  <si>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</si>
  <si>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</si>
  <si>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</si>
  <si>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</si>
  <si>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</si>
  <si>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</si>
  <si>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</si>
  <si>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</si>
  <si>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</si>
  <si>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</si>
  <si>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</si>
  <si>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</si>
  <si>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</si>
  <si>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</si>
  <si>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</si>
  <si>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</si>
  <si>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</si>
  <si>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</si>
  <si>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</si>
  <si>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</si>
  <si>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</si>
  <si>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</si>
  <si>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</si>
  <si>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</si>
  <si>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</si>
  <si>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</si>
  <si>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</si>
  <si>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</si>
  <si>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</si>
  <si>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</si>
  <si>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</si>
  <si>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</si>
  <si>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</si>
  <si>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</si>
  <si>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</si>
  <si>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</si>
  <si>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</si>
  <si>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</si>
  <si>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</si>
  <si>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</si>
  <si>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</si>
  <si>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</si>
  <si>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</si>
  <si>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</si>
  <si>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</si>
  <si>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</si>
  <si>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</si>
  <si>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</si>
  <si>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</si>
  <si>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</si>
  <si>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</si>
  <si>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</si>
  <si>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</si>
  <si>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</si>
  <si>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</si>
  <si>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</si>
  <si>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</si>
  <si>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</si>
  <si>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</si>
  <si>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</si>
  <si>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</si>
  <si>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</si>
  <si>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</si>
  <si>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</si>
  <si>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</si>
  <si>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</si>
  <si>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</si>
  <si>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</si>
  <si>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</si>
  <si>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</si>
  <si>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</si>
  <si>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</si>
  <si>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</si>
  <si>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</si>
  <si>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</si>
  <si>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</si>
  <si>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</si>
  <si>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</si>
  <si>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</si>
  <si>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</si>
  <si>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</si>
  <si>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</si>
  <si>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</si>
  <si>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</si>
  <si>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</si>
  <si>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</si>
  <si>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</si>
  <si>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</si>
  <si>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</si>
  <si>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</si>
  <si>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</si>
  <si>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</si>
  <si>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</si>
  <si>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</si>
  <si>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</si>
  <si>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</si>
  <si>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</si>
  <si>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</si>
  <si>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</si>
  <si>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</si>
  <si>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</si>
  <si>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</si>
  <si>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</si>
  <si>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</si>
  <si>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</si>
  <si>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</si>
  <si>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</si>
  <si>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</si>
  <si>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</si>
  <si>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</si>
  <si>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</si>
  <si>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</si>
  <si>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</si>
  <si>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</si>
  <si>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</si>
  <si>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</si>
  <si>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</si>
  <si>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</si>
  <si>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</si>
  <si>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</si>
  <si>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</si>
  <si>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</si>
  <si>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</si>
  <si>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</si>
  <si>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</si>
  <si>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</si>
  <si>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</si>
  <si>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</si>
  <si>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</si>
  <si>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</si>
  <si>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</si>
  <si>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</si>
  <si>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</si>
  <si>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</si>
  <si>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</si>
  <si>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</si>
  <si>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</si>
  <si>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</si>
  <si>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</si>
  <si>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</si>
  <si>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</si>
  <si>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</si>
  <si>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</si>
  <si>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</si>
  <si>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</si>
  <si>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</si>
  <si>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</si>
  <si>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</si>
  <si>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</si>
  <si>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</si>
  <si>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</si>
  <si>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</si>
  <si>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</si>
  <si>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</si>
  <si>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</si>
  <si>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</si>
  <si>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</si>
  <si>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</si>
  <si>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</si>
  <si>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</si>
  <si>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</si>
  <si>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</si>
  <si>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</si>
  <si>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</si>
  <si>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</si>
  <si>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</si>
  <si>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</si>
  <si>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</si>
  <si>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</si>
  <si>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</si>
  <si>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</si>
  <si>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</si>
  <si>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</si>
  <si>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</si>
  <si>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</si>
  <si>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</si>
  <si>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</si>
  <si>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</si>
  <si>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</si>
  <si>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</si>
  <si>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</si>
  <si>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</si>
  <si>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</si>
  <si>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</si>
  <si>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</si>
  <si>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</si>
  <si>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</si>
  <si>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</si>
  <si>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</si>
  <si>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</si>
  <si>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</si>
  <si>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</si>
  <si>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</si>
  <si>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</si>
  <si>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</si>
  <si>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</si>
  <si>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</si>
  <si>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</si>
  <si>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</si>
  <si>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</si>
  <si>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</si>
  <si>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</si>
  <si>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</si>
  <si>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</si>
  <si>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</si>
  <si>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</si>
  <si>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</si>
  <si>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</si>
  <si>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</si>
  <si>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</si>
  <si>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</si>
  <si>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</si>
  <si>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</si>
  <si>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</si>
  <si>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</si>
  <si>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</si>
  <si>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</si>
  <si>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</si>
  <si>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</si>
  <si>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</si>
  <si>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</si>
  <si>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</si>
  <si>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</si>
  <si>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</si>
  <si>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</si>
  <si>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</si>
  <si>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</si>
  <si>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</si>
  <si>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其他：</t>
  </si>
  <si>
    <t>企业</t>
  </si>
  <si>
    <t>廊坊精雕数控机床制造有限公司</t>
    <phoneticPr fontId="6" type="noConversion"/>
  </si>
  <si>
    <r>
      <rPr>
        <sz val="10"/>
        <color theme="9" tint="-0.249977111117893"/>
        <rFont val="宋体"/>
        <family val="3"/>
        <charset val="134"/>
      </rPr>
      <t>廊坊经济技术开发区友谊路木兰道</t>
    </r>
    <r>
      <rPr>
        <sz val="10"/>
        <color theme="9" tint="-0.249977111117893"/>
        <rFont val="Arial"/>
        <family val="2"/>
      </rPr>
      <t>10</t>
    </r>
    <r>
      <rPr>
        <sz val="10"/>
        <color theme="9" tint="-0.249977111117893"/>
        <rFont val="宋体"/>
        <family val="3"/>
        <charset val="134"/>
      </rPr>
      <t>号</t>
    </r>
    <r>
      <rPr>
        <sz val="10"/>
        <color theme="9" tint="-0.249977111117893"/>
        <rFont val="Arial"/>
        <family val="2"/>
      </rPr>
      <t>13-16</t>
    </r>
    <r>
      <rPr>
        <sz val="10"/>
        <color theme="9" tint="-0.249977111117893"/>
        <rFont val="宋体"/>
        <family val="3"/>
        <charset val="134"/>
      </rPr>
      <t>幢</t>
    </r>
    <phoneticPr fontId="6" type="noConversion"/>
  </si>
  <si>
    <t>0013</t>
    <phoneticPr fontId="3" type="noConversion"/>
  </si>
  <si>
    <t>0014</t>
    <phoneticPr fontId="3" type="noConversion"/>
  </si>
  <si>
    <t>0015</t>
    <phoneticPr fontId="3" type="noConversion"/>
  </si>
  <si>
    <t>0016</t>
    <phoneticPr fontId="3" type="noConversion"/>
  </si>
  <si>
    <t>是</t>
  </si>
  <si>
    <t>地上</t>
  </si>
  <si>
    <t>土地面积</t>
    <phoneticPr fontId="134" type="noConversion"/>
  </si>
  <si>
    <r>
      <t>5</t>
    </r>
    <r>
      <rPr>
        <sz val="11"/>
        <color theme="1"/>
        <rFont val="宋体"/>
        <family val="3"/>
        <charset val="134"/>
        <scheme val="minor"/>
      </rPr>
      <t>0年</t>
    </r>
    <phoneticPr fontId="134" type="noConversion"/>
  </si>
  <si>
    <t>总价</t>
    <phoneticPr fontId="134" type="noConversion"/>
  </si>
  <si>
    <t>容积率</t>
  </si>
  <si>
    <t>容积率</t>
    <phoneticPr fontId="134" type="noConversion"/>
  </si>
  <si>
    <r>
      <t>1</t>
    </r>
    <r>
      <rPr>
        <sz val="11"/>
        <color theme="1"/>
        <rFont val="宋体"/>
        <family val="3"/>
        <charset val="134"/>
        <scheme val="minor"/>
      </rPr>
      <t>.2-2.5</t>
    </r>
    <phoneticPr fontId="134" type="noConversion"/>
  </si>
  <si>
    <t>土地使用权面积</t>
    <phoneticPr fontId="134" type="noConversion"/>
  </si>
  <si>
    <t>幢号</t>
    <phoneticPr fontId="134" type="noConversion"/>
  </si>
  <si>
    <t>建筑面积</t>
    <phoneticPr fontId="134" type="noConversion"/>
  </si>
  <si>
    <t>结构</t>
    <phoneticPr fontId="134" type="noConversion"/>
  </si>
  <si>
    <t>总层数</t>
    <phoneticPr fontId="134" type="noConversion"/>
  </si>
  <si>
    <t>所在层数</t>
    <phoneticPr fontId="134" type="noConversion"/>
  </si>
  <si>
    <r>
      <t>0</t>
    </r>
    <r>
      <rPr>
        <sz val="11"/>
        <color theme="1"/>
        <rFont val="宋体"/>
        <family val="3"/>
        <charset val="134"/>
        <scheme val="minor"/>
      </rPr>
      <t>013</t>
    </r>
    <phoneticPr fontId="134" type="noConversion"/>
  </si>
  <si>
    <r>
      <t>0</t>
    </r>
    <r>
      <rPr>
        <sz val="11"/>
        <color theme="1"/>
        <rFont val="宋体"/>
        <family val="3"/>
        <charset val="134"/>
        <scheme val="minor"/>
      </rPr>
      <t>014</t>
    </r>
    <phoneticPr fontId="134" type="noConversion"/>
  </si>
  <si>
    <r>
      <t>0</t>
    </r>
    <r>
      <rPr>
        <sz val="11"/>
        <color theme="1"/>
        <rFont val="宋体"/>
        <family val="3"/>
        <charset val="134"/>
        <scheme val="minor"/>
      </rPr>
      <t>015</t>
    </r>
    <phoneticPr fontId="134" type="noConversion"/>
  </si>
  <si>
    <r>
      <t>0</t>
    </r>
    <r>
      <rPr>
        <sz val="11"/>
        <color theme="1"/>
        <rFont val="宋体"/>
        <family val="3"/>
        <charset val="134"/>
        <scheme val="minor"/>
      </rPr>
      <t>016</t>
    </r>
    <phoneticPr fontId="134" type="noConversion"/>
  </si>
  <si>
    <t>综合楼</t>
    <phoneticPr fontId="134" type="noConversion"/>
  </si>
  <si>
    <t>厂房</t>
    <phoneticPr fontId="134" type="noConversion"/>
  </si>
  <si>
    <r>
      <t>1</t>
    </r>
    <r>
      <rPr>
        <sz val="11"/>
        <color theme="1"/>
        <rFont val="宋体"/>
        <family val="3"/>
        <charset val="134"/>
        <scheme val="minor"/>
      </rPr>
      <t>-5</t>
    </r>
    <phoneticPr fontId="134" type="noConversion"/>
  </si>
  <si>
    <r>
      <t>1</t>
    </r>
    <r>
      <rPr>
        <sz val="11"/>
        <color theme="1"/>
        <rFont val="宋体"/>
        <family val="3"/>
        <charset val="134"/>
        <scheme val="minor"/>
      </rPr>
      <t>-3</t>
    </r>
    <phoneticPr fontId="134" type="noConversion"/>
  </si>
  <si>
    <r>
      <t>1</t>
    </r>
    <r>
      <rPr>
        <sz val="11"/>
        <color theme="1"/>
        <rFont val="宋体"/>
        <family val="3"/>
        <charset val="134"/>
        <scheme val="minor"/>
      </rPr>
      <t>-4</t>
    </r>
    <phoneticPr fontId="134" type="noConversion"/>
  </si>
  <si>
    <t>钢混</t>
    <phoneticPr fontId="134" type="noConversion"/>
  </si>
  <si>
    <t>现房</t>
  </si>
  <si>
    <t>成新度</t>
  </si>
  <si>
    <t>工业</t>
    <phoneticPr fontId="7" type="noConversion"/>
  </si>
  <si>
    <t>建成年代</t>
    <phoneticPr fontId="3" type="noConversion"/>
  </si>
  <si>
    <t>地块名称</t>
  </si>
  <si>
    <t>城市</t>
  </si>
  <si>
    <t>地块编号</t>
  </si>
  <si>
    <t>用地性质</t>
  </si>
  <si>
    <t>建设用地面积(㎡)</t>
  </si>
  <si>
    <t>规划建筑面积(㎡)</t>
  </si>
  <si>
    <t>出让方式</t>
  </si>
  <si>
    <t>详细规划</t>
  </si>
  <si>
    <t>成交时间</t>
  </si>
  <si>
    <t>交易状态</t>
  </si>
  <si>
    <t>受让单位</t>
  </si>
  <si>
    <t>起始价(万元)</t>
  </si>
  <si>
    <t>成交价(万元)</t>
  </si>
  <si>
    <t>成交楼面价(元/㎡)</t>
  </si>
  <si>
    <t>溢价率(%)</t>
  </si>
  <si>
    <t>廊坊市</t>
  </si>
  <si>
    <t>1.200≤并且≤2.500</t>
  </si>
  <si>
    <t>拍卖</t>
  </si>
  <si>
    <t>已成交</t>
  </si>
  <si>
    <t>廊坊经济技术开发区纬五道北侧、廊坊华安盛翔汽车科技有限公司东侧</t>
  </si>
  <si>
    <t>131003001004GB00081</t>
  </si>
  <si>
    <t>1.000≤</t>
  </si>
  <si>
    <t>2024-03-01</t>
  </si>
  <si>
    <t>廊坊华安盛翔汽车科技有限公司</t>
  </si>
  <si>
    <t>创业路东侧、中电新源(廊坊)模块化电器有限公司</t>
  </si>
  <si>
    <t>131003002020GB00069</t>
  </si>
  <si>
    <t>廊坊查普曼智能家居有限公司南侧、纬五道北侧、经六路东侧</t>
  </si>
  <si>
    <t>廊开2023-1</t>
  </si>
  <si>
    <t>大于或等于1</t>
  </si>
  <si>
    <t>大于或等于1.2</t>
  </si>
  <si>
    <t>大于或等于1.2并且小于或等于2.5</t>
  </si>
  <si>
    <t>拍卖</t>
    <phoneticPr fontId="32" type="noConversion"/>
  </si>
  <si>
    <t>正常</t>
  </si>
  <si>
    <t>交易方式</t>
    <phoneticPr fontId="32" type="noConversion"/>
  </si>
  <si>
    <t>设定转让</t>
    <phoneticPr fontId="32" type="noConversion"/>
  </si>
  <si>
    <t>较好</t>
  </si>
  <si>
    <t>一般</t>
  </si>
  <si>
    <t>较差</t>
  </si>
  <si>
    <t>七通</t>
  </si>
  <si>
    <t>未包含在土地购买价格中</t>
  </si>
  <si>
    <t>已包含在土地取得成本中</t>
  </si>
  <si>
    <t>押一</t>
  </si>
  <si>
    <t>钢混</t>
  </si>
  <si>
    <t>生产用房</t>
  </si>
  <si>
    <t>否</t>
  </si>
  <si>
    <t>收益法</t>
  </si>
  <si>
    <t>成本法</t>
  </si>
  <si>
    <t>土地出让合同</t>
    <phoneticPr fontId="134" type="noConversion"/>
  </si>
  <si>
    <t>房产证</t>
    <phoneticPr fontId="134" type="noConversion"/>
  </si>
  <si>
    <t>已建建筑面积</t>
    <phoneticPr fontId="134" type="noConversion"/>
  </si>
  <si>
    <t>未建土地规划建筑面积</t>
    <phoneticPr fontId="134" type="noConversion"/>
  </si>
  <si>
    <t>容积率</t>
    <phoneticPr fontId="134" type="noConversion"/>
  </si>
  <si>
    <t>合计</t>
    <phoneticPr fontId="134" type="noConversion"/>
  </si>
  <si>
    <t>工业</t>
    <phoneticPr fontId="32" type="noConversion"/>
  </si>
  <si>
    <t>总价</t>
  </si>
  <si>
    <t>成本比率</t>
  </si>
  <si>
    <t>分摊土地面积</t>
    <phoneticPr fontId="134" type="noConversion"/>
  </si>
  <si>
    <t>区县</t>
  </si>
  <si>
    <t>土地位置</t>
  </si>
  <si>
    <t>出让年限(年)</t>
  </si>
  <si>
    <t>纬四道南、经八路西</t>
  </si>
  <si>
    <t>广阳区</t>
  </si>
  <si>
    <t>131003001005GB00272</t>
  </si>
  <si>
    <t>一类工业用地</t>
  </si>
  <si>
    <t>50年</t>
  </si>
  <si>
    <t>龙河高新区天高道北侧,富文道西侧,富康道东侧</t>
  </si>
  <si>
    <t>安次区</t>
  </si>
  <si>
    <t>廊安土2024-1</t>
  </si>
  <si>
    <t>广阳经济开发区内,基业路以东、畅祥南道以北</t>
  </si>
  <si>
    <t>廊广2024-8号地块</t>
  </si>
  <si>
    <t>1.200≤ 并且 ≤2.500</t>
  </si>
  <si>
    <t>廊坊开发区岳洋路东侧、万福路西侧</t>
  </si>
  <si>
    <t>131003002020GB00188</t>
  </si>
  <si>
    <t>开发区</t>
  </si>
  <si>
    <t>廊坊开发区三号路南侧、桐西路东侧</t>
  </si>
  <si>
    <t>131003002007GB00195</t>
  </si>
  <si>
    <t>2024-09-20</t>
  </si>
  <si>
    <t>廊坊振华全京申汽车零部件有限公司</t>
  </si>
  <si>
    <t>2024-05-29</t>
  </si>
  <si>
    <t>廊坊市宏睿熹新能源产业发展有限公司</t>
  </si>
  <si>
    <t>2024-05-07</t>
  </si>
  <si>
    <t>廊坊市泽润天成能源科技有限公司</t>
  </si>
  <si>
    <t>2024-03-27</t>
  </si>
  <si>
    <t>廊坊经济技术开发区管理委员会</t>
  </si>
  <si>
    <t>廊坊市德源汽车零部件有限公司</t>
  </si>
  <si>
    <t>广阳经济开发区内,新业路以西、畅祥南道以北</t>
  </si>
  <si>
    <t>廊广2024-5号地块</t>
  </si>
  <si>
    <t>廊广2024-6号地块</t>
  </si>
  <si>
    <t>廊坊经济技术开发区四号路北侧、桐西路西侧</t>
  </si>
  <si>
    <t>131003002006GB00182</t>
  </si>
  <si>
    <t>廊坊开发区桐西路东侧</t>
  </si>
  <si>
    <t>131003002007GB00197</t>
  </si>
  <si>
    <t>安次经济开发区安杰道南侧、安和路东侧、安华路西侧</t>
  </si>
  <si>
    <t>廊安2023-4</t>
  </si>
  <si>
    <t>1.000≤ 并且 ≤2.500</t>
  </si>
  <si>
    <t>廊坊开发区创业路西侧、翠青北道南侧</t>
  </si>
  <si>
    <t>131003002013GB00262</t>
  </si>
  <si>
    <t>广阳经济开发区内,畅祥道以南、基业路以东</t>
  </si>
  <si>
    <t>廊广2023-9号地块</t>
  </si>
  <si>
    <t>廊广2023-10号地块</t>
  </si>
  <si>
    <t>廊坊开发区创业路东侧、化辛路西侧</t>
  </si>
  <si>
    <t>廊开2023-18</t>
  </si>
  <si>
    <t>廊坊开发区梨园路西侧、桐柏供销社收棉站北侧</t>
  </si>
  <si>
    <t>廊开2023-13</t>
  </si>
  <si>
    <t>开发区友谊路西侧、九干渠东侧、廊坊市精准通科技有限公司南侧</t>
  </si>
  <si>
    <t>廊开2023-12</t>
  </si>
  <si>
    <t>爱民东道北侧、九干渠西侧</t>
  </si>
  <si>
    <t>廊广2023-5</t>
  </si>
  <si>
    <t>1.000≤并且≤1.500</t>
  </si>
  <si>
    <t>玉泉路东侧、荷花道北侧</t>
  </si>
  <si>
    <t>廊广2023-4</t>
  </si>
  <si>
    <t>河北鼎之鑫科技有限公司</t>
  </si>
  <si>
    <t>廊坊市智盈瑞兴汽车零部件有限公司</t>
  </si>
  <si>
    <t>润泽科技发展有限公司</t>
  </si>
  <si>
    <t>廊坊纽特科技有限公司</t>
  </si>
  <si>
    <t>2023-12-01</t>
  </si>
  <si>
    <t>廊坊市峰澍设备有限公司</t>
  </si>
  <si>
    <t>2023-11-23</t>
  </si>
  <si>
    <t>廊坊华安汽车装备有限公司</t>
  </si>
  <si>
    <t>翌兴精密科技(河北)有限公司</t>
  </si>
  <si>
    <t>鹊鸿(河北)医药科技有限公司</t>
  </si>
  <si>
    <t>2023-09-28</t>
  </si>
  <si>
    <t>河北安闻汽车零部件有限公司</t>
  </si>
  <si>
    <t>江南信创(廊坊)技术有限公司</t>
  </si>
  <si>
    <t>2023-09-20</t>
  </si>
  <si>
    <t>廊坊拓基众合科技有限公司</t>
  </si>
  <si>
    <t>2023-08-17</t>
  </si>
  <si>
    <t>廊坊市恒展科技有限公司</t>
  </si>
  <si>
    <t>青藤旺谷科技河北有限公司</t>
  </si>
  <si>
    <t>安中路以东、北护路堤以南</t>
  </si>
  <si>
    <t>廊安2023-2</t>
  </si>
  <si>
    <t>翔广路西侧、鹏云西道南侧</t>
  </si>
  <si>
    <t>廊临空2023-3</t>
  </si>
  <si>
    <t>鹏程西路东侧、鹏云西道南侧</t>
  </si>
  <si>
    <t>廊临空2023-2</t>
  </si>
  <si>
    <t>安次区码头镇凤阳路西侧、马杨线南侧</t>
  </si>
  <si>
    <t>廊安2023-1</t>
  </si>
  <si>
    <t>鹏程西路东侧、开源道北侧</t>
  </si>
  <si>
    <t>廊临空2023-1</t>
  </si>
  <si>
    <t>广阳经济开发区内,九干渠东侧、庆祥道南侧、基业路西侧</t>
  </si>
  <si>
    <t>廊广2023-2</t>
  </si>
  <si>
    <t>鹏鲲道北侧、翔广路西侧</t>
  </si>
  <si>
    <t>廊临空2022-22</t>
  </si>
  <si>
    <t>爱民道北侧、好丽友食品有限公司东侧</t>
  </si>
  <si>
    <t>廊开2022-10</t>
  </si>
  <si>
    <t>云鹏道北侧</t>
  </si>
  <si>
    <t>廊开2022-9</t>
  </si>
  <si>
    <t>星繁道南侧、富文道东侧</t>
  </si>
  <si>
    <t>廊安土2022-8</t>
  </si>
  <si>
    <t>大于或等于1并且小于或等于2.5</t>
  </si>
  <si>
    <t>启源道北侧、春霞路东侧</t>
  </si>
  <si>
    <t>廊临空2022-27</t>
  </si>
  <si>
    <t>大于或等于1.5</t>
  </si>
  <si>
    <t>鹏望道北侧、翔广路西侧</t>
  </si>
  <si>
    <t>廊临空2022-28</t>
  </si>
  <si>
    <t>解家务道北侧、春霞路东侧</t>
  </si>
  <si>
    <t>廊临空2022-26</t>
  </si>
  <si>
    <t>安次经济开发区安和路东侧、安杰道北侧、安华路西侧、北护路堤南侧</t>
  </si>
  <si>
    <t>廊安2022-7</t>
  </si>
  <si>
    <t>安次经济开发区安美路以西、富余道以北</t>
  </si>
  <si>
    <t>廊安2022-10</t>
  </si>
  <si>
    <t>春霞路西侧、解家务道北侧</t>
  </si>
  <si>
    <t>廊临空2022-21</t>
  </si>
  <si>
    <t>天高道北侧、富饶道西侧</t>
  </si>
  <si>
    <t>廊安土2022-7</t>
  </si>
  <si>
    <t>龙襄道以南、凤翼路以东</t>
  </si>
  <si>
    <t>廊安土2022-1</t>
  </si>
  <si>
    <t>安次经济开发区安华路东侧、北护路堤南侧</t>
  </si>
  <si>
    <t>廊安2022-4</t>
  </si>
  <si>
    <t>经八路西侧、纬四道北侧、经七路东侧</t>
  </si>
  <si>
    <t>廊开2022-6</t>
  </si>
  <si>
    <t>凤翼路以西、庆丰道以北</t>
  </si>
  <si>
    <t>廊安土2022-3</t>
  </si>
  <si>
    <t>友谊路东侧、木兰道南侧</t>
  </si>
  <si>
    <t>廊开2022-4</t>
  </si>
  <si>
    <t>凤翼路以东、青杨树道以南</t>
  </si>
  <si>
    <t>廊安土2022-6</t>
  </si>
  <si>
    <t>广阳经济开发区内、伟业路以东、畅祥南道以南、基业路以西</t>
  </si>
  <si>
    <t>廊广2022-3</t>
  </si>
  <si>
    <t>2023-06-30</t>
  </si>
  <si>
    <t>河北铭斯远建设工程有限公司</t>
  </si>
  <si>
    <t>经开世联(廊坊)科技园发展有限公司</t>
  </si>
  <si>
    <t>2023-05-29</t>
  </si>
  <si>
    <t>北京星河动力航天科技有限公司</t>
  </si>
  <si>
    <t>2023-04-26</t>
  </si>
  <si>
    <t>河北迎春酒集团有限公司</t>
  </si>
  <si>
    <t>2023-03-30</t>
  </si>
  <si>
    <t>奥德稀土科技园建设(廊坊)有限公司</t>
  </si>
  <si>
    <t>河北省东方跃达电梯部件有限公司</t>
  </si>
  <si>
    <t>廊坊市珍圭谷科技有限公司</t>
  </si>
  <si>
    <t>2022-12-21</t>
  </si>
  <si>
    <t>吉诺卫(廊坊临空自贸区)生物制品有限公司</t>
  </si>
  <si>
    <t>2022-11-23</t>
  </si>
  <si>
    <t>河北鸿昇科技有限公司</t>
  </si>
  <si>
    <t>2022-10-26</t>
  </si>
  <si>
    <t>美库(廊坊)供应链管理有限公司</t>
  </si>
  <si>
    <t>2022-10-11</t>
  </si>
  <si>
    <t>廊坊合盈启信数据科技有限公司</t>
  </si>
  <si>
    <t>河北临空集团有限公司</t>
  </si>
  <si>
    <t>廊坊合盈融信数据科技有限公司</t>
  </si>
  <si>
    <t>2022-10-10</t>
  </si>
  <si>
    <t>廊坊市恒途科技有限公司</t>
  </si>
  <si>
    <t>河北钰顺汽车科技有限公司</t>
  </si>
  <si>
    <t>2022-09-21</t>
  </si>
  <si>
    <t>廊坊合盈泰信数据科技有限公司</t>
  </si>
  <si>
    <t>2022-08-12</t>
  </si>
  <si>
    <t>廊坊市建宏电子科技有限公司</t>
  </si>
  <si>
    <t>2022-06-27</t>
  </si>
  <si>
    <t>廊坊市安鼎新材料科技有限公司</t>
  </si>
  <si>
    <t>2022-06-23</t>
  </si>
  <si>
    <t>河北精曼玻璃有限公司</t>
  </si>
  <si>
    <t>2022-06-16</t>
  </si>
  <si>
    <t>益嘉丰物(廊坊)供应链管理服务有限公司</t>
  </si>
  <si>
    <t>2022-03-29</t>
  </si>
  <si>
    <t>恒峰瀚菱(廊坊)实业有限公司</t>
  </si>
  <si>
    <t>廊坊高锦泓泰实业有限公司</t>
  </si>
  <si>
    <t>艾欧特(廊坊)科技有限公司</t>
  </si>
  <si>
    <t>2022-02-18</t>
  </si>
  <si>
    <t>廊坊广阳经济开发区建设发展有限公司</t>
  </si>
  <si>
    <t>根据之前报告</t>
    <phoneticPr fontId="3" type="noConversion"/>
  </si>
  <si>
    <t>合计</t>
    <phoneticPr fontId="8" type="noConversion"/>
  </si>
  <si>
    <t>仁达报告</t>
    <phoneticPr fontId="8" type="noConversion"/>
  </si>
  <si>
    <t>已建成房地产价值</t>
    <phoneticPr fontId="8" type="noConversion"/>
  </si>
  <si>
    <t>未建土地价值</t>
    <phoneticPr fontId="8" type="noConversion"/>
  </si>
  <si>
    <t>根据之前的报告</t>
    <phoneticPr fontId="3" type="noConversion"/>
  </si>
  <si>
    <t>单位面积地价</t>
  </si>
  <si>
    <t>地面单价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</si>
</sst>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47" fillId="0" borderId="1" xfId="0" applyNumberFormat="1" applyFont="1" applyBorder="1" applyAlignment="1" applyProtection="1">
      <alignment vertical="center" wrapText="1"/>
      <protection locked="0"/>
    </xf>
    <xf numFmtId="49" fontId="0" fillId="0" borderId="0" xfId="0" applyNumberFormat="1">
      <alignment vertical="center"/>
    </xf>
    <xf numFmtId="49" fontId="95" fillId="0" borderId="0" xfId="0" applyNumberFormat="1" applyFont="1">
      <alignment vertical="center"/>
    </xf>
    <xf numFmtId="0" fontId="77" fillId="12" borderId="0" xfId="0" applyFont="1" applyFill="1" applyProtection="1">
      <alignment vertical="center"/>
      <protection locked="0"/>
    </xf>
    <xf numFmtId="0" fontId="0" fillId="5" borderId="0" xfId="0" applyFill="1" applyAlignment="1"/>
    <xf numFmtId="0" fontId="128" fillId="6" borderId="7" xfId="0"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113" fillId="5" borderId="24" xfId="0" applyFont="1" applyFill="1" applyBorder="1" applyAlignment="1" applyProtection="1">
      <alignment horizontal="center"/>
      <protection locked="0"/>
    </xf>
    <xf numFmtId="0" fontId="44" fillId="8" borderId="24" xfId="0" applyFont="1" applyFill="1" applyBorder="1" applyAlignment="1">
      <alignment horizontal="center" vertical="center" wrapText="1"/>
    </xf>
    <xf numFmtId="0" fontId="95" fillId="5" borderId="0" xfId="0" applyFont="1" applyFill="1">
      <alignmen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0" fillId="9" borderId="0" xfId="0" applyFill="1" applyAlignment="1"/>
    <xf numFmtId="0" fontId="113" fillId="7" borderId="0" xfId="0" applyFont="1" applyFill="1" applyProtection="1">
      <alignment vertical="center"/>
      <protection locked="0"/>
    </xf>
    <xf numFmtId="0" fontId="129" fillId="7" borderId="0" xfId="0" applyFont="1" applyFill="1" applyProtection="1">
      <alignment vertical="center"/>
      <protection locked="0"/>
    </xf>
    <xf numFmtId="179" fontId="128"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0" fillId="0" borderId="0" xfId="0" applyFont="1" applyAlignment="1"/>
    <xf numFmtId="2" fontId="113" fillId="7" borderId="0" xfId="0" applyNumberFormat="1"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21</xdr:row>
      <xdr:rowOff>0</xdr:rowOff>
    </xdr:from>
    <xdr:to>
      <xdr:col>22</xdr:col>
      <xdr:colOff>85262</xdr:colOff>
      <xdr:row>29</xdr:row>
      <xdr:rowOff>276021</xdr:rowOff>
    </xdr:to>
    <xdr:pic>
      <xdr:nvPicPr>
        <xdr:cNvPr id="2" name="图片 1">
          <a:extLst>
            <a:ext uri="{FF2B5EF4-FFF2-40B4-BE49-F238E27FC236}">
              <a16:creationId xmlns:a16="http://schemas.microsoft.com/office/drawing/2014/main" xmlns="" id="{B193B007-C94C-4664-B482-2C1C9178CF7F}"/>
            </a:ext>
          </a:extLst>
        </xdr:cNvPr>
        <xdr:cNvPicPr>
          <a:picLocks noChangeAspect="1"/>
        </xdr:cNvPicPr>
      </xdr:nvPicPr>
      <xdr:blipFill>
        <a:blip xmlns:r="http://schemas.openxmlformats.org/officeDocument/2006/relationships" r:embed="rId1"/>
        <a:stretch>
          <a:fillRect/>
        </a:stretch>
      </xdr:blipFill>
      <xdr:spPr>
        <a:xfrm>
          <a:off x="11513820" y="4579620"/>
          <a:ext cx="5061122" cy="23105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84571</xdr:colOff>
      <xdr:row>27</xdr:row>
      <xdr:rowOff>14621</xdr:rowOff>
    </xdr:to>
    <xdr:pic>
      <xdr:nvPicPr>
        <xdr:cNvPr id="2" name="图片 1">
          <a:extLst>
            <a:ext uri="{FF2B5EF4-FFF2-40B4-BE49-F238E27FC236}">
              <a16:creationId xmlns:a16="http://schemas.microsoft.com/office/drawing/2014/main" xmlns="" id="{A54057BA-1901-CAA3-2BF4-6A6CEE6C6BA5}"/>
            </a:ext>
          </a:extLst>
        </xdr:cNvPr>
        <xdr:cNvPicPr>
          <a:picLocks noChangeAspect="1"/>
        </xdr:cNvPicPr>
      </xdr:nvPicPr>
      <xdr:blipFill>
        <a:blip xmlns:r="http://schemas.openxmlformats.org/officeDocument/2006/relationships" r:embed="rId1"/>
        <a:stretch>
          <a:fillRect/>
        </a:stretch>
      </xdr:blipFill>
      <xdr:spPr>
        <a:xfrm>
          <a:off x="0" y="0"/>
          <a:ext cx="9228571" cy="4952381"/>
        </a:xfrm>
        <a:prstGeom prst="rect">
          <a:avLst/>
        </a:prstGeom>
      </xdr:spPr>
    </xdr:pic>
    <xdr:clientData/>
  </xdr:twoCellAnchor>
  <xdr:twoCellAnchor editAs="oneCell">
    <xdr:from>
      <xdr:col>0</xdr:col>
      <xdr:colOff>0</xdr:colOff>
      <xdr:row>27</xdr:row>
      <xdr:rowOff>0</xdr:rowOff>
    </xdr:from>
    <xdr:to>
      <xdr:col>14</xdr:col>
      <xdr:colOff>503695</xdr:colOff>
      <xdr:row>60</xdr:row>
      <xdr:rowOff>155436</xdr:rowOff>
    </xdr:to>
    <xdr:pic>
      <xdr:nvPicPr>
        <xdr:cNvPr id="3" name="图片 2">
          <a:extLst>
            <a:ext uri="{FF2B5EF4-FFF2-40B4-BE49-F238E27FC236}">
              <a16:creationId xmlns:a16="http://schemas.microsoft.com/office/drawing/2014/main" xmlns="" id="{45AE24FB-FE9A-A424-8004-29A4498BFBD8}"/>
            </a:ext>
          </a:extLst>
        </xdr:cNvPr>
        <xdr:cNvPicPr>
          <a:picLocks noChangeAspect="1"/>
        </xdr:cNvPicPr>
      </xdr:nvPicPr>
      <xdr:blipFill>
        <a:blip xmlns:r="http://schemas.openxmlformats.org/officeDocument/2006/relationships" r:embed="rId2"/>
        <a:stretch>
          <a:fillRect/>
        </a:stretch>
      </xdr:blipFill>
      <xdr:spPr>
        <a:xfrm>
          <a:off x="0" y="4937760"/>
          <a:ext cx="9038095" cy="6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1243;&#24207;\WeChat\WeChat%20Files\ysdfzw\FileStorage\File\2025-03\&#12304;2025&#12305;&#23545;&#20844;&#20107;&#19994;&#37096;&#8212;&#30005;&#31639;&#34920;-&#22303;&#22320;01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中指"/>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607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廊坊经济技术开发区友谊路木兰道10号13-16幢房地产抵押价值预评估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受贵公司委托，我公司对廊坊经济技术开发区友谊路木兰道10号13-16幢房地产抵押价值进行了预评估。</v>
      </c>
    </row>
    <row r="7" spans="1:2">
      <c r="A7" s="1119" t="s">
        <v>566</v>
      </c>
      <c r="B7" s="1120" t="str">
        <f>'预评函-1'!A7</f>
        <v>估价对象为廊坊经济技术开发区友谊路木兰道10号13-16幢房地产，为廊坊精雕数控机床制造有限公司所有。根据《国有土地使用证》[]，估价对象（分摊）出让国有建设用地使用权面积为58848.03平方米，建筑面积为67261.53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廊坊经济技术开发区友谊路木兰道10号13-16幢房地产,属廊坊精雕数控机床制造有限公司开发建设的，该项目尚在开发建设中。根据《国有土地使用证》[]，估价对象（分摊）出让国有建设用地使用权面积为58848.03平方米，规划建筑面积为67261.53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廊坊经济技术开发区友谊路木兰道10号13-16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2025年3月5日</v>
      </c>
    </row>
    <row r="13" spans="1:2">
      <c r="A13" s="1119" t="s">
        <v>529</v>
      </c>
      <c r="B13" s="1120" t="str">
        <f>'预评函-1'!A18</f>
        <v>本次估价的“房地产价值”是指在正常市场情况下，在价值时点2025年3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28487</v>
      </c>
    </row>
    <row r="21" spans="1:2">
      <c r="A21" s="1119" t="s">
        <v>537</v>
      </c>
      <c r="B21" s="1120">
        <f ca="1">'预评函-2'!D7</f>
        <v>4235</v>
      </c>
    </row>
    <row r="22" spans="1:2">
      <c r="A22" s="1119" t="s">
        <v>538</v>
      </c>
      <c r="B22" s="1120" t="str">
        <f ca="1">'预评函-2'!D6</f>
        <v>贰亿捌仟肆佰捌拾柒万元整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28487</v>
      </c>
    </row>
    <row r="31" spans="1:2">
      <c r="A31" s="1119" t="s">
        <v>576</v>
      </c>
      <c r="B31" s="1120">
        <f ca="1">'预评函-2'!D15</f>
        <v>4235</v>
      </c>
    </row>
    <row r="32" spans="1:2">
      <c r="A32" s="1119" t="s">
        <v>543</v>
      </c>
      <c r="B32" s="1120" t="str">
        <f ca="1">'预评函-2'!D14</f>
        <v>贰亿捌仟肆佰捌拾柒万元整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廊坊经济技术开发区友谊路木兰道10号13-16幢房地产</v>
      </c>
    </row>
    <row r="42" spans="1:2">
      <c r="A42" s="1119" t="s">
        <v>590</v>
      </c>
      <c r="B42" s="1120" t="str">
        <f>'预评函-3'!B2</f>
        <v>建筑面积</v>
      </c>
    </row>
    <row r="43" spans="1:2">
      <c r="A43" s="1119" t="s">
        <v>591</v>
      </c>
      <c r="B43" s="1120">
        <f>'预评函-3'!B4</f>
        <v>67261.53</v>
      </c>
    </row>
    <row r="44" spans="1:2">
      <c r="A44" s="1119" t="s">
        <v>575</v>
      </c>
      <c r="B44" s="1120" t="str">
        <f>'预评函-3'!C2</f>
        <v>(分摊)土地面积</v>
      </c>
    </row>
    <row r="45" spans="1:2">
      <c r="A45" s="1119" t="s">
        <v>547</v>
      </c>
      <c r="B45" s="1120">
        <f>'预评函-3'!C4</f>
        <v>58848.03</v>
      </c>
    </row>
    <row r="46" spans="1:2">
      <c r="A46" s="1119" t="s">
        <v>573</v>
      </c>
      <c r="B46" s="1120" t="str">
        <f>'预评函-3'!D2</f>
        <v>出让国有建设用地使用权价值</v>
      </c>
    </row>
    <row r="47" spans="1:2">
      <c r="A47" s="1119" t="s">
        <v>548</v>
      </c>
      <c r="B47" s="1120">
        <f ca="1">'预评函-3'!D4</f>
        <v>5014</v>
      </c>
    </row>
    <row r="48" spans="1:2">
      <c r="A48" s="1119" t="s">
        <v>549</v>
      </c>
      <c r="B48" s="1120">
        <f ca="1">'预评函-3'!E4</f>
        <v>745</v>
      </c>
    </row>
    <row r="49" spans="1:2">
      <c r="A49" s="1119" t="s">
        <v>550</v>
      </c>
      <c r="B49" s="1120" t="str">
        <f ca="1">'预评函-3'!D5</f>
        <v>伍仟零壹拾肆万元整</v>
      </c>
    </row>
    <row r="50" spans="1:2">
      <c r="A50" s="1119" t="s">
        <v>574</v>
      </c>
      <c r="B50" s="1120" t="str">
        <f>'预评函-3'!F2</f>
        <v>在建建筑物价值</v>
      </c>
    </row>
    <row r="51" spans="1:2">
      <c r="A51" s="1119" t="s">
        <v>551</v>
      </c>
      <c r="B51" s="1120">
        <f ca="1">'预评函-3'!F4</f>
        <v>23473</v>
      </c>
    </row>
    <row r="52" spans="1:2">
      <c r="A52" s="1119" t="s">
        <v>552</v>
      </c>
      <c r="B52" s="1120">
        <f ca="1">'预评函-3'!G4</f>
        <v>3490</v>
      </c>
    </row>
    <row r="53" spans="1:2">
      <c r="A53" s="1119" t="s">
        <v>580</v>
      </c>
      <c r="B53" s="1120" t="str">
        <f ca="1">'预评函-3'!F5</f>
        <v>贰亿叁仟肆佰柒拾叁万元整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廊坊经济技术开发区友谊路木兰道10号13-16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14" t="s">
        <v>2579</v>
      </c>
      <c r="J2" s="3214"/>
      <c r="K2" s="3214"/>
      <c r="L2" s="3214"/>
      <c r="M2" s="3214"/>
      <c r="N2" s="3214"/>
      <c r="O2" s="3214"/>
      <c r="P2" s="3214"/>
      <c r="Q2" s="3214"/>
      <c r="R2" s="3214"/>
    </row>
    <row r="3" spans="1:18">
      <c r="A3" s="2761" t="s">
        <v>2500</v>
      </c>
      <c r="B3" s="2762">
        <f>项目基本情况!D3</f>
        <v>45721</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1.79</v>
      </c>
      <c r="D5" s="2766">
        <f>IF(ISERROR(ROUND(POWER(1+E5,A5-C5)*(POWER(1+E5,C5)-1)/(POWER(1+E5,A5)-1),3)),0,ROUND(POWER(1+E5,A5-C5)*(POWER(1+E5,C5)-1)/(POWER(1+E5,A5)-1),4))</f>
        <v>8.5599999999999996E-2</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11.8</v>
      </c>
      <c r="D6" s="2766">
        <f>IF(ISERROR(ROUND(POWER(1+E6,A6-C6)*(POWER(1+E6,C6)-1)/(POWER(1+E6,A6)-1),3)),0,ROUND(POWER(1+E6,A6-C6)*(POWER(1+E6,C6)-1)/(POWER(1+E6,A6)-1),4))</f>
        <v>0.43120000000000003</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31.81</v>
      </c>
      <c r="D7" s="2766">
        <f>IF(ISERROR(ROUND(POWER(1+E7,A7-C7)*(POWER(1+E7,C7)-1)/(POWER(1+E7,A7)-1),3)),0,ROUND(POWER(1+E7,A7-C7)*(POWER(1+E7,C7)-1)/(POWER(1+E7,A7)-1),4))</f>
        <v>0.76170000000000004</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4">
      <c r="A17" s="2761" t="s">
        <v>2516</v>
      </c>
      <c r="B17" s="2769">
        <v>4810</v>
      </c>
      <c r="C17" s="2763"/>
      <c r="D17" s="2759"/>
      <c r="E17" s="2759"/>
      <c r="F17" s="2760"/>
    </row>
    <row r="18" spans="1:14" ht="14.25" thickBot="1">
      <c r="A18" s="2771" t="s">
        <v>2515</v>
      </c>
      <c r="B18" s="2772">
        <f>ROUND(B17*F11/F12,2)</f>
        <v>5541.87</v>
      </c>
      <c r="C18" s="2772">
        <f>ROUND(F11/F12,4)</f>
        <v>1.1521999999999999</v>
      </c>
      <c r="D18" s="2773"/>
      <c r="E18" s="2773"/>
      <c r="F18" s="2774"/>
    </row>
    <row r="19" spans="1:14" ht="14.25" thickBot="1"/>
    <row r="20" spans="1:14" s="2807" customFormat="1" ht="14.25" thickTop="1">
      <c r="A20" s="2804" t="s">
        <v>2518</v>
      </c>
      <c r="B20" s="2805"/>
      <c r="C20" s="2805"/>
      <c r="D20" s="2805"/>
      <c r="E20" s="2805"/>
      <c r="F20" s="2805"/>
      <c r="G20" s="2806"/>
      <c r="I20" s="2808" t="s">
        <v>2563</v>
      </c>
      <c r="J20" s="2808" t="s">
        <v>2568</v>
      </c>
      <c r="K20" s="2808"/>
      <c r="L20" s="2808"/>
      <c r="M20" s="2808"/>
    </row>
    <row r="21" spans="1:14">
      <c r="A21" s="2775"/>
      <c r="B21" s="2776" t="s">
        <v>2519</v>
      </c>
      <c r="C21" s="2776" t="s">
        <v>2520</v>
      </c>
      <c r="D21" s="2776" t="s">
        <v>2521</v>
      </c>
      <c r="E21" s="2776" t="s">
        <v>2522</v>
      </c>
      <c r="F21" s="2776" t="s">
        <v>2523</v>
      </c>
      <c r="G21" s="2777" t="s">
        <v>2524</v>
      </c>
      <c r="I21" s="2798">
        <v>5</v>
      </c>
      <c r="J21" s="2798">
        <v>54.2</v>
      </c>
    </row>
    <row r="22" spans="1:14">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N23" s="3151" t="s">
        <v>2567</v>
      </c>
    </row>
    <row r="24" spans="1:14">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N24" s="3151">
        <v>10</v>
      </c>
    </row>
    <row r="25" spans="1:14">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N25" s="3151">
        <v>8</v>
      </c>
    </row>
    <row r="26" spans="1:14">
      <c r="A26" s="2780"/>
      <c r="B26" s="2781"/>
      <c r="C26" s="2781"/>
      <c r="D26" s="2781"/>
      <c r="E26" s="2781"/>
      <c r="F26" s="2781"/>
      <c r="G26" s="2782"/>
      <c r="I26" s="2798">
        <v>30</v>
      </c>
      <c r="J26" s="2798">
        <v>90.5</v>
      </c>
      <c r="K26" s="2798">
        <f t="shared" si="2"/>
        <v>4.2000000000000028</v>
      </c>
      <c r="L26" s="2798" t="s">
        <v>2570</v>
      </c>
      <c r="N26" s="3151">
        <v>5</v>
      </c>
    </row>
    <row r="27" spans="1:14">
      <c r="A27" s="2780" t="s">
        <v>2529</v>
      </c>
      <c r="B27" s="2781"/>
      <c r="C27" s="2781"/>
      <c r="D27" s="2781"/>
      <c r="E27" s="2781"/>
      <c r="F27" s="2781"/>
      <c r="G27" s="2782"/>
      <c r="I27" s="2798">
        <v>35</v>
      </c>
      <c r="J27" s="2798">
        <v>93.8</v>
      </c>
      <c r="K27" s="2798">
        <f t="shared" si="2"/>
        <v>3.2999999999999972</v>
      </c>
      <c r="L27" s="2798" t="s">
        <v>2571</v>
      </c>
      <c r="N27" s="3151">
        <v>3</v>
      </c>
    </row>
    <row r="28" spans="1:14">
      <c r="A28" s="2780" t="s">
        <v>2530</v>
      </c>
      <c r="B28" s="2781"/>
      <c r="C28" s="2781"/>
      <c r="D28" s="2781"/>
      <c r="E28" s="2781"/>
      <c r="F28" s="2781"/>
      <c r="G28" s="2782"/>
      <c r="I28" s="2798">
        <v>40</v>
      </c>
      <c r="J28" s="2798">
        <v>96.4</v>
      </c>
      <c r="K28" s="2798">
        <f t="shared" si="2"/>
        <v>2.6000000000000085</v>
      </c>
      <c r="L28" s="2798" t="s">
        <v>2572</v>
      </c>
      <c r="N28" s="3151">
        <v>2</v>
      </c>
    </row>
    <row r="29" spans="1:14">
      <c r="A29" s="2780" t="s">
        <v>2531</v>
      </c>
      <c r="B29" s="2781"/>
      <c r="C29" s="2781"/>
      <c r="D29" s="2781"/>
      <c r="E29" s="2781"/>
      <c r="F29" s="2781"/>
      <c r="G29" s="2782"/>
      <c r="I29" s="2798">
        <v>45</v>
      </c>
      <c r="J29" s="2798">
        <v>98.4</v>
      </c>
      <c r="K29" s="2798">
        <f t="shared" si="2"/>
        <v>2</v>
      </c>
    </row>
    <row r="30" spans="1:14">
      <c r="A30" s="2780" t="s">
        <v>2532</v>
      </c>
      <c r="B30" s="2781"/>
      <c r="C30" s="2781"/>
      <c r="D30" s="2781"/>
      <c r="E30" s="2781"/>
      <c r="F30" s="2781"/>
      <c r="G30" s="2782"/>
      <c r="I30" s="2798">
        <v>50</v>
      </c>
      <c r="J30" s="2798">
        <v>100</v>
      </c>
      <c r="K30" s="2798">
        <f t="shared" si="2"/>
        <v>1.5999999999999943</v>
      </c>
    </row>
    <row r="31" spans="1:14">
      <c r="A31" s="2780" t="s">
        <v>2533</v>
      </c>
      <c r="B31" s="2781"/>
      <c r="C31" s="2781"/>
      <c r="D31" s="2781"/>
      <c r="E31" s="2781"/>
      <c r="F31" s="2781"/>
      <c r="G31" s="2782"/>
      <c r="I31" s="2798" t="s">
        <v>2564</v>
      </c>
    </row>
    <row r="32" spans="1:14">
      <c r="A32" s="2780" t="s">
        <v>2534</v>
      </c>
      <c r="B32" s="2781"/>
      <c r="C32" s="2781"/>
      <c r="D32" s="2781"/>
      <c r="E32" s="2781"/>
      <c r="F32" s="2781"/>
      <c r="G32" s="2782"/>
    </row>
    <row r="33" spans="1:14">
      <c r="A33" s="2780" t="s">
        <v>2535</v>
      </c>
      <c r="B33" s="2781"/>
      <c r="C33" s="2781"/>
      <c r="D33" s="2781"/>
      <c r="E33" s="2781"/>
      <c r="F33" s="2781"/>
      <c r="G33" s="2782"/>
      <c r="I33" s="2798" t="s">
        <v>2563</v>
      </c>
      <c r="J33" s="2798" t="s">
        <v>2573</v>
      </c>
    </row>
    <row r="34" spans="1:14">
      <c r="A34" s="2780" t="s">
        <v>2536</v>
      </c>
      <c r="B34" s="2781"/>
      <c r="C34" s="2781"/>
      <c r="D34" s="2781"/>
      <c r="E34" s="2781"/>
      <c r="F34" s="2781"/>
      <c r="G34" s="2782"/>
      <c r="I34" s="2798">
        <v>5</v>
      </c>
      <c r="J34" s="2798">
        <v>55.1</v>
      </c>
    </row>
    <row r="35" spans="1:14">
      <c r="A35" s="2780" t="s">
        <v>2537</v>
      </c>
      <c r="B35" s="2781"/>
      <c r="C35" s="2781"/>
      <c r="D35" s="2781"/>
      <c r="E35" s="2781"/>
      <c r="F35" s="2781"/>
      <c r="G35" s="2782"/>
      <c r="I35" s="2798">
        <v>10</v>
      </c>
      <c r="J35" s="2798">
        <v>67</v>
      </c>
      <c r="K35" s="2798">
        <f>J35-J34</f>
        <v>11.899999999999999</v>
      </c>
    </row>
    <row r="36" spans="1:14">
      <c r="A36" s="2780" t="s">
        <v>2538</v>
      </c>
      <c r="B36" s="2781"/>
      <c r="C36" s="2781"/>
      <c r="D36" s="2781"/>
      <c r="E36" s="2781"/>
      <c r="F36" s="2781"/>
      <c r="G36" s="2782"/>
      <c r="I36" s="2798">
        <v>15</v>
      </c>
      <c r="J36" s="2798">
        <v>76.3</v>
      </c>
      <c r="K36" s="2798">
        <f t="shared" ref="K36:K41" si="3">J36-J35</f>
        <v>9.2999999999999972</v>
      </c>
      <c r="L36" s="2798" t="s">
        <v>2566</v>
      </c>
      <c r="N36" s="3151" t="s">
        <v>2567</v>
      </c>
    </row>
    <row r="37" spans="1:14">
      <c r="A37" s="2780" t="s">
        <v>2539</v>
      </c>
      <c r="B37" s="2781"/>
      <c r="C37" s="2781"/>
      <c r="D37" s="2781"/>
      <c r="E37" s="2781"/>
      <c r="F37" s="2781"/>
      <c r="G37" s="2782"/>
      <c r="I37" s="2798">
        <v>20</v>
      </c>
      <c r="J37" s="2798">
        <v>83.6</v>
      </c>
      <c r="K37" s="2798">
        <f t="shared" si="3"/>
        <v>7.2999999999999972</v>
      </c>
      <c r="L37" s="2798" t="s">
        <v>2565</v>
      </c>
      <c r="N37" s="3151">
        <v>10</v>
      </c>
    </row>
    <row r="38" spans="1:14">
      <c r="A38" s="2780" t="s">
        <v>2540</v>
      </c>
      <c r="B38" s="2781"/>
      <c r="C38" s="2781"/>
      <c r="D38" s="2781"/>
      <c r="E38" s="2781"/>
      <c r="F38" s="2781"/>
      <c r="G38" s="2782"/>
      <c r="I38" s="2798">
        <v>25</v>
      </c>
      <c r="J38" s="2798">
        <v>89.3</v>
      </c>
      <c r="K38" s="2798">
        <f t="shared" si="3"/>
        <v>5.7000000000000028</v>
      </c>
      <c r="L38" s="2798" t="s">
        <v>2569</v>
      </c>
      <c r="N38" s="3151">
        <v>8</v>
      </c>
    </row>
    <row r="39" spans="1:14">
      <c r="A39" s="2780"/>
      <c r="B39" s="2781"/>
      <c r="C39" s="2781"/>
      <c r="D39" s="2781"/>
      <c r="E39" s="2781"/>
      <c r="F39" s="2781"/>
      <c r="G39" s="2782"/>
      <c r="I39" s="2798">
        <v>30</v>
      </c>
      <c r="J39" s="2798">
        <v>93.8</v>
      </c>
      <c r="K39" s="2798">
        <f t="shared" si="3"/>
        <v>4.5</v>
      </c>
      <c r="L39" s="2798" t="s">
        <v>2570</v>
      </c>
      <c r="N39" s="3151">
        <v>6</v>
      </c>
    </row>
    <row r="40" spans="1:14">
      <c r="A40" s="2783" t="s">
        <v>2541</v>
      </c>
      <c r="B40" s="2784"/>
      <c r="C40" s="2784"/>
      <c r="D40" s="2784"/>
      <c r="E40" s="2784"/>
      <c r="F40" s="2784"/>
      <c r="G40" s="2785"/>
      <c r="I40" s="2798">
        <v>35</v>
      </c>
      <c r="J40" s="2798">
        <v>97.2</v>
      </c>
      <c r="K40" s="2798">
        <f t="shared" si="3"/>
        <v>3.4000000000000057</v>
      </c>
      <c r="L40" s="2798" t="s">
        <v>2571</v>
      </c>
      <c r="N40" s="3151">
        <v>3</v>
      </c>
    </row>
    <row r="41" spans="1:14">
      <c r="A41" s="2786" t="s">
        <v>2542</v>
      </c>
      <c r="B41" s="2787" t="s">
        <v>2543</v>
      </c>
      <c r="C41" s="2788" t="s">
        <v>2544</v>
      </c>
      <c r="D41" s="2788" t="s">
        <v>2545</v>
      </c>
      <c r="E41" s="2789"/>
      <c r="F41" s="2790"/>
      <c r="G41" s="2791"/>
      <c r="I41" s="2798">
        <v>40</v>
      </c>
      <c r="J41" s="2798">
        <v>100</v>
      </c>
      <c r="K41" s="2798">
        <f t="shared" si="3"/>
        <v>2.7999999999999972</v>
      </c>
    </row>
    <row r="42" spans="1:14">
      <c r="A42" s="2786" t="s">
        <v>2546</v>
      </c>
      <c r="B42" s="2787" t="s">
        <v>2547</v>
      </c>
      <c r="C42" s="2788" t="s">
        <v>2548</v>
      </c>
      <c r="D42" s="2792" t="s">
        <v>2549</v>
      </c>
      <c r="E42" s="2784" t="s">
        <v>2550</v>
      </c>
      <c r="F42" s="2784"/>
      <c r="G42" s="2785"/>
    </row>
    <row r="43" spans="1:14">
      <c r="A43" s="2786" t="s">
        <v>2551</v>
      </c>
      <c r="B43" s="2787" t="s">
        <v>2552</v>
      </c>
      <c r="C43" s="2788" t="s">
        <v>2553</v>
      </c>
      <c r="D43" s="2788" t="s">
        <v>2554</v>
      </c>
      <c r="E43" s="2789" t="s">
        <v>2555</v>
      </c>
      <c r="F43" s="2790"/>
      <c r="G43" s="2791"/>
      <c r="I43" s="2798" t="s">
        <v>2563</v>
      </c>
      <c r="J43" s="2798" t="s">
        <v>2574</v>
      </c>
    </row>
    <row r="44" spans="1:14">
      <c r="A44" s="2786" t="s">
        <v>2556</v>
      </c>
      <c r="B44" s="2787" t="s">
        <v>2557</v>
      </c>
      <c r="C44" s="2788" t="s">
        <v>2558</v>
      </c>
      <c r="D44" s="2792">
        <v>0.5</v>
      </c>
      <c r="E44" s="2789" t="s">
        <v>2559</v>
      </c>
      <c r="F44" s="2790"/>
      <c r="G44" s="2791"/>
      <c r="I44" s="2798">
        <v>30</v>
      </c>
      <c r="J44" s="2798">
        <v>81.7</v>
      </c>
    </row>
    <row r="45" spans="1:14" ht="14.25" thickBot="1">
      <c r="A45" s="2793" t="s">
        <v>2560</v>
      </c>
      <c r="B45" s="2794" t="s">
        <v>2547</v>
      </c>
      <c r="C45" s="2795" t="s">
        <v>2547</v>
      </c>
      <c r="D45" s="2795" t="s">
        <v>2561</v>
      </c>
      <c r="E45" s="2796" t="s">
        <v>2562</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3389</v>
      </c>
    </row>
    <row r="50" spans="1:4">
      <c r="A50" s="3143" t="s">
        <v>3390</v>
      </c>
      <c r="B50" s="3143" t="s">
        <v>3391</v>
      </c>
      <c r="C50" s="3143" t="s">
        <v>3392</v>
      </c>
      <c r="D50" s="3143" t="s">
        <v>3393</v>
      </c>
    </row>
    <row r="51" spans="1:4">
      <c r="A51" s="3143" t="s">
        <v>3394</v>
      </c>
      <c r="B51" s="2763">
        <f>B52+B53</f>
        <v>15000</v>
      </c>
      <c r="C51" s="3144">
        <f>D51/B51</f>
        <v>2666.6666666666665</v>
      </c>
      <c r="D51" s="2763">
        <f>D52+D53</f>
        <v>40000000</v>
      </c>
    </row>
    <row r="52" spans="1:4">
      <c r="A52" s="3145" t="s">
        <v>3395</v>
      </c>
      <c r="B52" s="3146">
        <v>10000</v>
      </c>
      <c r="C52" s="3146">
        <v>1500</v>
      </c>
      <c r="D52" s="3147">
        <f>C52*B52</f>
        <v>15000000</v>
      </c>
    </row>
    <row r="53" spans="1:4">
      <c r="A53" s="3145" t="s">
        <v>3396</v>
      </c>
      <c r="B53" s="3146">
        <v>5000</v>
      </c>
      <c r="C53" s="3146">
        <v>5000</v>
      </c>
      <c r="D53" s="3147">
        <f>C53*B53</f>
        <v>25000000</v>
      </c>
    </row>
    <row r="54" spans="1:4">
      <c r="A54" s="3143" t="s">
        <v>3397</v>
      </c>
      <c r="B54" s="2763">
        <f>B51</f>
        <v>15000</v>
      </c>
      <c r="C54" s="2769">
        <v>700</v>
      </c>
      <c r="D54" s="2763">
        <f t="shared" ref="D54:D55" si="5">C54*B54</f>
        <v>10500000</v>
      </c>
    </row>
    <row r="55" spans="1:4">
      <c r="A55" s="3143" t="s">
        <v>3398</v>
      </c>
      <c r="B55" s="2763">
        <f>B51</f>
        <v>15000</v>
      </c>
      <c r="C55" s="2769">
        <v>1500</v>
      </c>
      <c r="D55" s="2763">
        <f t="shared" si="5"/>
        <v>22500000</v>
      </c>
    </row>
    <row r="56" spans="1:4">
      <c r="A56" s="3143" t="s">
        <v>3399</v>
      </c>
      <c r="B56" s="2763">
        <f>B51</f>
        <v>15000</v>
      </c>
      <c r="C56" s="3148">
        <f>C51+C54+C55</f>
        <v>4866.6666666666661</v>
      </c>
      <c r="D56" s="2763">
        <f>D51+D54+D55</f>
        <v>73000000</v>
      </c>
    </row>
    <row r="58" spans="1:4">
      <c r="A58" s="3143" t="s">
        <v>3400</v>
      </c>
      <c r="B58" s="3149">
        <v>0.05</v>
      </c>
      <c r="C58" s="2763">
        <f>C56*(1+B58)</f>
        <v>5110</v>
      </c>
      <c r="D58" s="2763">
        <f>D56*B58</f>
        <v>3650000</v>
      </c>
    </row>
    <row r="60" spans="1:4">
      <c r="A60" s="3143" t="s">
        <v>3401</v>
      </c>
      <c r="B60" s="2769">
        <v>3500</v>
      </c>
      <c r="C60" s="2769">
        <f>C53</f>
        <v>5000</v>
      </c>
      <c r="D60" s="2763">
        <f>C60*B60</f>
        <v>17500000</v>
      </c>
    </row>
    <row r="62" spans="1:4">
      <c r="A62" s="3143" t="s">
        <v>3402</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9" sqref="M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22" t="str">
        <f>IF(B10="北京市","北京市",C10)&amp;F10&amp;IF(结果表!G1="在建","出让国有建设用地使用权及在建建筑物",IF(结果表!G1="土地","出让国有建设用地使用权",))&amp;B9&amp;"预评估"</f>
        <v>廊坊经济技术开发区友谊路木兰道10号13-16幢房地产抵押价值预评估</v>
      </c>
      <c r="C1" s="3223"/>
      <c r="D1" s="3223"/>
      <c r="E1" s="3223"/>
      <c r="F1" s="3223"/>
      <c r="G1" s="3223"/>
      <c r="H1" s="3223"/>
      <c r="I1" s="3224"/>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廊坊经济技术开发区友谊路木兰道10号13-16幢房地产抵押价值</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廊坊经济技术开发区友谊路木兰道10号13-16幢房地产</v>
      </c>
      <c r="T2" s="1618"/>
      <c r="U2" s="1618"/>
      <c r="V2" s="1618"/>
      <c r="W2" s="1618"/>
      <c r="X2" s="1618"/>
      <c r="Y2" s="1618"/>
      <c r="Z2" s="1618"/>
      <c r="AA2" s="1618"/>
      <c r="AB2" s="1618"/>
    </row>
    <row r="3" spans="1:30">
      <c r="A3" s="294" t="s">
        <v>2169</v>
      </c>
      <c r="B3" s="2185"/>
      <c r="C3" s="2186" t="s">
        <v>2170</v>
      </c>
      <c r="D3" s="2185">
        <v>45721</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t="s">
        <v>3404</v>
      </c>
      <c r="C8" s="2201"/>
      <c r="D8" s="3225" t="s">
        <v>2176</v>
      </c>
      <c r="E8" s="2202" t="s">
        <v>3405</v>
      </c>
      <c r="F8" s="2203"/>
      <c r="G8" s="2441"/>
      <c r="H8" s="2441"/>
      <c r="I8" s="2441"/>
      <c r="J8" s="2244"/>
      <c r="K8" s="2399"/>
      <c r="L8" s="2398"/>
      <c r="M8" s="2398"/>
      <c r="N8" s="2244"/>
      <c r="O8" s="1670"/>
      <c r="P8" s="2244"/>
      <c r="Q8" s="2244"/>
      <c r="R8" s="2244"/>
    </row>
    <row r="9" spans="1:30" ht="13.5" thickBot="1">
      <c r="A9" s="2204" t="s">
        <v>2177</v>
      </c>
      <c r="B9" s="2205" t="s">
        <v>3405</v>
      </c>
      <c r="C9" s="2206"/>
      <c r="D9" s="3226"/>
      <c r="E9" s="2205"/>
      <c r="F9" s="2207"/>
      <c r="G9" s="2442"/>
      <c r="H9" s="2442"/>
      <c r="I9" s="2442"/>
      <c r="J9" s="2244"/>
      <c r="K9" s="2401"/>
      <c r="L9" s="2398"/>
      <c r="M9" s="2398"/>
      <c r="N9" s="2244"/>
      <c r="O9" s="1670"/>
      <c r="P9" s="2244"/>
      <c r="Q9" s="2244"/>
      <c r="R9" s="2244"/>
    </row>
    <row r="10" spans="1:30" ht="13.5" thickTop="1">
      <c r="A10" s="2208" t="s">
        <v>2178</v>
      </c>
      <c r="B10" s="2209" t="s">
        <v>3406</v>
      </c>
      <c r="C10" s="2210"/>
      <c r="D10" s="2193"/>
      <c r="E10" s="2211" t="s">
        <v>2179</v>
      </c>
      <c r="F10" s="3152" t="s">
        <v>3409</v>
      </c>
      <c r="G10" s="2443"/>
      <c r="H10" s="2444"/>
      <c r="I10" s="2445"/>
      <c r="J10" s="2244"/>
      <c r="K10" s="2401"/>
      <c r="L10" s="2398"/>
      <c r="M10" s="2398"/>
      <c r="N10" s="2244"/>
      <c r="O10" s="1670"/>
      <c r="P10" s="2244"/>
      <c r="Q10" s="2244"/>
      <c r="R10" s="2244"/>
    </row>
    <row r="11" spans="1:30" ht="36">
      <c r="A11" s="2212" t="s">
        <v>2180</v>
      </c>
      <c r="B11" s="2213" t="s">
        <v>3407</v>
      </c>
      <c r="C11" s="3153" t="s">
        <v>3408</v>
      </c>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2575</v>
      </c>
      <c r="J12" s="2801"/>
      <c r="K12" s="2398"/>
      <c r="L12" s="2398"/>
      <c r="M12" s="2244"/>
      <c r="N12" s="1670"/>
      <c r="O12" s="2244"/>
      <c r="P12" s="2244"/>
      <c r="Q12" s="2244"/>
      <c r="AD12" s="1618"/>
    </row>
    <row r="13" spans="1:30">
      <c r="A13" s="3120" t="s">
        <v>3331</v>
      </c>
      <c r="B13" s="2217" t="s">
        <v>2189</v>
      </c>
      <c r="C13" s="803"/>
      <c r="D13" s="803"/>
      <c r="E13" s="803"/>
      <c r="F13" s="803"/>
      <c r="G13" s="803"/>
      <c r="H13" s="803">
        <v>60988</v>
      </c>
      <c r="I13" s="803"/>
      <c r="J13" s="2801"/>
      <c r="K13" s="2398"/>
      <c r="L13" s="2398"/>
      <c r="M13" s="2244"/>
      <c r="N13" s="1670"/>
      <c r="O13" s="2244"/>
      <c r="P13" s="2244"/>
      <c r="Q13" s="2244"/>
      <c r="AD13" s="1618"/>
    </row>
    <row r="14" spans="1:30">
      <c r="A14" s="1018"/>
      <c r="B14" s="2217" t="s">
        <v>2190</v>
      </c>
      <c r="C14" s="2218"/>
      <c r="D14" s="2218"/>
      <c r="E14" s="2218"/>
      <c r="F14" s="2218"/>
      <c r="G14" s="2218"/>
      <c r="H14" s="2218">
        <v>50</v>
      </c>
      <c r="I14" s="2218"/>
      <c r="J14" s="2802"/>
      <c r="K14" s="2398"/>
      <c r="L14" s="2398"/>
      <c r="M14" s="2244"/>
      <c r="N14" s="1670"/>
      <c r="O14" s="2244"/>
      <c r="P14" s="2244"/>
      <c r="Q14" s="2244"/>
      <c r="AD14" s="1618"/>
    </row>
    <row r="15" spans="1:30">
      <c r="A15" s="312"/>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41.82</v>
      </c>
      <c r="I15" s="2220" t="str">
        <f>IF(A13="出让",IF(I13="","",ROUNDDOWN(MIN((I13-$D$3)/365,I14),2)),I14)</f>
        <v/>
      </c>
      <c r="J15" s="2803"/>
      <c r="K15" s="1670"/>
      <c r="L15" s="1670"/>
      <c r="M15" s="2244"/>
      <c r="N15" s="1670"/>
      <c r="O15" s="2244"/>
      <c r="P15" s="2244"/>
      <c r="Q15" s="2244"/>
      <c r="AD15" s="1618"/>
    </row>
    <row r="16" spans="1:30">
      <c r="A16" s="2211" t="s">
        <v>2192</v>
      </c>
      <c r="B16" s="3232"/>
      <c r="C16" s="3233"/>
      <c r="D16" s="3234"/>
      <c r="E16" s="2221" t="s">
        <v>2193</v>
      </c>
      <c r="F16" s="3235"/>
      <c r="G16" s="3236"/>
      <c r="H16" s="3236"/>
      <c r="I16" s="3237"/>
      <c r="J16" s="2244"/>
      <c r="K16" s="2402"/>
      <c r="L16" s="1670"/>
      <c r="M16" s="1670"/>
      <c r="N16" s="2244"/>
      <c r="O16" s="1670"/>
      <c r="P16" s="2244"/>
      <c r="Q16" s="2244"/>
      <c r="R16" s="2244"/>
    </row>
    <row r="17" spans="1:28">
      <c r="A17" s="305" t="s">
        <v>2194</v>
      </c>
      <c r="B17" s="294" t="s">
        <v>2195</v>
      </c>
      <c r="C17" s="8">
        <f>'数据-汇总表'!E3</f>
        <v>67261.53</v>
      </c>
      <c r="D17" s="1256" t="s">
        <v>2196</v>
      </c>
      <c r="E17" s="3238" t="s">
        <v>2197</v>
      </c>
      <c r="F17" s="3239"/>
      <c r="G17" s="3239"/>
      <c r="H17" s="3239"/>
      <c r="I17" s="3240"/>
      <c r="J17" s="2244"/>
      <c r="K17" s="2403"/>
      <c r="L17" s="1670"/>
      <c r="M17" s="1670"/>
      <c r="N17" s="2244"/>
      <c r="O17" s="1670"/>
      <c r="P17" s="2244"/>
      <c r="Q17" s="2244"/>
      <c r="R17" s="2244"/>
      <c r="S17" s="2244"/>
      <c r="T17" s="2244"/>
      <c r="U17" s="2244"/>
      <c r="V17" s="2244"/>
    </row>
    <row r="18" spans="1:28" ht="24.75" thickBot="1">
      <c r="A18" s="2222" t="s">
        <v>2198</v>
      </c>
      <c r="B18" s="1027" t="s">
        <v>2199</v>
      </c>
      <c r="C18" s="2223">
        <f>'数据-汇总表'!D3</f>
        <v>58848.03</v>
      </c>
      <c r="D18" s="1029" t="s">
        <v>2200</v>
      </c>
      <c r="E18" s="3241" t="s">
        <v>2201</v>
      </c>
      <c r="F18" s="3242"/>
      <c r="G18" s="3242"/>
      <c r="H18" s="3242"/>
      <c r="I18" s="3243"/>
      <c r="J18" s="2244"/>
      <c r="K18" s="2403"/>
      <c r="L18" s="1670"/>
      <c r="M18" s="1670"/>
      <c r="N18" s="2244"/>
      <c r="O18" s="1670"/>
      <c r="P18" s="2244"/>
      <c r="Q18" s="2244"/>
      <c r="R18" s="2244"/>
      <c r="S18" s="2244"/>
      <c r="T18" s="2244"/>
      <c r="U18" s="2244"/>
      <c r="V18" s="2244"/>
    </row>
    <row r="19" spans="1:28" ht="37.5" thickTop="1" thickBot="1">
      <c r="A19" s="319" t="s">
        <v>1055</v>
      </c>
      <c r="B19" s="299" t="s">
        <v>2202</v>
      </c>
      <c r="C19" s="1455" t="s">
        <v>3414</v>
      </c>
      <c r="D19" s="1456" t="s">
        <v>2203</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2204</v>
      </c>
      <c r="B20" s="3228" t="s">
        <v>2205</v>
      </c>
      <c r="C20" s="3229"/>
      <c r="D20" s="3230" t="s">
        <v>2206</v>
      </c>
      <c r="E20" s="3231"/>
      <c r="F20" s="2429" t="s">
        <v>1056</v>
      </c>
      <c r="G20" s="2441"/>
      <c r="H20" s="2441"/>
      <c r="I20" s="2441"/>
      <c r="J20" s="2244"/>
      <c r="K20" s="3227"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2208</v>
      </c>
      <c r="C21" s="2295" t="s">
        <v>1057</v>
      </c>
      <c r="D21" s="1460" t="s">
        <v>2209</v>
      </c>
      <c r="E21" s="2418" t="s">
        <v>1057</v>
      </c>
      <c r="F21" s="2430"/>
      <c r="G21" s="2441"/>
      <c r="H21" s="2441"/>
      <c r="I21" s="2441"/>
      <c r="J21" s="2244"/>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2210</v>
      </c>
      <c r="C22" s="2295" t="s">
        <v>1058</v>
      </c>
      <c r="D22" s="2441"/>
      <c r="E22" s="2441"/>
      <c r="F22" s="2441"/>
      <c r="G22" s="2441"/>
      <c r="H22" s="2441"/>
      <c r="I22" s="2441"/>
      <c r="J22" s="2244"/>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6" t="s">
        <v>2213</v>
      </c>
      <c r="B27" s="312" t="s">
        <v>2214</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6"/>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6"/>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7"/>
      <c r="B30" s="294" t="s">
        <v>2217</v>
      </c>
      <c r="C30" s="3218"/>
      <c r="D30" s="3219"/>
      <c r="E30" s="2441"/>
      <c r="F30" s="2441"/>
      <c r="G30" s="2441"/>
      <c r="H30" s="2441"/>
      <c r="I30" s="2441"/>
      <c r="J30" s="2244"/>
      <c r="K30" s="2401"/>
      <c r="L30" s="2398"/>
      <c r="M30" s="2398"/>
      <c r="N30" s="2244"/>
      <c r="O30" s="1670"/>
      <c r="P30" s="2244"/>
      <c r="Q30" s="2244"/>
      <c r="R30" s="2244"/>
      <c r="S30" s="2244"/>
      <c r="T30" s="2244"/>
      <c r="U30" s="2244"/>
      <c r="V30" s="2244"/>
    </row>
    <row r="31" spans="1:28">
      <c r="A31" s="3220" t="s">
        <v>2218</v>
      </c>
      <c r="B31" s="2230" t="s">
        <v>3438</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1"/>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1"/>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15" t="s">
        <v>2227</v>
      </c>
      <c r="T34" s="315" t="str">
        <f>NUMBERSTRING(7-K34,1)&amp;"通"</f>
        <v>七通</v>
      </c>
      <c r="U34" s="2244"/>
      <c r="V34" s="2244"/>
    </row>
    <row r="35" spans="1:30">
      <c r="A35" s="2235"/>
      <c r="B35" s="3215" t="s">
        <v>2228</v>
      </c>
      <c r="C35" s="3215"/>
      <c r="D35" s="3215"/>
      <c r="E35" s="321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5"/>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2578</v>
      </c>
      <c r="G36" s="2441"/>
      <c r="H36" s="2441"/>
      <c r="I36" s="2441"/>
      <c r="J36" s="2244"/>
      <c r="K36" s="2401"/>
      <c r="L36" s="2398"/>
      <c r="M36" s="2398"/>
      <c r="N36" s="2244"/>
      <c r="O36" s="1670"/>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信息!D19</f>
        <v>58848.03</v>
      </c>
      <c r="B3" s="11">
        <f>IF(C3="否",G5-AT5,G5)</f>
        <v>67261.53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67261.53</v>
      </c>
      <c r="H5" s="13">
        <f t="shared" ref="H5:AT5" si="0">SUM(H13:H656)</f>
        <v>67261.53</v>
      </c>
      <c r="I5" s="13">
        <f t="shared" si="0"/>
        <v>67261.53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67261.53</v>
      </c>
      <c r="BA5" s="15">
        <f t="shared" si="1"/>
        <v>67261.53</v>
      </c>
      <c r="BB5" s="15">
        <f t="shared" si="1"/>
        <v>67261.53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58848.03</v>
      </c>
      <c r="F6" s="13" t="s">
        <v>0</v>
      </c>
      <c r="G6" s="13" t="s">
        <v>1</v>
      </c>
      <c r="H6" s="17">
        <f>SUMIF(I$12:AB$12,"总值",I6:AB6)</f>
        <v>58848.03</v>
      </c>
      <c r="I6" s="13">
        <f t="shared" ref="I6:AB6" si="2">ROUND($A$3*I5/$B$3,2)</f>
        <v>58848.03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58848.03</v>
      </c>
      <c r="AZ6" s="13" t="s">
        <v>2</v>
      </c>
      <c r="BA6" s="13">
        <f>ROUND($AY$6*BA5/$AZ$5,2)</f>
        <v>58848.03</v>
      </c>
      <c r="BB6" s="13">
        <f>ROUND($AY$6*BB5/$AZ$5,2)</f>
        <v>58848.03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2243" t="s">
        <v>3410</v>
      </c>
      <c r="D13" s="1513" t="s">
        <v>3414</v>
      </c>
      <c r="E13" s="13">
        <f>IF($C$3="是",ROUND($A$3*G13/$B$3,2),ROUND($A$3*(G13-AT13)/$B$3,2))</f>
        <v>9849.94</v>
      </c>
      <c r="F13" s="29"/>
      <c r="G13" s="30">
        <f>H13+AC13+AT13</f>
        <v>11258.18</v>
      </c>
      <c r="H13" s="17">
        <f>SUMIF(I$12:AB$12,"总值",I13:AB13)</f>
        <v>11258.18</v>
      </c>
      <c r="I13" s="1514">
        <f>信息!B12</f>
        <v>11258.18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0013</v>
      </c>
      <c r="AY13" s="1260">
        <f>ROUND($AY$6*AZ13/$AZ$5,2)</f>
        <v>9849.94</v>
      </c>
      <c r="AZ13" s="13">
        <f>BA13+BL13</f>
        <v>11258.18</v>
      </c>
      <c r="BA13" s="13">
        <f>SUM(BB13:BK13)</f>
        <v>11258.18</v>
      </c>
      <c r="BB13" s="13">
        <f>IF($D13="是",I13-J13,0)</f>
        <v>11258.18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54" t="s">
        <v>3411</v>
      </c>
      <c r="D14" s="1513" t="s">
        <v>3414</v>
      </c>
      <c r="E14" s="13">
        <f>IF($C$3="是",ROUND($A$3*G14/$B$3,2),ROUND($A$3*(G14-AT14)/$B$3,2))</f>
        <v>15183.57</v>
      </c>
      <c r="F14" s="29"/>
      <c r="G14" s="30">
        <f>H14+AC14+AT14</f>
        <v>17354.36</v>
      </c>
      <c r="H14" s="17">
        <f>SUMIF(I$12:AB$12,"总值",I14:AB14)</f>
        <v>17354.36</v>
      </c>
      <c r="I14" s="1514">
        <f>信息!B13</f>
        <v>17354.36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0014</v>
      </c>
      <c r="AY14" s="1260">
        <f>ROUND($AY$6*AZ14/$AZ$5,2)</f>
        <v>15183.57</v>
      </c>
      <c r="AZ14" s="13">
        <f>BA14+BL14</f>
        <v>17354.36</v>
      </c>
      <c r="BA14" s="13">
        <f>SUM(BB14:BK14)</f>
        <v>17354.36</v>
      </c>
      <c r="BB14" s="13">
        <f>IF($D14="是",I14-J14,0)</f>
        <v>17354.36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54" t="s">
        <v>3412</v>
      </c>
      <c r="D15" s="1513" t="s">
        <v>3414</v>
      </c>
      <c r="E15" s="13">
        <f>IF($C$3="是",ROUND($A$3*G15/$B$3,2),ROUND($A$3*(G15-AT15)/$B$3,2))</f>
        <v>15548.52</v>
      </c>
      <c r="F15" s="29"/>
      <c r="G15" s="30">
        <f>H15+AC15+AT15</f>
        <v>17771.490000000002</v>
      </c>
      <c r="H15" s="17">
        <f>SUMIF(I$12:AB$12,"总值",I15:AB15)</f>
        <v>17771.490000000002</v>
      </c>
      <c r="I15" s="1514">
        <f>信息!B14</f>
        <v>17771.490000000002</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0015</v>
      </c>
      <c r="AY15" s="1260">
        <f>ROUND($AY$6*AZ15/$AZ$5,2)</f>
        <v>15548.52</v>
      </c>
      <c r="AZ15" s="13">
        <f>BA15+BL15</f>
        <v>17771.490000000002</v>
      </c>
      <c r="BA15" s="13">
        <f>SUM(BB15:BK15)</f>
        <v>17771.490000000002</v>
      </c>
      <c r="BB15" s="13">
        <f>IF($D15="是",I15-J15,0)</f>
        <v>17771.490000000002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3154" t="s">
        <v>3413</v>
      </c>
      <c r="D16" s="1513" t="s">
        <v>3414</v>
      </c>
      <c r="E16" s="13">
        <f>IF($C$3="是",ROUND($A$3*G16/$B$3,2),ROUND($A$3*(G16-AT16)/$B$3,2))</f>
        <v>18266.009999999998</v>
      </c>
      <c r="F16" s="29"/>
      <c r="G16" s="30">
        <f>H16+AC16+AT16</f>
        <v>20877.5</v>
      </c>
      <c r="H16" s="17">
        <f>SUMIF(I$12:AB$12,"总值",I16:AB16)</f>
        <v>20877.5</v>
      </c>
      <c r="I16" s="1514">
        <f>信息!B15</f>
        <v>20877.5</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0016</v>
      </c>
      <c r="AY16" s="1260">
        <f>ROUND($AY$6*AZ16/$AZ$5,2)</f>
        <v>18266.009999999998</v>
      </c>
      <c r="AZ16" s="13">
        <f>BA16+BL16</f>
        <v>20877.5</v>
      </c>
      <c r="BA16" s="13">
        <f>SUM(BB16:BK16)</f>
        <v>20877.5</v>
      </c>
      <c r="BB16" s="13">
        <f>IF($D16="是",I16-J16,0)</f>
        <v>20877.5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3" t="s">
        <v>1131</v>
      </c>
      <c r="B2" s="3253"/>
      <c r="C2" s="3253"/>
      <c r="D2" s="748" t="s">
        <v>1107</v>
      </c>
      <c r="E2" s="1523" t="s">
        <v>1108</v>
      </c>
      <c r="F2" s="2438"/>
      <c r="G2" s="2431"/>
      <c r="H2" s="2432"/>
      <c r="I2" s="2146" t="s">
        <v>1132</v>
      </c>
      <c r="J2" s="2438"/>
      <c r="K2" s="2438"/>
      <c r="L2" s="2438"/>
      <c r="M2" s="2438"/>
      <c r="N2" s="2439"/>
      <c r="O2" s="2438"/>
      <c r="P2" s="2438"/>
    </row>
    <row r="3" spans="1:16" ht="15.75" thickBot="1">
      <c r="A3" s="3254" t="s">
        <v>1105</v>
      </c>
      <c r="B3" s="3254"/>
      <c r="C3" s="3254"/>
      <c r="D3" s="41">
        <f>'数据-基础表'!AY6</f>
        <v>58848.03</v>
      </c>
      <c r="E3" s="41">
        <f>'数据-基础表'!AZ5</f>
        <v>67261.53</v>
      </c>
      <c r="F3" s="2438"/>
      <c r="G3" s="42"/>
      <c r="H3" s="43" t="s">
        <v>1106</v>
      </c>
      <c r="I3" s="802">
        <f>ROUND('数据-基础表'!B3/'数据-基础表'!A3,2)</f>
        <v>1.1399999999999999</v>
      </c>
      <c r="J3" s="2438"/>
      <c r="K3" s="2438"/>
      <c r="L3" s="2438"/>
      <c r="M3" s="2438"/>
      <c r="N3" s="2439"/>
      <c r="O3" s="2438"/>
      <c r="P3" s="2438"/>
    </row>
    <row r="4" spans="1:16" ht="15">
      <c r="A4" s="3255"/>
      <c r="B4" s="3256"/>
      <c r="C4" s="3257"/>
      <c r="D4" s="1524" t="s">
        <v>1107</v>
      </c>
      <c r="E4" s="1525" t="s">
        <v>1108</v>
      </c>
      <c r="F4" s="2438"/>
      <c r="G4" s="2433" t="s">
        <v>1133</v>
      </c>
      <c r="H4" s="43" t="s">
        <v>1113</v>
      </c>
      <c r="I4" s="802">
        <f>ROUND(SUMIF('数据-基础表'!I9:AS9,"地上",'数据-基础表'!I5:AS5)/'数据-基础表'!A3,2)</f>
        <v>1.1399999999999999</v>
      </c>
      <c r="J4" s="2438"/>
      <c r="K4" s="2438"/>
      <c r="L4" s="2438"/>
      <c r="M4" s="2438"/>
      <c r="N4" s="2439"/>
      <c r="O4" s="2438"/>
      <c r="P4" s="2438"/>
    </row>
    <row r="5" spans="1:16">
      <c r="A5" s="42" t="s">
        <v>1109</v>
      </c>
      <c r="B5" s="3258" t="s">
        <v>1110</v>
      </c>
      <c r="C5" s="3258"/>
      <c r="D5" s="43">
        <f>ROUND($D$3*E5/$E$3,2)</f>
        <v>0</v>
      </c>
      <c r="E5" s="44">
        <f>SUMIF('数据-基础表'!$11:$11,"住宅",'数据-基础表'!$5:$5)</f>
        <v>0</v>
      </c>
      <c r="F5" s="2438"/>
      <c r="G5" s="42"/>
      <c r="H5" s="43" t="s">
        <v>1106</v>
      </c>
      <c r="I5" s="802">
        <f>ROUND(E31/D31,2)</f>
        <v>1.1399999999999999</v>
      </c>
      <c r="J5" s="2438"/>
      <c r="K5" s="2438"/>
      <c r="L5" s="2438"/>
      <c r="M5" s="2438"/>
      <c r="N5" s="2438"/>
      <c r="O5" s="2438"/>
      <c r="P5" s="2438"/>
    </row>
    <row r="6" spans="1:16" ht="15" thickBot="1">
      <c r="A6" s="1527"/>
      <c r="B6" s="3258" t="s">
        <v>1111</v>
      </c>
      <c r="C6" s="3258"/>
      <c r="D6" s="43">
        <f>ROUND($D$3*E6/$E$3,2)</f>
        <v>58848.03</v>
      </c>
      <c r="E6" s="44">
        <f>E3-E5</f>
        <v>67261.53</v>
      </c>
      <c r="F6" s="2438"/>
      <c r="G6" s="1529" t="s">
        <v>1112</v>
      </c>
      <c r="H6" s="45" t="s">
        <v>1113</v>
      </c>
      <c r="I6" s="2434">
        <f>ROUND(F31/D31,2)</f>
        <v>1.1399999999999999</v>
      </c>
      <c r="J6" s="2438"/>
      <c r="K6" s="2438"/>
      <c r="L6" s="2438"/>
      <c r="M6" s="2438"/>
      <c r="N6" s="2438"/>
      <c r="O6" s="2438"/>
      <c r="P6" s="2438"/>
    </row>
    <row r="7" spans="1:16" ht="15.75" thickBot="1">
      <c r="A7" s="3250"/>
      <c r="B7" s="3251"/>
      <c r="C7" s="3252"/>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58848.03</v>
      </c>
      <c r="E8" s="46">
        <f>SUMIF('数据-基础表'!BB10:BK10,"地上",'数据-基础表'!BB5:BK5)</f>
        <v>67261.53</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58848.03</v>
      </c>
      <c r="E16" s="48">
        <f>SUM(E8:E15)</f>
        <v>67261.53</v>
      </c>
      <c r="F16" s="2438"/>
      <c r="G16" s="2438"/>
      <c r="H16" s="1531" t="s">
        <v>1135</v>
      </c>
      <c r="I16" s="1532"/>
      <c r="J16" s="1071"/>
      <c r="K16" s="3247" t="s">
        <v>1135</v>
      </c>
      <c r="L16" s="3248"/>
      <c r="M16" s="3248"/>
      <c r="N16" s="3248"/>
      <c r="O16" s="3248"/>
      <c r="P16" s="3249"/>
    </row>
    <row r="17" spans="1:19" ht="15">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3440</v>
      </c>
      <c r="D19" s="43">
        <f>ROUND($D$3*E19/$E$3,2)</f>
        <v>58848.03</v>
      </c>
      <c r="E19" s="51">
        <f t="shared" ref="E19:E26" si="1">SUM(F19:G19)</f>
        <v>67261.53</v>
      </c>
      <c r="F19" s="2556">
        <f>'数据-基础表'!B3</f>
        <v>67261.53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58848.03</v>
      </c>
      <c r="S19" s="51">
        <f t="shared" si="5"/>
        <v>67261.53</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58848.03</v>
      </c>
      <c r="E27" s="1073">
        <f>IF(SUM(E19:E26)='数据-基础表'!BA5,SUM(E19:E26),IF(F27="地上面积有误","面积有误","地下面积有误"))</f>
        <v>67261.53</v>
      </c>
      <c r="F27" s="1072">
        <f>IF(SUM(F19:F26)=E8,SUM(F19:F26),"地上面积有误")</f>
        <v>67261.53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58848.03</v>
      </c>
      <c r="S27" s="43">
        <f>IF(SUM(S19:S26)=$E$3,SUM(S19:S26),SUM(S19:S26)&amp;"误差"&amp;ROUND(SUM(S19:S26)-E3,2))</f>
        <v>67261.53</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58848.03</v>
      </c>
      <c r="E31" s="643">
        <f>E27+E30</f>
        <v>67261.53</v>
      </c>
      <c r="F31" s="644">
        <f>F27+F30</f>
        <v>67261.53</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AA17" sqref="AA1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45721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60988</v>
      </c>
      <c r="F6" s="61">
        <f>SUMIF(项目基本情况!C$12:I$12,C6,项目基本情况!C$15:I$15)</f>
        <v>41.82</v>
      </c>
      <c r="G6" s="62">
        <f>IF(ISERROR(ROUND(POWER(1+H6,D6-F6)*(POWER(1+H6,F6)-1)/(POWER(1+H6,D6)-1),3)),0,ROUND(POWER(1+H6,D6-F6)*(POWER(1+H6,F6)-1)/(POWER(1+H6,D6)-1),3))</f>
        <v>0.95299999999999996</v>
      </c>
      <c r="H6" s="691">
        <v>0.05</v>
      </c>
      <c r="I6" s="691">
        <v>5.5E-2</v>
      </c>
      <c r="J6" s="63">
        <v>7.0000000000000007E-2</v>
      </c>
      <c r="K6" s="970">
        <f>SUMIF('数据-汇总表'!C$19:C$33,A6,'数据-汇总表'!E$19:E$33)</f>
        <v>67261.53</v>
      </c>
      <c r="L6" s="692">
        <v>2800</v>
      </c>
      <c r="M6" s="64">
        <f t="shared" ref="M6:M14" si="0">ROUND(K6*L6/10000,0)</f>
        <v>18833</v>
      </c>
      <c r="N6" s="690">
        <f>N19</f>
        <v>0.92</v>
      </c>
      <c r="O6" s="64" t="str">
        <f>IF($N$5="成新度","——",ROUND(M6*N6,0))</f>
        <v>——</v>
      </c>
      <c r="P6" s="65" t="str">
        <f>IF($N$5="成新度","——",M6-O6)</f>
        <v>——</v>
      </c>
      <c r="Q6" s="693">
        <v>0.05</v>
      </c>
      <c r="R6" s="66">
        <f ca="1">SUMIF('数据-汇总表'!C$19:C$33,A6,'数据-汇总表'!R$19:R$27)</f>
        <v>58848.03</v>
      </c>
      <c r="S6" s="49">
        <f>IF('数据-汇总表'!$I$17="按面积比例",SUMIF('数据-汇总表'!C$19:C$33,A6,'数据-汇总表'!K$19:K$33),SUMIF('数据-汇总表'!C$19:C$33,A6,'数据-汇总表'!N$19:N$33))</f>
        <v>0</v>
      </c>
      <c r="T6" s="1092">
        <f>ROUND($L$14*S6/10000,0)</f>
        <v>0</v>
      </c>
      <c r="U6" s="3125">
        <v>0.8</v>
      </c>
      <c r="V6" s="67">
        <v>0.02</v>
      </c>
      <c r="W6" s="67">
        <v>0.1</v>
      </c>
      <c r="X6" s="979"/>
      <c r="Y6" s="68">
        <f>N6</f>
        <v>0.92</v>
      </c>
      <c r="Z6" s="69"/>
      <c r="AA6" s="63"/>
      <c r="AB6" s="63"/>
      <c r="AC6" s="979"/>
      <c r="AD6" s="70"/>
      <c r="AE6" s="980">
        <f ca="1">IF(AN6="",0,SUMIF(INDIRECT("'"&amp;AN6&amp;"'"&amp;"!E:E"),$AE$5,INDIRECT("'"&amp;AN6&amp;"'"&amp;"!F:F")))</f>
        <v>41.82</v>
      </c>
      <c r="AF6" s="74"/>
      <c r="AG6" s="130">
        <f>IF(AF6="",0,AE6-AF6)</f>
        <v>0</v>
      </c>
      <c r="AH6" s="71"/>
      <c r="AI6" s="73">
        <v>365</v>
      </c>
      <c r="AJ6" s="74"/>
      <c r="AK6" s="75">
        <v>5.0000000000000001E-3</v>
      </c>
      <c r="AL6" s="76">
        <v>1E-3</v>
      </c>
      <c r="AM6" s="77">
        <v>5.0000000000000001E-3</v>
      </c>
      <c r="AN6" s="1589" t="s">
        <v>3487</v>
      </c>
      <c r="AO6" s="50">
        <f ca="1">SUMIF(INDIRECT("'"&amp;AN6&amp;"'"&amp;"!A:A"),"总价",INDIRECT("'"&amp;AN6&amp;"'"&amp;"!B:B"))</f>
        <v>28386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0.95299999999999996</v>
      </c>
      <c r="H16" s="84">
        <f>ROUND(SUMPRODUCT(H6:H13,K6:K13)/SUMPRODUCT((H6:H13&gt;0)*(K6:K13)),3)</f>
        <v>0.05</v>
      </c>
      <c r="I16" s="85"/>
      <c r="J16" s="85"/>
      <c r="K16" s="86">
        <f>SUM(K6:K15)</f>
        <v>67261.53</v>
      </c>
      <c r="L16" s="87">
        <f>ROUND(M16*10000/SUM(K6:K14),0)</f>
        <v>2800</v>
      </c>
      <c r="M16" s="87">
        <f>SUM(M6:M14)</f>
        <v>18833</v>
      </c>
      <c r="N16" s="88">
        <f>ROUND(SUMPRODUCT(M6:M14,N6:N14)/M16,3)</f>
        <v>0.92</v>
      </c>
      <c r="O16" s="87">
        <f>SUM(O6:O14)</f>
        <v>0</v>
      </c>
      <c r="P16" s="87">
        <f>SUM(P6:P14)</f>
        <v>0</v>
      </c>
      <c r="Q16" s="89">
        <f>ROUND(SUMPRODUCT(Q6:Q13,K6:K13)/SUMPRODUCT((Q6:Q13&gt;0)*(K6:K13)),2)</f>
        <v>0.05</v>
      </c>
      <c r="R16" s="974">
        <f ca="1">SUM(R6:R13)</f>
        <v>58848.03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57" t="s">
        <v>3441</v>
      </c>
      <c r="N18" s="2447">
        <v>2020</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2301</v>
      </c>
      <c r="D19" s="2450"/>
      <c r="E19" s="2438"/>
      <c r="F19" s="2438"/>
      <c r="G19" s="2438"/>
      <c r="H19" s="2438"/>
      <c r="I19" s="2438"/>
      <c r="J19" s="2438"/>
      <c r="K19" s="2448"/>
      <c r="L19" s="2448"/>
      <c r="M19" s="2447"/>
      <c r="N19" s="2447">
        <f>ROUND(1-(1-0)*(2025-N18)/60,2)</f>
        <v>0.92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2299</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180</v>
      </c>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180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f ca="1">成本法!C10</f>
        <v>1211</v>
      </c>
      <c r="C29" s="2562" t="s">
        <v>2293</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3385</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2294</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2295</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3403</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3386</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3387</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2309</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3" t="s">
        <v>3388</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4</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303</v>
      </c>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3172" t="s">
        <v>3666</v>
      </c>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v>4</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3157" t="s">
        <v>3661</v>
      </c>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9" t="s">
        <v>2285</v>
      </c>
      <c r="B1" s="3260"/>
      <c r="C1" s="3260"/>
      <c r="D1" s="3260"/>
      <c r="E1" s="3260"/>
      <c r="F1" s="3260"/>
      <c r="G1" s="326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2280</v>
      </c>
      <c r="D2" s="1595"/>
      <c r="E2" s="2259"/>
      <c r="F2" s="2262"/>
      <c r="G2" s="2261" t="s">
        <v>2281</v>
      </c>
      <c r="H2" s="751"/>
      <c r="I2" s="751"/>
      <c r="J2" s="751"/>
      <c r="K2" s="751"/>
      <c r="L2" s="751"/>
      <c r="M2" s="751"/>
      <c r="N2" s="751"/>
      <c r="O2" s="751"/>
      <c r="P2" s="751"/>
      <c r="Q2" s="751"/>
    </row>
    <row r="3" spans="1:29" ht="48">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6.75">
      <c r="A4" s="2247"/>
      <c r="B4" s="315" t="s">
        <v>2253</v>
      </c>
      <c r="C4" s="2268" t="s">
        <v>2254</v>
      </c>
      <c r="D4" s="2265"/>
      <c r="E4" s="2269"/>
      <c r="F4" s="1281" t="s">
        <v>2255</v>
      </c>
      <c r="G4" s="2270" t="s">
        <v>2256</v>
      </c>
      <c r="H4" s="751"/>
      <c r="I4" s="751"/>
      <c r="J4" s="751"/>
      <c r="K4" s="751"/>
      <c r="L4" s="751"/>
      <c r="M4" s="751"/>
      <c r="N4" s="751"/>
      <c r="O4" s="751"/>
      <c r="P4" s="751"/>
      <c r="Q4" s="751"/>
    </row>
    <row r="5" spans="1:29" ht="36.75">
      <c r="A5" s="2247"/>
      <c r="B5" s="315" t="s">
        <v>2257</v>
      </c>
      <c r="C5" s="2268" t="s">
        <v>2258</v>
      </c>
      <c r="D5" s="2265"/>
      <c r="E5" s="2269"/>
      <c r="F5" s="315" t="s">
        <v>2259</v>
      </c>
      <c r="G5" s="2270" t="s">
        <v>2260</v>
      </c>
      <c r="H5" s="751"/>
      <c r="I5" s="751"/>
      <c r="J5" s="751"/>
      <c r="K5" s="751"/>
      <c r="L5" s="751"/>
      <c r="M5" s="751"/>
      <c r="N5" s="751"/>
      <c r="O5" s="751"/>
      <c r="P5" s="751"/>
      <c r="Q5" s="751"/>
    </row>
    <row r="6" spans="1:29" ht="36">
      <c r="A6" s="2247"/>
      <c r="B6" s="315" t="s">
        <v>2261</v>
      </c>
      <c r="C6" s="2270" t="s">
        <v>2256</v>
      </c>
      <c r="D6" s="2265"/>
      <c r="E6" s="2269"/>
      <c r="F6" s="315" t="s">
        <v>2262</v>
      </c>
      <c r="G6" s="2270" t="s">
        <v>2263</v>
      </c>
      <c r="H6" s="751"/>
      <c r="I6" s="751"/>
      <c r="J6" s="751"/>
      <c r="K6" s="751"/>
      <c r="L6" s="751"/>
      <c r="M6" s="751"/>
      <c r="N6" s="751"/>
      <c r="O6" s="751"/>
      <c r="P6" s="751"/>
      <c r="Q6" s="751"/>
    </row>
    <row r="7" spans="1:29" ht="24.75" thickBot="1">
      <c r="A7" s="2247"/>
      <c r="B7" s="315" t="s">
        <v>2259</v>
      </c>
      <c r="C7" s="2270" t="s">
        <v>2260</v>
      </c>
      <c r="D7" s="2244"/>
      <c r="E7" s="2271"/>
      <c r="F7" s="2272" t="s">
        <v>2264</v>
      </c>
      <c r="G7" s="2273" t="s">
        <v>2265</v>
      </c>
      <c r="H7" s="751"/>
      <c r="I7" s="751"/>
      <c r="J7" s="751"/>
      <c r="K7" s="751"/>
      <c r="L7" s="751"/>
      <c r="M7" s="751"/>
      <c r="N7" s="751"/>
      <c r="O7" s="751"/>
      <c r="P7" s="751"/>
      <c r="Q7" s="751"/>
    </row>
    <row r="8" spans="1:29">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5"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2286</v>
      </c>
      <c r="B13" s="2279"/>
      <c r="C13" s="2279"/>
      <c r="D13" s="2278"/>
      <c r="E13" s="2279"/>
      <c r="F13" s="2279"/>
      <c r="G13" s="2279"/>
    </row>
    <row r="14" spans="1:29" ht="15" thickBot="1">
      <c r="A14" s="2284"/>
      <c r="B14" s="2284"/>
      <c r="C14" s="2285" t="s">
        <v>2269</v>
      </c>
      <c r="D14" s="2265"/>
      <c r="E14" s="2286"/>
      <c r="F14" s="2286"/>
      <c r="G14" s="2261" t="s">
        <v>2270</v>
      </c>
    </row>
    <row r="15" spans="1:29" ht="51">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8.25">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8.25">
      <c r="A17" s="2251"/>
      <c r="B17" s="2290" t="s">
        <v>2257</v>
      </c>
      <c r="C17" s="2291" t="str">
        <f>C5</f>
        <v>估价对象位于XX商圈，周边办公楼项目较多，入驻率高，办公集聚程度较好</v>
      </c>
      <c r="D17" s="2244"/>
      <c r="E17" s="2252"/>
      <c r="F17" s="2292" t="s">
        <v>2274</v>
      </c>
      <c r="G17" s="2294"/>
    </row>
    <row r="18" spans="1:17" ht="38.25">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5.5">
      <c r="A19" s="2251"/>
      <c r="B19" s="2292" t="s">
        <v>2275</v>
      </c>
      <c r="C19" s="2294"/>
      <c r="D19" s="2265"/>
      <c r="E19" s="2252"/>
      <c r="F19" s="315" t="s">
        <v>2259</v>
      </c>
      <c r="G19" s="2293" t="str">
        <f>G5</f>
        <v>估价对象所在区域公共配套设施齐备情况</v>
      </c>
    </row>
    <row r="20" spans="1:17" ht="25.5">
      <c r="A20" s="2251"/>
      <c r="B20" s="2292" t="s">
        <v>2276</v>
      </c>
      <c r="C20" s="2291" t="str">
        <f>C9</f>
        <v>区域自然环境：；人文环境；综合评价环境状况一般</v>
      </c>
      <c r="D20" s="2244"/>
      <c r="E20" s="2252"/>
      <c r="F20" s="315" t="s">
        <v>2262</v>
      </c>
      <c r="G20" s="2293" t="str">
        <f>G6</f>
        <v>估价对象所在区域基础设施水平</v>
      </c>
    </row>
    <row r="21" spans="1:17" ht="25.5">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5" thickBot="1">
      <c r="A23" s="2251"/>
      <c r="B23" s="2292" t="s">
        <v>2277</v>
      </c>
      <c r="C23" s="2295"/>
      <c r="D23" s="1614"/>
      <c r="E23" s="2253"/>
      <c r="F23" s="2296" t="s">
        <v>2278</v>
      </c>
      <c r="G23" s="2297"/>
      <c r="H23" s="2276"/>
      <c r="I23" s="2276"/>
      <c r="J23" s="2276"/>
      <c r="K23" s="2276"/>
      <c r="L23" s="2276"/>
      <c r="M23" s="2276"/>
      <c r="N23" s="2276"/>
      <c r="O23" s="2276"/>
      <c r="P23" s="2276"/>
      <c r="Q23" s="2276"/>
    </row>
    <row r="24" spans="1:17" s="751" customFormat="1" ht="15" thickBot="1">
      <c r="A24" s="2254"/>
      <c r="B24" s="2296" t="s">
        <v>2279</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67261.53</v>
      </c>
      <c r="C1" s="2460"/>
      <c r="D1" s="2460"/>
      <c r="E1" s="2460"/>
      <c r="F1" s="2460"/>
      <c r="G1" s="2461"/>
      <c r="H1" s="2461"/>
      <c r="I1" s="2461"/>
      <c r="J1" s="2461"/>
      <c r="K1" s="2461"/>
    </row>
    <row r="2" spans="1:11" ht="16.5">
      <c r="A2" s="2299" t="s">
        <v>653</v>
      </c>
      <c r="B2" s="2299">
        <f>SUM(C14:C23)</f>
        <v>58848.03</v>
      </c>
      <c r="C2" s="2460"/>
      <c r="D2" s="2460"/>
      <c r="E2" s="2460"/>
      <c r="F2" s="2460"/>
      <c r="G2" s="2461"/>
      <c r="H2" s="2461"/>
      <c r="I2" s="2461"/>
      <c r="J2" s="2461"/>
      <c r="K2" s="2461"/>
    </row>
    <row r="3" spans="1:11" ht="16.5">
      <c r="A3" s="2299" t="s">
        <v>662</v>
      </c>
      <c r="B3" s="2301">
        <f>项目基本情况!D3</f>
        <v>45721</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28487</v>
      </c>
      <c r="C5" s="2299">
        <f ca="1">IF(B5=D14,结果表!H102,ROUND(B5*10000/$B$1,0))</f>
        <v>4235</v>
      </c>
      <c r="D5" s="2299">
        <f ca="1">ROUND(B5*10000/$B$2,0)</f>
        <v>4841</v>
      </c>
      <c r="E5" s="2460"/>
      <c r="F5" s="2461"/>
      <c r="G5" s="2461"/>
      <c r="H5" s="2461"/>
      <c r="I5" s="2461"/>
      <c r="J5" s="2461"/>
      <c r="K5" s="2461"/>
    </row>
    <row r="6" spans="1:11" ht="16.5">
      <c r="A6" s="2299" t="s">
        <v>656</v>
      </c>
      <c r="B6" s="2299">
        <f ca="1">SUM(G14:G23)</f>
        <v>28487</v>
      </c>
      <c r="C6" s="2299">
        <f ca="1">IF(B6=G14,结果表!H108,ROUND(B6*10000/$B$1,0))</f>
        <v>4235</v>
      </c>
      <c r="D6" s="2299">
        <f ca="1">ROUND(B6*10000/$B$2,0)</f>
        <v>4841</v>
      </c>
      <c r="E6" s="2460"/>
      <c r="F6" s="2461"/>
      <c r="G6" s="2461"/>
      <c r="H6" s="2461"/>
      <c r="I6" s="2461"/>
      <c r="J6" s="2461"/>
      <c r="K6" s="2461"/>
    </row>
    <row r="7" spans="1:11" ht="16.5">
      <c r="A7" s="2299" t="s">
        <v>664</v>
      </c>
      <c r="B7" s="2299">
        <f>SUM(H14:H23)</f>
        <v>0</v>
      </c>
      <c r="C7" s="2299" t="str">
        <f>IF(B7=H14,结果表!H110,ROUND(B7*10000/$B$1,0))</f>
        <v>——</v>
      </c>
      <c r="D7" s="2299">
        <f>ROUND(B7*10000/$B$2,0)</f>
        <v>0</v>
      </c>
      <c r="E7" s="2460"/>
      <c r="F7" s="2461"/>
      <c r="G7" s="2461"/>
      <c r="H7" s="2461"/>
      <c r="I7" s="2461"/>
      <c r="J7" s="2461"/>
      <c r="K7" s="2461"/>
    </row>
    <row r="8" spans="1:11" ht="16.5">
      <c r="A8" s="2299" t="s">
        <v>587</v>
      </c>
      <c r="B8" s="2299">
        <f>SUM(I14:I23)</f>
        <v>0</v>
      </c>
      <c r="C8" s="2299" t="str">
        <f>IF(B8=I14,结果表!H112,ROUND(B8*10000/$B$1,0))</f>
        <v>——</v>
      </c>
      <c r="D8" s="2299">
        <f>ROUND(B8*10000/$B$2,0)</f>
        <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3355</v>
      </c>
      <c r="D10" s="2299" t="s">
        <v>3356</v>
      </c>
      <c r="E10" s="3135"/>
      <c r="F10" s="3139" t="s">
        <v>3357</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67261.53</v>
      </c>
      <c r="C14" s="2305">
        <f>'数据-汇总表'!D19</f>
        <v>58848.03</v>
      </c>
      <c r="D14" s="2305">
        <f ca="1">结果表!H101</f>
        <v>28487</v>
      </c>
      <c r="E14" s="2305">
        <f ca="1">结果表!H102</f>
        <v>4235</v>
      </c>
      <c r="F14" s="2305">
        <f ca="1">ROUND(D14*10000/C14,0)</f>
        <v>4841</v>
      </c>
      <c r="G14" s="2305">
        <f ca="1">结果表!H107</f>
        <v>28487</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U35" sqref="U3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v>
      </c>
      <c r="D1" s="646"/>
      <c r="E1" s="646"/>
      <c r="F1" s="1621" t="s">
        <v>1263</v>
      </c>
      <c r="G1" s="1453" t="s">
        <v>3438</v>
      </c>
      <c r="H1" s="1621" t="str">
        <f>IF(G1="现房","——","估价对象范围")</f>
        <v>——</v>
      </c>
      <c r="I1" s="1622"/>
    </row>
    <row r="2" spans="1:12" ht="21.75" customHeight="1" thickBot="1">
      <c r="A2" s="3295" t="str">
        <f>项目基本情况!S2</f>
        <v>廊坊经济技术开发区友谊路木兰道10号13-16幢房地产</v>
      </c>
      <c r="B2" s="3296"/>
      <c r="C2" s="3296"/>
      <c r="D2" s="3296"/>
      <c r="E2" s="3296"/>
      <c r="F2" s="3296"/>
      <c r="G2" s="3296"/>
      <c r="H2" s="3296"/>
      <c r="I2" s="3297"/>
    </row>
    <row r="3" spans="1:12" ht="12.75">
      <c r="A3" s="3299" t="s">
        <v>1264</v>
      </c>
      <c r="B3" s="3300"/>
      <c r="C3" s="3300"/>
      <c r="D3" s="3300"/>
      <c r="E3" s="3300"/>
      <c r="F3" s="3300"/>
      <c r="G3" s="3300"/>
      <c r="H3" s="3300"/>
      <c r="I3" s="3300"/>
    </row>
    <row r="4" spans="1:12" ht="14.25">
      <c r="A4" s="1624" t="s">
        <v>1265</v>
      </c>
      <c r="B4" s="1625" t="s">
        <v>1266</v>
      </c>
      <c r="C4" s="1626" t="s">
        <v>3488</v>
      </c>
      <c r="D4" s="1626" t="s">
        <v>3487</v>
      </c>
      <c r="E4" s="3301" t="s">
        <v>1267</v>
      </c>
      <c r="F4" s="3302"/>
      <c r="G4" s="3302"/>
      <c r="H4" s="3302"/>
      <c r="I4" s="330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5" t="s">
        <v>1268</v>
      </c>
      <c r="B5" s="3262">
        <v>25</v>
      </c>
      <c r="C5" s="3278"/>
      <c r="D5" s="3298"/>
      <c r="E5" s="123" t="s">
        <v>1269</v>
      </c>
      <c r="F5" s="1627"/>
      <c r="G5" s="1627"/>
      <c r="H5" s="1627"/>
      <c r="I5" s="1281"/>
    </row>
    <row r="6" spans="1:12" ht="12.75">
      <c r="A6" s="3275"/>
      <c r="B6" s="3262"/>
      <c r="C6" s="3279"/>
      <c r="D6" s="3298"/>
      <c r="E6" s="123" t="s">
        <v>1270</v>
      </c>
      <c r="F6" s="1627"/>
      <c r="G6" s="1627"/>
      <c r="H6" s="1627"/>
      <c r="I6" s="1281"/>
    </row>
    <row r="7" spans="1:12" ht="12.75">
      <c r="A7" s="3275"/>
      <c r="B7" s="3262"/>
      <c r="C7" s="3280"/>
      <c r="D7" s="3298"/>
      <c r="E7" s="123" t="s">
        <v>1271</v>
      </c>
      <c r="F7" s="1627"/>
      <c r="G7" s="1627"/>
      <c r="H7" s="1627"/>
      <c r="I7" s="1281"/>
    </row>
    <row r="8" spans="1:12" ht="12.75">
      <c r="A8" s="3275" t="s">
        <v>1272</v>
      </c>
      <c r="B8" s="3262">
        <v>15</v>
      </c>
      <c r="C8" s="3278"/>
      <c r="D8" s="3298"/>
      <c r="E8" s="123" t="s">
        <v>1273</v>
      </c>
      <c r="F8" s="1627"/>
      <c r="G8" s="1627"/>
      <c r="H8" s="1627"/>
      <c r="I8" s="1281"/>
    </row>
    <row r="9" spans="1:12" ht="12.75">
      <c r="A9" s="3275"/>
      <c r="B9" s="3262"/>
      <c r="C9" s="3280"/>
      <c r="D9" s="3298"/>
      <c r="E9" s="123" t="s">
        <v>1274</v>
      </c>
      <c r="F9" s="1627"/>
      <c r="G9" s="1627"/>
      <c r="H9" s="1627"/>
      <c r="I9" s="1281"/>
    </row>
    <row r="10" spans="1:12" ht="12.75">
      <c r="A10" s="3275" t="s">
        <v>1275</v>
      </c>
      <c r="B10" s="3262">
        <v>15</v>
      </c>
      <c r="C10" s="3278"/>
      <c r="D10" s="3298"/>
      <c r="E10" s="123" t="s">
        <v>1276</v>
      </c>
      <c r="F10" s="1627"/>
      <c r="G10" s="1627"/>
      <c r="H10" s="1627"/>
      <c r="I10" s="1281"/>
    </row>
    <row r="11" spans="1:12" ht="12.75">
      <c r="A11" s="3275"/>
      <c r="B11" s="3262"/>
      <c r="C11" s="3280"/>
      <c r="D11" s="3298"/>
      <c r="E11" s="123" t="s">
        <v>1277</v>
      </c>
      <c r="F11" s="1627"/>
      <c r="G11" s="1627"/>
      <c r="H11" s="1627"/>
      <c r="I11" s="1281"/>
    </row>
    <row r="12" spans="1:12" ht="12.75">
      <c r="A12" s="3275" t="s">
        <v>1278</v>
      </c>
      <c r="B12" s="3262">
        <v>15</v>
      </c>
      <c r="C12" s="3278"/>
      <c r="D12" s="3298"/>
      <c r="E12" s="123" t="s">
        <v>1279</v>
      </c>
      <c r="F12" s="1627"/>
      <c r="G12" s="1627"/>
      <c r="H12" s="1627"/>
      <c r="I12" s="1281"/>
    </row>
    <row r="13" spans="1:12" ht="12.75">
      <c r="A13" s="3275"/>
      <c r="B13" s="3262"/>
      <c r="C13" s="3280"/>
      <c r="D13" s="3298"/>
      <c r="E13" s="123" t="s">
        <v>1280</v>
      </c>
      <c r="F13" s="1627"/>
      <c r="G13" s="1627"/>
      <c r="H13" s="1627"/>
      <c r="I13" s="1281"/>
    </row>
    <row r="14" spans="1:12" ht="12.75">
      <c r="A14" s="3275" t="s">
        <v>1281</v>
      </c>
      <c r="B14" s="3262">
        <v>30</v>
      </c>
      <c r="C14" s="3278">
        <v>5</v>
      </c>
      <c r="D14" s="3298">
        <v>5</v>
      </c>
      <c r="E14" s="123" t="s">
        <v>1282</v>
      </c>
      <c r="F14" s="1627"/>
      <c r="G14" s="1627"/>
      <c r="H14" s="1627"/>
      <c r="I14" s="1281"/>
    </row>
    <row r="15" spans="1:12" ht="12.75">
      <c r="A15" s="3275"/>
      <c r="B15" s="3262"/>
      <c r="C15" s="3279"/>
      <c r="D15" s="3298"/>
      <c r="E15" s="123" t="s">
        <v>1283</v>
      </c>
      <c r="F15" s="1627"/>
      <c r="G15" s="1627"/>
      <c r="H15" s="1627"/>
      <c r="I15" s="1281"/>
    </row>
    <row r="16" spans="1:12" ht="12.75">
      <c r="A16" s="3275"/>
      <c r="B16" s="3262"/>
      <c r="C16" s="3280"/>
      <c r="D16" s="3298"/>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85" t="s">
        <v>2130</v>
      </c>
      <c r="F18" s="3286"/>
      <c r="G18" s="3286"/>
      <c r="H18" s="3286"/>
      <c r="I18" s="3286"/>
      <c r="K18" s="294" t="s">
        <v>1289</v>
      </c>
      <c r="L18" s="294">
        <f>IF(C1="",'数据-汇总表'!E3,SUMIF(项目类型,C1,'数据-汇总表'!E17:E26)+SUMIF(项目类型,C1,'数据-汇总表'!I17:I26))</f>
        <v>67261.53</v>
      </c>
      <c r="M18" s="294">
        <f>IF(C1="",'数据-汇总表'!E3,SUMIF(项目类型,C1,'数据-汇总表'!E17:E26))</f>
        <v>67261.53</v>
      </c>
    </row>
    <row r="19" spans="1:36" ht="15">
      <c r="A19" s="1630" t="s">
        <v>1290</v>
      </c>
      <c r="B19" s="1631" t="s">
        <v>1291</v>
      </c>
      <c r="C19" s="126">
        <f ca="1">SUMIF(INDIRECT("'"&amp;C4&amp;"'"&amp;"!A:A"),结果表!B19,INDIRECT("'"&amp;C4&amp;"'"&amp;"!B:B"))</f>
        <v>28587</v>
      </c>
      <c r="D19" s="127">
        <f ca="1">SUMIF(INDIRECT("'"&amp;D4&amp;"'"&amp;"!A:A"),结果表!B19,INDIRECT("'"&amp;D4&amp;"'"&amp;"!B:B"))</f>
        <v>28386</v>
      </c>
      <c r="E19" s="1630" t="s">
        <v>1292</v>
      </c>
      <c r="F19" s="1631" t="s">
        <v>1291</v>
      </c>
      <c r="G19" s="128">
        <f ca="1">ROUND(C19*$C$18+D19*$D$18,0)</f>
        <v>28487</v>
      </c>
      <c r="H19" s="1632" t="s">
        <v>1293</v>
      </c>
      <c r="I19" s="121"/>
      <c r="K19" s="294" t="s">
        <v>1294</v>
      </c>
      <c r="L19" s="294">
        <f>IF(C1="",'数据-汇总表'!D3,SUMIF(项目类型,C1,'数据-汇总表'!D17:D26)+SUMIF(项目类型,C1,'数据-汇总表'!H17:H27))</f>
        <v>58848.03</v>
      </c>
      <c r="M19" s="294">
        <f>IF(C1="",'数据-汇总表'!D3,SUMIF(项目类型,C1,'数据-汇总表'!D17:D26))</f>
        <v>58848.03</v>
      </c>
    </row>
    <row r="20" spans="1:36" ht="15">
      <c r="A20" s="1633"/>
      <c r="B20" s="43" t="s">
        <v>1295</v>
      </c>
      <c r="C20" s="129">
        <f ca="1">SUMIF(INDIRECT("'"&amp;C4&amp;"'"&amp;"!A:A"),结果表!B20,INDIRECT("'"&amp;C4&amp;"'"&amp;"!B:B"))</f>
        <v>4250</v>
      </c>
      <c r="D20" s="130">
        <f ca="1">SUMIF(INDIRECT("'"&amp;D4&amp;"'"&amp;"!A:A"),结果表!B20,INDIRECT("'"&amp;D4&amp;"'"&amp;"!B:B"))</f>
        <v>4220</v>
      </c>
      <c r="E20" s="1633"/>
      <c r="F20" s="43" t="s">
        <v>1295</v>
      </c>
      <c r="G20" s="131">
        <f ca="1">ROUND(C20*$C$18+D20*$D$18,0)</f>
        <v>4235</v>
      </c>
      <c r="H20" s="760" t="s">
        <v>1296</v>
      </c>
      <c r="I20" s="121"/>
    </row>
    <row r="21" spans="1:36" ht="15" customHeight="1" thickBot="1">
      <c r="A21" s="449"/>
      <c r="B21" s="93" t="s">
        <v>1297</v>
      </c>
      <c r="C21" s="678">
        <f ca="1">ROUND(C19*10000/L19,0)</f>
        <v>4858</v>
      </c>
      <c r="D21" s="679">
        <f ca="1">ROUND(D19*10000/L19,0)</f>
        <v>4824</v>
      </c>
      <c r="E21" s="449"/>
      <c r="F21" s="93" t="s">
        <v>1297</v>
      </c>
      <c r="G21" s="132">
        <f ca="1">ROUND(G19*10000/L19,0)</f>
        <v>4841</v>
      </c>
      <c r="H21" s="1634" t="s">
        <v>1296</v>
      </c>
      <c r="I21" s="121"/>
    </row>
    <row r="22" spans="1:36" ht="15" thickBot="1">
      <c r="A22" s="1564" t="s">
        <v>1298</v>
      </c>
      <c r="B22" s="1635"/>
      <c r="C22" s="1636"/>
      <c r="D22" s="680">
        <f ca="1">IF(C19&lt;D19,D19/C19-1,C19/D19-1)</f>
        <v>7.0809554005495379E-3</v>
      </c>
      <c r="E22" s="121"/>
      <c r="F22" s="121"/>
      <c r="G22" s="121"/>
      <c r="H22" s="121"/>
      <c r="I22" s="121"/>
    </row>
    <row r="23" spans="1:36" ht="13.5" thickBot="1">
      <c r="A23" s="646"/>
      <c r="B23" s="646"/>
      <c r="C23" s="646"/>
      <c r="D23" s="646"/>
      <c r="E23" s="121"/>
      <c r="F23" s="121"/>
      <c r="G23" s="121"/>
      <c r="H23" s="121"/>
      <c r="I23" s="121"/>
      <c r="K23" s="3170"/>
      <c r="L23" s="3170"/>
      <c r="M23" s="3170"/>
      <c r="N23" s="3171" t="s">
        <v>3663</v>
      </c>
    </row>
    <row r="24" spans="1:36" ht="14.25">
      <c r="A24" s="3269" t="s">
        <v>1299</v>
      </c>
      <c r="B24" s="1631" t="s">
        <v>1291</v>
      </c>
      <c r="C24" s="128">
        <f>IF(B30=0,0,D30)</f>
        <v>0</v>
      </c>
      <c r="D24" s="1637"/>
      <c r="E24" s="121"/>
      <c r="F24" s="121"/>
      <c r="G24" s="121"/>
      <c r="H24" s="121"/>
      <c r="I24" s="121"/>
      <c r="K24" s="3171" t="s">
        <v>3664</v>
      </c>
      <c r="L24" s="3170">
        <f ca="1">G19</f>
        <v>28487</v>
      </c>
      <c r="M24" s="3170"/>
      <c r="N24" s="3170"/>
    </row>
    <row r="25" spans="1:36" ht="14.25">
      <c r="A25" s="3270"/>
      <c r="B25" s="43" t="s">
        <v>1295</v>
      </c>
      <c r="C25" s="133">
        <f>IF(B30=0,0,C30)</f>
        <v>0</v>
      </c>
      <c r="D25" s="1638"/>
      <c r="E25" s="121"/>
      <c r="F25" s="121"/>
      <c r="G25" s="121"/>
      <c r="H25" s="121"/>
      <c r="I25" s="121"/>
      <c r="K25" s="3171" t="s">
        <v>3665</v>
      </c>
      <c r="L25" s="3170">
        <f>[2]结果表!$G$19</f>
        <v>607</v>
      </c>
      <c r="M25" s="3170"/>
      <c r="N25" s="3170"/>
    </row>
    <row r="26" spans="1:36" ht="13.5" customHeight="1">
      <c r="A26" s="1639" t="s">
        <v>1300</v>
      </c>
      <c r="B26" s="134" t="s">
        <v>1301</v>
      </c>
      <c r="C26" s="134" t="s">
        <v>1302</v>
      </c>
      <c r="D26" s="135" t="s">
        <v>1303</v>
      </c>
      <c r="E26" s="121"/>
      <c r="F26" s="121"/>
      <c r="G26" s="121"/>
      <c r="H26" s="121"/>
      <c r="I26" s="121"/>
      <c r="K26" s="3171" t="s">
        <v>3662</v>
      </c>
      <c r="L26" s="3170">
        <f ca="1">L24+L25</f>
        <v>29094</v>
      </c>
      <c r="M26" s="3170"/>
      <c r="N26" s="3170">
        <v>32322</v>
      </c>
      <c r="P26" s="3509">
        <f ca="1">ROUND((N26-L26)/N26,2)</f>
        <v>0.1</v>
      </c>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28487</v>
      </c>
      <c r="D32" s="1641" t="s">
        <v>3496</v>
      </c>
      <c r="E32" s="121"/>
      <c r="F32" s="121"/>
      <c r="G32" s="121"/>
      <c r="H32" s="121"/>
      <c r="I32" s="121"/>
    </row>
    <row r="33" spans="1:15" ht="15">
      <c r="A33" s="740" t="s">
        <v>1306</v>
      </c>
      <c r="B33" s="123"/>
      <c r="C33" s="1642" t="s">
        <v>3497</v>
      </c>
      <c r="D33" s="1643" t="s">
        <v>3488</v>
      </c>
      <c r="E33" s="1644" t="s">
        <v>1307</v>
      </c>
      <c r="F33" s="1645" t="str">
        <f>IF(D32="楼面单价","取值（单价）","取值（总价）")</f>
        <v>取值（总价）</v>
      </c>
      <c r="G33" s="121"/>
      <c r="H33" s="121"/>
      <c r="I33" s="121"/>
    </row>
    <row r="34" spans="1:15" ht="15">
      <c r="A34" s="1646"/>
      <c r="B34" s="1647" t="s">
        <v>1308</v>
      </c>
      <c r="C34" s="140">
        <f ca="1">IF(C33="自定义",F34,C32-C35)</f>
        <v>5014</v>
      </c>
      <c r="D34" s="808">
        <f ca="1">IF(C33="自定义",ROUND(C34/C32,3),IF(C33="收益比率",SUMIF(INDIRECT("'"&amp;D33&amp;"'"&amp;"!b:b"),"土地收益比率",INDIRECT("'"&amp;D33&amp;"'"&amp;"!c:c")),SUMIF(INDIRECT("'"&amp;D33&amp;"'"&amp;"!b:b"),"土地成本比率",INDIRECT("'"&amp;D33&amp;"'"&amp;"!c:c"))))</f>
        <v>0.17600000000000005</v>
      </c>
      <c r="E34" s="1648" t="s">
        <v>1309</v>
      </c>
      <c r="F34" s="1243"/>
      <c r="G34" s="121"/>
      <c r="H34" s="121"/>
      <c r="I34" s="121"/>
    </row>
    <row r="35" spans="1:15" ht="15.75" thickBot="1">
      <c r="A35" s="1649"/>
      <c r="B35" s="1650" t="s">
        <v>1310</v>
      </c>
      <c r="C35" s="1090">
        <f ca="1">IF(C33="自定义",F35,ROUND(C32*D35,0))</f>
        <v>23473</v>
      </c>
      <c r="D35" s="1091">
        <f ca="1">IF(C33="自定义",ROUND(C35/C32,3),IF(C33="收益比率",SUMIF(INDIRECT("'"&amp;D33&amp;"'"&amp;"!b:b"),"建筑物收益比率",INDIRECT("'"&amp;D33&amp;"'"&amp;"!c:c")),SUMIF(INDIRECT("'"&amp;D33&amp;"'"&amp;"!b:b"),"建筑物成本比率",INDIRECT("'"&amp;D33&amp;"'"&amp;"!c:c"))))</f>
        <v>0.82399999999999995</v>
      </c>
      <c r="E35" s="1651" t="s">
        <v>1311</v>
      </c>
      <c r="F35" s="146"/>
      <c r="G35" s="121"/>
      <c r="H35" s="121"/>
      <c r="I35" s="121"/>
    </row>
    <row r="36" spans="1:15" ht="15.75" thickBot="1">
      <c r="A36" s="3289" t="s">
        <v>1312</v>
      </c>
      <c r="B36" s="1652" t="s">
        <v>1313</v>
      </c>
      <c r="C36" s="137"/>
      <c r="D36" s="1653"/>
      <c r="E36" s="1567"/>
      <c r="F36" s="1654"/>
      <c r="G36" s="121"/>
      <c r="H36" s="121"/>
      <c r="I36" s="121"/>
    </row>
    <row r="37" spans="1:15" ht="15.75" thickBot="1">
      <c r="A37" s="3290"/>
      <c r="B37" s="1555" t="s">
        <v>1314</v>
      </c>
      <c r="C37" s="139"/>
      <c r="D37" s="1071"/>
      <c r="E37" s="1071"/>
      <c r="F37" s="1654"/>
      <c r="G37" s="121"/>
      <c r="H37" s="121"/>
      <c r="I37" s="121"/>
    </row>
    <row r="38" spans="1:15" ht="15.75" thickBot="1">
      <c r="A38" s="329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6" t="s">
        <v>1326</v>
      </c>
      <c r="B45" s="3267"/>
      <c r="C45" s="3268"/>
      <c r="D45" s="147">
        <f ca="1">ROUND(H101*F45,0)</f>
        <v>28487</v>
      </c>
      <c r="E45" s="148" t="s">
        <v>1327</v>
      </c>
      <c r="F45" s="149">
        <v>1</v>
      </c>
      <c r="G45" s="150" t="s">
        <v>1328</v>
      </c>
      <c r="H45" s="121"/>
      <c r="I45" s="121"/>
      <c r="J45" s="3344" t="s">
        <v>1329</v>
      </c>
      <c r="K45" s="3344"/>
      <c r="L45" s="3344"/>
      <c r="M45" s="3344"/>
      <c r="N45" s="3344"/>
      <c r="O45" s="3344"/>
    </row>
    <row r="46" spans="1:15" ht="14.25" customHeight="1">
      <c r="A46" s="3263" t="s">
        <v>1330</v>
      </c>
      <c r="B46" s="3264"/>
      <c r="C46" s="3264"/>
      <c r="D46" s="3264"/>
      <c r="E46" s="3264"/>
      <c r="F46" s="3264"/>
      <c r="G46" s="3265"/>
      <c r="H46" s="1668"/>
      <c r="I46" s="151"/>
      <c r="J46" s="2309">
        <v>1</v>
      </c>
      <c r="K46" s="3325" t="s">
        <v>1331</v>
      </c>
      <c r="L46" s="3325"/>
      <c r="M46" s="3345"/>
      <c r="N46" s="3345"/>
      <c r="O46" s="3345"/>
    </row>
    <row r="47" spans="1:15" ht="12" customHeight="1">
      <c r="A47" s="152" t="s">
        <v>1332</v>
      </c>
      <c r="B47" s="153"/>
      <c r="C47" s="154"/>
      <c r="D47" s="1024" t="s">
        <v>1333</v>
      </c>
      <c r="E47" s="294" t="s">
        <v>1334</v>
      </c>
      <c r="F47" s="155" t="s">
        <v>1335</v>
      </c>
      <c r="G47" s="2332" t="s">
        <v>1336</v>
      </c>
      <c r="H47" s="2333"/>
      <c r="I47" s="151"/>
      <c r="J47" s="2309">
        <v>2</v>
      </c>
      <c r="K47" s="3325" t="s">
        <v>1337</v>
      </c>
      <c r="L47" s="3325"/>
      <c r="M47" s="3346">
        <f>'数据-取费表'!B2</f>
        <v>45721</v>
      </c>
      <c r="N47" s="3346"/>
      <c r="O47" s="3346"/>
    </row>
    <row r="48" spans="1:15" ht="25.5">
      <c r="A48" s="3294" t="s">
        <v>1338</v>
      </c>
      <c r="B48" s="3277"/>
      <c r="C48" s="3277"/>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5" t="s">
        <v>1340</v>
      </c>
      <c r="L48" s="3325"/>
      <c r="M48" s="3347">
        <f ca="1">H101</f>
        <v>28487</v>
      </c>
      <c r="N48" s="3347"/>
      <c r="O48" s="3347"/>
    </row>
    <row r="49" spans="1:35" ht="25.5" customHeight="1">
      <c r="A49" s="2152" t="s">
        <v>1341</v>
      </c>
      <c r="B49" s="3261" t="s">
        <v>1342</v>
      </c>
      <c r="C49" s="3261"/>
      <c r="D49" s="1478">
        <v>0</v>
      </c>
      <c r="E49" s="316" t="s">
        <v>1343</v>
      </c>
      <c r="F49" s="2232" t="s">
        <v>28</v>
      </c>
      <c r="G49" s="3331"/>
      <c r="H49" s="2134" t="s">
        <v>2133</v>
      </c>
      <c r="I49" s="2135"/>
      <c r="J49" s="2309">
        <v>4</v>
      </c>
      <c r="K49" s="3325" t="str">
        <f>IF(项目基本情况!E8="房地产抵押价值","房地产抵押价值","抵押担保权已注销时的房地产抵押价值")</f>
        <v>房地产抵押价值</v>
      </c>
      <c r="L49" s="3325"/>
      <c r="M49" s="3347">
        <f ca="1">IF(项目基本情况!E8="房地产抵押价值",H107,H109)</f>
        <v>28487</v>
      </c>
      <c r="N49" s="3347"/>
      <c r="O49" s="3347"/>
    </row>
    <row r="50" spans="1:35" ht="25.5" customHeight="1">
      <c r="A50" s="2337"/>
      <c r="B50" s="3261" t="s">
        <v>1344</v>
      </c>
      <c r="C50" s="3261"/>
      <c r="D50" s="2189"/>
      <c r="E50" s="323"/>
      <c r="F50" s="2232"/>
      <c r="G50" s="3332"/>
      <c r="H50" s="2136" t="s">
        <v>2134</v>
      </c>
      <c r="I50" s="2135"/>
      <c r="J50" s="3344" t="s">
        <v>1345</v>
      </c>
      <c r="K50" s="3344"/>
      <c r="L50" s="3344"/>
      <c r="M50" s="3344"/>
      <c r="N50" s="3344"/>
      <c r="O50" s="3344"/>
    </row>
    <row r="51" spans="1:35" ht="20.45" customHeight="1">
      <c r="A51" s="2338"/>
      <c r="B51" s="3261" t="s">
        <v>1346</v>
      </c>
      <c r="C51" s="3261"/>
      <c r="D51" s="1024"/>
      <c r="E51" s="319"/>
      <c r="F51" s="2232"/>
      <c r="G51" s="3333"/>
      <c r="H51" s="2136" t="s">
        <v>2135</v>
      </c>
      <c r="I51" s="2135"/>
      <c r="J51" s="2310" t="s">
        <v>1347</v>
      </c>
      <c r="K51" s="3325" t="s">
        <v>1348</v>
      </c>
      <c r="L51" s="3325"/>
      <c r="M51" s="2310" t="s">
        <v>1349</v>
      </c>
      <c r="N51" s="2310" t="s">
        <v>1350</v>
      </c>
      <c r="O51" s="2310" t="s">
        <v>1351</v>
      </c>
    </row>
    <row r="52" spans="1:35" ht="24" customHeight="1">
      <c r="A52" s="2153" t="s">
        <v>1352</v>
      </c>
      <c r="B52" s="3261" t="s">
        <v>1353</v>
      </c>
      <c r="C52" s="3261"/>
      <c r="D52" s="1024">
        <f ca="1">ROUND(D45*'数据-取费表'!B41/(1+'数据-取费表'!C42),0)</f>
        <v>1492</v>
      </c>
      <c r="E52" s="1256" t="s">
        <v>1354</v>
      </c>
      <c r="F52" s="2339">
        <f>'数据-取费表'!B41</f>
        <v>5.5000000000000007E-2</v>
      </c>
      <c r="G52" s="2340"/>
      <c r="H52" s="2330"/>
      <c r="I52" s="1669"/>
      <c r="J52" s="2309">
        <v>1</v>
      </c>
      <c r="K52" s="3326" t="s">
        <v>1355</v>
      </c>
      <c r="L52" s="3326"/>
      <c r="M52" s="2311" t="b">
        <f>D48</f>
        <v>0</v>
      </c>
      <c r="N52" s="2309" t="str">
        <f>E48</f>
        <v>销售额×税（费）率</v>
      </c>
      <c r="O52" s="2312">
        <f>F48</f>
        <v>5.5000000000000007E-2</v>
      </c>
    </row>
    <row r="53" spans="1:35" ht="12" customHeight="1">
      <c r="A53" s="2153" t="s">
        <v>1356</v>
      </c>
      <c r="B53" s="3287" t="s">
        <v>2290</v>
      </c>
      <c r="C53" s="3288"/>
      <c r="D53" s="1024">
        <f ca="1">ROUND(D45*'数据-取费表'!B41/(1+'数据-取费表'!C42),0)</f>
        <v>1492</v>
      </c>
      <c r="E53" s="1256" t="s">
        <v>1354</v>
      </c>
      <c r="F53" s="2339">
        <f>'数据-取费表'!B41</f>
        <v>5.5000000000000007E-2</v>
      </c>
      <c r="G53" s="2340"/>
      <c r="H53" s="2330"/>
      <c r="I53" s="1669"/>
      <c r="J53" s="2309">
        <v>2</v>
      </c>
      <c r="K53" s="3326" t="s">
        <v>1357</v>
      </c>
      <c r="L53" s="3326"/>
      <c r="M53" s="2311">
        <f t="shared" ref="M53:O54" ca="1" si="0">D55</f>
        <v>14</v>
      </c>
      <c r="N53" s="2309" t="str">
        <f t="shared" si="0"/>
        <v>销售额×税（费）率</v>
      </c>
      <c r="O53" s="2312" t="str">
        <f t="shared" si="0"/>
        <v>免征</v>
      </c>
    </row>
    <row r="54" spans="1:35" ht="12" customHeight="1">
      <c r="A54" s="2153" t="s">
        <v>1358</v>
      </c>
      <c r="B54" s="3287" t="s">
        <v>2291</v>
      </c>
      <c r="C54" s="3288"/>
      <c r="D54" s="1024">
        <f ca="1">C68</f>
        <v>1492</v>
      </c>
      <c r="E54" s="319" t="s">
        <v>1359</v>
      </c>
      <c r="F54" s="2339">
        <f>'数据-取费表'!B41</f>
        <v>5.5000000000000007E-2</v>
      </c>
      <c r="G54" s="2340"/>
      <c r="H54" s="2341"/>
      <c r="I54" s="1669"/>
      <c r="J54" s="2309">
        <v>3</v>
      </c>
      <c r="K54" s="3326" t="s">
        <v>1360</v>
      </c>
      <c r="L54" s="3326"/>
      <c r="M54" s="2311">
        <f t="shared" ca="1" si="0"/>
        <v>16149</v>
      </c>
      <c r="N54" s="2309" t="str">
        <f t="shared" si="0"/>
        <v>增值额×税（费）率</v>
      </c>
      <c r="O54" s="2313" t="str">
        <f t="shared" si="0"/>
        <v>免征</v>
      </c>
    </row>
    <row r="55" spans="1:35" ht="24" customHeight="1">
      <c r="A55" s="3276" t="s">
        <v>1361</v>
      </c>
      <c r="B55" s="3277"/>
      <c r="C55" s="3277"/>
      <c r="D55" s="12">
        <f ca="1">IF(H55="个人住宅",0,ROUND(D45*I55,0))</f>
        <v>14</v>
      </c>
      <c r="E55" s="1256" t="s">
        <v>1362</v>
      </c>
      <c r="F55" s="2339" t="str">
        <f>IF(H55="正常",I55,"免征")</f>
        <v>免征</v>
      </c>
      <c r="G55" s="2340"/>
      <c r="H55" s="2336"/>
      <c r="I55" s="157">
        <f>'数据-取费表'!B49</f>
        <v>5.0000000000000001E-4</v>
      </c>
      <c r="J55" s="2309">
        <f>IF(H59="非个人房产","",4)</f>
        <v>4</v>
      </c>
      <c r="K55" s="3326" t="str">
        <f>IF(H59="非个人房产","——","个人所得税")</f>
        <v>个人所得税</v>
      </c>
      <c r="L55" s="3326"/>
      <c r="M55" s="2314">
        <f ca="1">D59</f>
        <v>271</v>
      </c>
      <c r="N55" s="1883" t="str">
        <f>E59</f>
        <v>差额计税</v>
      </c>
      <c r="O55" s="2315">
        <f>F59</f>
        <v>0.01</v>
      </c>
    </row>
    <row r="56" spans="1:35" ht="24.75">
      <c r="A56" s="3276" t="s">
        <v>1363</v>
      </c>
      <c r="B56" s="3277"/>
      <c r="C56" s="3277"/>
      <c r="D56" s="12">
        <f ca="1">IF(H56="个人住宅",D57,D58)</f>
        <v>16149</v>
      </c>
      <c r="E56" s="1256" t="s">
        <v>1364</v>
      </c>
      <c r="F56" s="2339" t="str">
        <f>IF(H56="正常",F58,"免征")</f>
        <v>免征</v>
      </c>
      <c r="G56" s="2342" t="s">
        <v>1365</v>
      </c>
      <c r="H56" s="2343"/>
      <c r="I56" s="1670"/>
      <c r="J56" s="2309" t="str">
        <f>IF(项目基本情况!K6="上海银行",IF(J55="",4,J55+1),"")</f>
        <v/>
      </c>
      <c r="K56" s="3349" t="str">
        <f>IF(项目基本情况!K6="上海银行","其他处置费用","")</f>
        <v/>
      </c>
      <c r="L56" s="3350"/>
      <c r="M56" s="2311" t="str">
        <f>IF(项目基本情况!K6="上海银行",M69,"")</f>
        <v/>
      </c>
      <c r="N56" s="3349" t="str">
        <f>IF(项目基本情况!K6="上海银行","包含处置中涉及的律师、诉讼、拍卖、评估等费用","")</f>
        <v/>
      </c>
      <c r="O56" s="3352"/>
    </row>
    <row r="57" spans="1:35" ht="12.75">
      <c r="A57" s="2153" t="s">
        <v>1341</v>
      </c>
      <c r="B57" s="3287" t="s">
        <v>1366</v>
      </c>
      <c r="C57" s="3288"/>
      <c r="D57" s="1478">
        <v>0</v>
      </c>
      <c r="E57" s="316" t="s">
        <v>1343</v>
      </c>
      <c r="F57" s="294"/>
      <c r="G57" s="2340"/>
      <c r="H57" s="2344"/>
      <c r="I57" s="1670"/>
      <c r="J57" s="3326">
        <f>IF(AND(J55="",J56=""),4,IF(项目基本情况!K6="上海银行",结果表!J56+1,结果表!J55+1))</f>
        <v>5</v>
      </c>
      <c r="K57" s="3326" t="s">
        <v>1367</v>
      </c>
      <c r="L57" s="2316" t="s">
        <v>1368</v>
      </c>
      <c r="M57" s="2317"/>
      <c r="N57" s="2318">
        <f ca="1">SUMIF(M52:M56,"&lt;9e307")</f>
        <v>16434</v>
      </c>
      <c r="O57" s="2319"/>
      <c r="P57" s="2463">
        <f ca="1">N57/M49</f>
        <v>0.57689472390915153</v>
      </c>
    </row>
    <row r="58" spans="1:35" ht="24.75">
      <c r="A58" s="2153" t="s">
        <v>1352</v>
      </c>
      <c r="B58" s="3287" t="s">
        <v>1369</v>
      </c>
      <c r="C58" s="3261"/>
      <c r="D58" s="12">
        <f ca="1">IF(H58="转让取得",C81,C97)</f>
        <v>16149</v>
      </c>
      <c r="E58" s="1256" t="s">
        <v>1364</v>
      </c>
      <c r="F58" s="294" t="s">
        <v>28</v>
      </c>
      <c r="G58" s="2340"/>
      <c r="H58" s="2343"/>
      <c r="I58" s="1670"/>
      <c r="J58" s="3326"/>
      <c r="K58" s="3326"/>
      <c r="L58" s="2316" t="s">
        <v>1370</v>
      </c>
      <c r="M58" s="2320"/>
      <c r="N58" s="2321" t="str">
        <f ca="1">NUMBERSTRING(INT(N57*10000),2)&amp;"元整"</f>
        <v>壹亿陆仟肆佰叁拾肆万元整</v>
      </c>
      <c r="O58" s="2322"/>
    </row>
    <row r="59" spans="1:35" ht="24.75" thickBot="1">
      <c r="A59" s="3329" t="s">
        <v>1371</v>
      </c>
      <c r="B59" s="3330"/>
      <c r="C59" s="3330"/>
      <c r="D59" s="2345">
        <f ca="1">IF(H59="非个人房产","——",IF(H59="个人住宅（满五唯一有凭证）",0,IF(H59="个人其他（无凭证）",ROUND(D45*F59,0),ROUND(C67*F59,0))))</f>
        <v>271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27">
        <f>J57+1</f>
        <v>6</v>
      </c>
      <c r="K59" s="3326" t="s">
        <v>1372</v>
      </c>
      <c r="L59" s="2309" t="s">
        <v>1368</v>
      </c>
      <c r="M59" s="2323"/>
      <c r="N59" s="2324">
        <f ca="1">M49-N57</f>
        <v>12053</v>
      </c>
      <c r="O59" s="2325"/>
    </row>
    <row r="60" spans="1:35" ht="12" customHeight="1">
      <c r="A60" s="1671"/>
      <c r="B60" s="646"/>
      <c r="C60" s="646"/>
      <c r="D60" s="646"/>
      <c r="E60" s="1466"/>
      <c r="F60" s="1670"/>
      <c r="G60" s="1670"/>
      <c r="H60" s="151"/>
      <c r="I60" s="121"/>
      <c r="J60" s="3328"/>
      <c r="K60" s="3326"/>
      <c r="L60" s="2316" t="s">
        <v>1370</v>
      </c>
      <c r="M60" s="2320"/>
      <c r="N60" s="2321" t="str">
        <f ca="1">NUMBERSTRING(INT(N59*10000),2)&amp;"元整"</f>
        <v>壹亿贰仟零伍拾叁万元整</v>
      </c>
      <c r="O60" s="2322"/>
    </row>
    <row r="61" spans="1:35" ht="13.5" thickBot="1">
      <c r="A61" s="3274" t="s">
        <v>1373</v>
      </c>
      <c r="B61" s="3274"/>
      <c r="C61" s="3274"/>
      <c r="D61" s="3274"/>
      <c r="E61" s="3274"/>
      <c r="F61" s="1670"/>
      <c r="G61" s="1670"/>
      <c r="H61" s="151"/>
      <c r="I61" s="121"/>
      <c r="J61" s="2309">
        <f>J59+1</f>
        <v>7</v>
      </c>
      <c r="K61" s="3326" t="s">
        <v>1374</v>
      </c>
      <c r="L61" s="3326"/>
      <c r="M61" s="2326"/>
      <c r="N61" s="2327">
        <f ca="1">ROUND(N59*10000/'数据-汇总表'!E3,0)</f>
        <v>1792</v>
      </c>
      <c r="O61" s="2328"/>
    </row>
    <row r="62" spans="1:35" ht="12.75">
      <c r="A62" s="3292" t="s">
        <v>1375</v>
      </c>
      <c r="B62" s="3293"/>
      <c r="C62" s="1865"/>
      <c r="D62" s="1865" t="s">
        <v>1376</v>
      </c>
      <c r="E62" s="158" t="s">
        <v>1377</v>
      </c>
      <c r="F62" s="1670"/>
      <c r="G62" s="1670"/>
      <c r="H62" s="151"/>
      <c r="I62" s="121"/>
    </row>
    <row r="63" spans="1:35" ht="12.75">
      <c r="A63" s="165" t="s">
        <v>330</v>
      </c>
      <c r="B63" s="159" t="s">
        <v>1378</v>
      </c>
      <c r="C63" s="2349">
        <f ca="1">ROUND((C64+C65)/(1+'数据-取费表'!C42),0)</f>
        <v>27130</v>
      </c>
      <c r="D63" s="159"/>
      <c r="E63" s="160"/>
      <c r="F63" s="1670"/>
      <c r="G63" s="1670"/>
      <c r="H63" s="151"/>
      <c r="I63" s="121"/>
      <c r="J63" s="3351" t="s">
        <v>1379</v>
      </c>
      <c r="K63" s="1245" t="s">
        <v>1380</v>
      </c>
      <c r="L63" s="1245">
        <f ca="1">IF(M49&gt;10000,M49*0.5%,IF(AND(M49&gt;1000,M49&lt;=10000),M49*1%,IF(AND(M49&gt;100,M49&lt;=1000),M49*3%,IF(AND(M49&gt;10,M49&lt;=100),M49*5%,M49*8%))))</f>
        <v>142.435</v>
      </c>
      <c r="M63" s="294">
        <f ca="1">ROUND(L63,1)</f>
        <v>142.4</v>
      </c>
      <c r="N63" s="2329"/>
      <c r="Z63" s="1623"/>
      <c r="AI63" s="1561"/>
    </row>
    <row r="64" spans="1:35" ht="14.25" customHeight="1">
      <c r="A64" s="161" t="s">
        <v>325</v>
      </c>
      <c r="B64" s="162" t="s">
        <v>1381</v>
      </c>
      <c r="C64" s="2350">
        <f ca="1">D45</f>
        <v>28487</v>
      </c>
      <c r="D64" s="162" t="s">
        <v>26</v>
      </c>
      <c r="E64" s="164"/>
      <c r="F64" s="1670"/>
      <c r="G64" s="1670"/>
      <c r="H64" s="151"/>
      <c r="I64" s="121"/>
      <c r="J64" s="3351"/>
      <c r="K64" s="1245" t="s">
        <v>1382</v>
      </c>
      <c r="L64" s="1245">
        <f ca="1">IF(M49&gt;2000,M49*0.5%,IF(AND(M49&gt;1000,M49&lt;=2000),M49*0.6%,IF(AND(M49&gt;500,M49&lt;=1000),M49*0.7%,IF(AND(M49&gt;200,M49&lt;=500),M49*0.8%,IF(AND(M49&gt;100,M49&lt;=200),M49*0.9%,IF(AND(M49&gt;50,M49&lt;=100),M49*1%,IF(AND(M49&gt;20,M49&lt;=50),M49*1.5%,IF(AND(M49&gt;10,M49&lt;=20),M49*2%,IF(AND(M49&gt;1,M49&lt;=10),M49*2.5%)))))))))</f>
        <v>142.435</v>
      </c>
      <c r="M64" s="294">
        <f t="shared" ref="M64:M65" ca="1" si="1">ROUND(L64,1)</f>
        <v>142.4</v>
      </c>
      <c r="N64" s="2330" t="s">
        <v>1383</v>
      </c>
      <c r="Z64" s="1623"/>
      <c r="AI64" s="1561"/>
    </row>
    <row r="65" spans="1:35" ht="14.25" customHeight="1">
      <c r="A65" s="161" t="s">
        <v>326</v>
      </c>
      <c r="B65" s="162" t="s">
        <v>1384</v>
      </c>
      <c r="C65" s="2351"/>
      <c r="D65" s="162"/>
      <c r="E65" s="164"/>
      <c r="F65" s="1670"/>
      <c r="G65" s="1670"/>
      <c r="H65" s="151"/>
      <c r="I65" s="121"/>
      <c r="J65" s="3351"/>
      <c r="K65" s="1245" t="s">
        <v>1385</v>
      </c>
      <c r="L65" s="1245">
        <f ca="1">IF(M49&gt;1000,M49*0.1%,IF(AND(M49&gt;500,M49&lt;=1000),M49*0.5%,IF(AND(M49&gt;50,M49&lt;=500),M49*1%,IF(AND(M49&gt;1,M49&lt;=50),M49*1.5%))))</f>
        <v>28.487000000000002</v>
      </c>
      <c r="M65" s="294">
        <f t="shared" ca="1" si="1"/>
        <v>28.5</v>
      </c>
      <c r="N65" s="2330" t="s">
        <v>1383</v>
      </c>
      <c r="Z65" s="1623"/>
      <c r="AI65" s="1561"/>
    </row>
    <row r="66" spans="1:35" ht="14.25" customHeight="1">
      <c r="A66" s="165" t="s">
        <v>327</v>
      </c>
      <c r="B66" s="166" t="s">
        <v>1386</v>
      </c>
      <c r="C66" s="2352"/>
      <c r="D66" s="166" t="s">
        <v>26</v>
      </c>
      <c r="E66" s="1251" t="s">
        <v>671</v>
      </c>
      <c r="F66" s="1670"/>
      <c r="G66" s="1670"/>
      <c r="H66" s="151"/>
      <c r="I66" s="121"/>
      <c r="J66" s="3351"/>
      <c r="K66" s="1245" t="s">
        <v>1387</v>
      </c>
      <c r="L66" s="1245">
        <f ca="1">M49*0.5%</f>
        <v>142.435</v>
      </c>
      <c r="M66" s="294">
        <f ca="1">IF(L66&gt;0.5,0.5,ROUND(L66,0))</f>
        <v>0.5</v>
      </c>
      <c r="N66" s="2330" t="s">
        <v>1388</v>
      </c>
      <c r="Z66" s="1623"/>
      <c r="AI66" s="1561"/>
    </row>
    <row r="67" spans="1:35" ht="14.25" customHeight="1">
      <c r="A67" s="165" t="s">
        <v>328</v>
      </c>
      <c r="B67" s="166" t="s">
        <v>1389</v>
      </c>
      <c r="C67" s="2353">
        <f ca="1">C63-C66</f>
        <v>27130</v>
      </c>
      <c r="D67" s="162" t="s">
        <v>26</v>
      </c>
      <c r="E67" s="164"/>
      <c r="F67" s="1670"/>
      <c r="G67" s="1670"/>
      <c r="H67" s="151"/>
      <c r="I67" s="121"/>
      <c r="J67" s="3351"/>
      <c r="K67" s="1245" t="s">
        <v>1390</v>
      </c>
      <c r="L67" s="1245">
        <f ca="1">IF(M49&gt;=10000,(8.25+(M49-10000)*0.01%),IF(AND(M49&gt;=8000,M49&lt;10000),(7.85+(M49-8000)*0.02%),IF(AND(M49&gt;=5000,M49&lt;8000),(6.65+(M49-5000)*0.04%),IF(AND(M49&gt;=2000,M49&lt;5000),(4.25+(PM49-2000)*0.08%),IF(AND(M49&gt;=1000,M49&lt;2000),(2.75+(M49-1000)*0.15%),IF(AND(M49&gt;=100,M49&lt;1000),(0.5+(M49-100)*0.25%),IF(AND(M49&gt;0,M49&lt;100),M49*0.5%)))))))</f>
        <v>10.098700000000001</v>
      </c>
      <c r="M67" s="294">
        <f ca="1">ROUND(L67*0.9,1)</f>
        <v>9.1</v>
      </c>
      <c r="N67" s="2329"/>
      <c r="Z67" s="1623"/>
      <c r="AI67" s="1561"/>
    </row>
    <row r="68" spans="1:35" ht="14.25" customHeight="1" thickBot="1">
      <c r="A68" s="168" t="s">
        <v>329</v>
      </c>
      <c r="B68" s="169" t="s">
        <v>1391</v>
      </c>
      <c r="C68" s="2354">
        <f ca="1">IF(C67&lt;=0,0,ROUND(C67*D68,0))</f>
        <v>1492</v>
      </c>
      <c r="D68" s="2355">
        <f>'数据-取费表'!B41</f>
        <v>5.5000000000000007E-2</v>
      </c>
      <c r="E68" s="170"/>
      <c r="F68" s="1670"/>
      <c r="G68" s="1670"/>
      <c r="H68" s="151"/>
      <c r="I68" s="121"/>
      <c r="J68" s="3351"/>
      <c r="K68" s="1245" t="s">
        <v>1392</v>
      </c>
      <c r="L68" s="1245">
        <f ca="1">IF(M49&gt;10000,M49*0.5%,IF(AND(M49&gt;5000,M49&lt;=10000),M49*1%,IF(AND(M49&gt;1000,M49&lt;=5000),M49*2%,IF(AND(M49&gt;200,M49&lt;=1000),M49*3%,M49*5%))))</f>
        <v>142.435</v>
      </c>
      <c r="M68" s="294">
        <f ca="1">ROUND(L68,1)</f>
        <v>142.4</v>
      </c>
      <c r="N68" s="2329"/>
      <c r="Z68" s="1623"/>
      <c r="AI68" s="1561"/>
    </row>
    <row r="69" spans="1:35" ht="16.5" customHeight="1">
      <c r="A69" s="1672"/>
      <c r="B69" s="1673"/>
      <c r="C69" s="1674"/>
      <c r="D69" s="1675"/>
      <c r="E69" s="1676"/>
      <c r="F69" s="1466"/>
      <c r="G69" s="1466"/>
      <c r="H69" s="1467"/>
      <c r="I69" s="646"/>
      <c r="J69" s="3351"/>
      <c r="K69" s="1245" t="s">
        <v>1393</v>
      </c>
      <c r="L69" s="1245"/>
      <c r="M69" s="294">
        <f ca="1">ROUND(SUM(M63:M68),0)</f>
        <v>465</v>
      </c>
      <c r="N69" s="2331">
        <f ca="1">M69/M49</f>
        <v>1.6323235159897496E-2</v>
      </c>
      <c r="Z69" s="1623"/>
      <c r="AI69" s="1561"/>
    </row>
    <row r="70" spans="1:35" s="642" customFormat="1" ht="15"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2" t="s">
        <v>1375</v>
      </c>
      <c r="B71" s="329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27130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136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7" t="s">
        <v>1402</v>
      </c>
      <c r="F76" s="3261"/>
      <c r="G76" s="3261"/>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136</v>
      </c>
      <c r="D78" s="2362">
        <f>'数据-取费表'!B43</f>
        <v>5.000000000000001E-3</v>
      </c>
      <c r="E78" s="3271" t="s">
        <v>1406</v>
      </c>
      <c r="F78" s="3272"/>
      <c r="G78" s="3272"/>
      <c r="H78" s="328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26994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198.48529411764707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16149</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2" t="s">
        <v>1375</v>
      </c>
      <c r="B84" s="329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27130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136</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53" t="s">
        <v>2128</v>
      </c>
      <c r="H90" s="3354"/>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1" t="s">
        <v>1419</v>
      </c>
      <c r="F91" s="3272"/>
      <c r="G91" s="327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1" t="s">
        <v>1422</v>
      </c>
      <c r="F92" s="3272"/>
      <c r="G92" s="3272"/>
      <c r="H92" s="3281"/>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136</v>
      </c>
      <c r="D93" s="2362">
        <f>'数据-取费表'!B43</f>
        <v>5.000000000000001E-3</v>
      </c>
      <c r="E93" s="3271" t="s">
        <v>1406</v>
      </c>
      <c r="F93" s="3272"/>
      <c r="G93" s="3272"/>
      <c r="H93" s="328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2" t="s">
        <v>1426</v>
      </c>
      <c r="F94" s="3283"/>
      <c r="G94" s="3283"/>
      <c r="H94" s="328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26994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198.48529411764707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16149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73"/>
      <c r="E100" s="3256" t="s">
        <v>1429</v>
      </c>
      <c r="F100" s="3256"/>
      <c r="G100" s="3256"/>
      <c r="H100" s="3273"/>
      <c r="I100" s="121"/>
    </row>
    <row r="101" spans="1:35" ht="18.75" customHeight="1">
      <c r="A101" s="3334" t="s">
        <v>1430</v>
      </c>
      <c r="B101" s="3335"/>
      <c r="C101" s="2370" t="str">
        <f>C4</f>
        <v>成本法</v>
      </c>
      <c r="D101" s="2371" t="str">
        <f>D4</f>
        <v>收益法</v>
      </c>
      <c r="E101" s="3348" t="s">
        <v>1431</v>
      </c>
      <c r="F101" s="3305"/>
      <c r="G101" s="1687" t="s">
        <v>1432</v>
      </c>
      <c r="H101" s="2380">
        <f ca="1">H118</f>
        <v>28487</v>
      </c>
      <c r="I101" s="121"/>
    </row>
    <row r="102" spans="1:35" ht="18.75" customHeight="1">
      <c r="A102" s="3307" t="s">
        <v>1433</v>
      </c>
      <c r="B102" s="2369" t="s">
        <v>1432</v>
      </c>
      <c r="C102" s="2370">
        <f ca="1">IF(D32="楼面单价",ROUND(C19,0),C19)</f>
        <v>28587</v>
      </c>
      <c r="D102" s="2371">
        <f ca="1">IF(D32="楼面单价",ROUND(D19,0),D19)</f>
        <v>28386</v>
      </c>
      <c r="E102" s="3348"/>
      <c r="F102" s="3305"/>
      <c r="G102" s="1687" t="s">
        <v>1434</v>
      </c>
      <c r="H102" s="2340">
        <f ca="1">I118</f>
        <v>4235</v>
      </c>
      <c r="I102" s="121"/>
    </row>
    <row r="103" spans="1:35" ht="42.75" customHeight="1">
      <c r="A103" s="3307"/>
      <c r="B103" s="2369" t="s">
        <v>1434</v>
      </c>
      <c r="C103" s="2372">
        <f ca="1">C20</f>
        <v>4250</v>
      </c>
      <c r="D103" s="2373">
        <f ca="1">D20</f>
        <v>4220</v>
      </c>
      <c r="E103" s="3342" t="s">
        <v>1435</v>
      </c>
      <c r="F103" s="3343"/>
      <c r="G103" s="1688" t="s">
        <v>1436</v>
      </c>
      <c r="H103" s="2380">
        <f>IF(D36="正常操作",H104+H105+H106,H105+H106)</f>
        <v>0</v>
      </c>
      <c r="I103" s="121"/>
    </row>
    <row r="104" spans="1:35" ht="18.75" customHeight="1">
      <c r="A104" s="3307" t="s">
        <v>1437</v>
      </c>
      <c r="B104" s="2374" t="s">
        <v>1432</v>
      </c>
      <c r="C104" s="2375">
        <f ca="1">H118</f>
        <v>28487</v>
      </c>
      <c r="D104" s="2376"/>
      <c r="E104" s="1555" t="s">
        <v>1438</v>
      </c>
      <c r="F104" s="1548"/>
      <c r="G104" s="1688" t="s">
        <v>1436</v>
      </c>
      <c r="H104" s="2381">
        <f>IF(D36="同一抵押权人同一抵押物续贷",C36&amp;"（续贷，未扣减，详见特别提示）",C36)</f>
        <v>0</v>
      </c>
      <c r="I104" s="121"/>
    </row>
    <row r="105" spans="1:35" ht="18.75" customHeight="1" thickBot="1">
      <c r="A105" s="3308"/>
      <c r="B105" s="2377" t="s">
        <v>1434</v>
      </c>
      <c r="C105" s="2378">
        <f ca="1">I118</f>
        <v>4235</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4" t="str">
        <f>IF(项目基本情况!E8="已注销","——","3.房地产抵押价值")</f>
        <v>3.房地产抵押价值</v>
      </c>
      <c r="F107" s="3305"/>
      <c r="G107" s="1687" t="s">
        <v>1432</v>
      </c>
      <c r="H107" s="2380">
        <f ca="1">IF(E107="——","——",H101-H103)</f>
        <v>28487</v>
      </c>
      <c r="I107" s="121"/>
    </row>
    <row r="108" spans="1:35" ht="18.75" customHeight="1">
      <c r="A108" s="121"/>
      <c r="B108" s="121"/>
      <c r="C108" s="121"/>
      <c r="D108" s="121"/>
      <c r="E108" s="3304"/>
      <c r="F108" s="3305"/>
      <c r="G108" s="1687" t="s">
        <v>1434</v>
      </c>
      <c r="H108" s="2340">
        <f ca="1">IF(H107=H101,H102,ROUND(H107*10000/'数据-汇总表'!E3,0))</f>
        <v>4235</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305"/>
      <c r="G109" s="1687" t="s">
        <v>1432</v>
      </c>
      <c r="H109" s="2383" t="str">
        <f>IF(E109="——","——",H101-H105-H106)</f>
        <v>——</v>
      </c>
      <c r="I109" s="121"/>
    </row>
    <row r="110" spans="1:35" ht="18.75" customHeight="1">
      <c r="A110" s="121"/>
      <c r="B110" s="121"/>
      <c r="C110" s="121"/>
      <c r="D110" s="121"/>
      <c r="E110" s="3304"/>
      <c r="F110" s="3305"/>
      <c r="G110" s="1687" t="s">
        <v>1434</v>
      </c>
      <c r="H110" s="2340" t="str">
        <f>IF(H109="——","——",ROUND(H109*10000/'数据-汇总表'!E3,0))</f>
        <v>——</v>
      </c>
      <c r="I110" s="121"/>
    </row>
    <row r="111" spans="1:35" ht="18.75" customHeight="1">
      <c r="A111" s="121"/>
      <c r="B111" s="121"/>
      <c r="C111" s="121"/>
      <c r="D111" s="121"/>
      <c r="E111" s="3336" t="str">
        <f>IF(项目基本情况!E9="抵押净值",IF(OR(项目基本情况!E8="已注销",项目基本情况!E8="房地产抵押价值"),"4.抵押净值","5.抵押净值"),"——")</f>
        <v>——</v>
      </c>
      <c r="F111" s="3306"/>
      <c r="G111" s="1687" t="s">
        <v>1432</v>
      </c>
      <c r="H111" s="2380" t="str">
        <f>IF(E111="——","——",N59)</f>
        <v>——</v>
      </c>
      <c r="I111" s="121"/>
    </row>
    <row r="112" spans="1:35" ht="18.75" customHeight="1" thickBot="1">
      <c r="A112" s="121"/>
      <c r="B112" s="121"/>
      <c r="C112" s="121"/>
      <c r="D112" s="121"/>
      <c r="E112" s="3337"/>
      <c r="F112" s="3338"/>
      <c r="G112" s="1690" t="s">
        <v>1434</v>
      </c>
      <c r="H112" s="2384" t="str">
        <f>IF(E111="——","——",N61)</f>
        <v>——</v>
      </c>
      <c r="I112" s="121"/>
    </row>
    <row r="113" spans="1:27" ht="18.75" customHeight="1">
      <c r="A113" s="121"/>
      <c r="B113" s="121"/>
      <c r="C113" s="121"/>
      <c r="D113" s="121"/>
      <c r="E113" s="3309" t="s">
        <v>1440</v>
      </c>
      <c r="F113" s="3309"/>
      <c r="G113" s="3309"/>
      <c r="H113" s="3309"/>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5" t="s">
        <v>1443</v>
      </c>
      <c r="B116" s="3310" t="s">
        <v>1444</v>
      </c>
      <c r="C116" s="3310" t="s">
        <v>1445</v>
      </c>
      <c r="D116" s="3323" t="s">
        <v>1446</v>
      </c>
      <c r="E116" s="3324"/>
      <c r="F116" s="3318" t="s">
        <v>1447</v>
      </c>
      <c r="G116" s="3318"/>
      <c r="H116" s="3275" t="s">
        <v>1448</v>
      </c>
      <c r="I116" s="3275"/>
      <c r="K116" s="684">
        <v>30194</v>
      </c>
    </row>
    <row r="117" spans="1:27" ht="18.75" customHeight="1">
      <c r="A117" s="3275"/>
      <c r="B117" s="3311"/>
      <c r="C117" s="3311"/>
      <c r="D117" s="2150" t="s">
        <v>1449</v>
      </c>
      <c r="E117" s="2150" t="s">
        <v>1450</v>
      </c>
      <c r="F117" s="2150" t="s">
        <v>1449</v>
      </c>
      <c r="G117" s="2150" t="s">
        <v>1451</v>
      </c>
      <c r="H117" s="2150" t="s">
        <v>1449</v>
      </c>
      <c r="I117" s="2150" t="s">
        <v>1451</v>
      </c>
      <c r="K117" s="684">
        <f ca="1">(K116-H118)/K116</f>
        <v>5.6534410810094721E-2</v>
      </c>
    </row>
    <row r="118" spans="1:27" ht="24.75" customHeight="1">
      <c r="A118" s="2385" t="str">
        <f>项目基本情况!S2</f>
        <v>廊坊经济技术开发区友谊路木兰道10号13-16幢房地产</v>
      </c>
      <c r="B118" s="2150">
        <f>M18</f>
        <v>67261.53</v>
      </c>
      <c r="C118" s="2150">
        <f>M19</f>
        <v>58848.03</v>
      </c>
      <c r="D118" s="2150">
        <f ca="1">ROUND(IF(D32="总价",C34,E118*B118/10000),0)</f>
        <v>5014</v>
      </c>
      <c r="E118" s="2150">
        <f ca="1">ROUND(IF(C33="自定义",IF(D32="楼面单价",C34,D118*10000/B118),I118-G118),0)</f>
        <v>745</v>
      </c>
      <c r="F118" s="2150">
        <f ca="1">ROUND(IF(D32="总价",C35,G118*B118/10000),0)</f>
        <v>23473</v>
      </c>
      <c r="G118" s="2150">
        <f ca="1">ROUND(IF(D32="楼面单价",C35,F118*10000/B118),0)</f>
        <v>3490</v>
      </c>
      <c r="H118" s="2150">
        <f ca="1">ROUND(IF(D32="总价",C32,I118*B118/10000),0)</f>
        <v>28487</v>
      </c>
      <c r="I118" s="2150">
        <f ca="1">ROUND(IF(D32="楼面单价",C32,H118*10000/B118),0)</f>
        <v>4235</v>
      </c>
    </row>
    <row r="119" spans="1:27" ht="18.75" customHeight="1">
      <c r="A119" s="3275" t="s">
        <v>1452</v>
      </c>
      <c r="B119" s="3275"/>
      <c r="C119" s="3275"/>
      <c r="D119" s="3315" t="str">
        <f ca="1">NUMBERSTRING(INT(D118*10000),2)&amp;"元整"</f>
        <v>伍仟零壹拾肆万元整</v>
      </c>
      <c r="E119" s="3317"/>
      <c r="F119" s="3315" t="str">
        <f ca="1">NUMBERSTRING(INT(F118*10000),2)&amp;"元整"</f>
        <v>贰亿叁仟肆佰柒拾叁万元整</v>
      </c>
      <c r="G119" s="3317"/>
      <c r="H119" s="3315" t="str">
        <f ca="1">NUMBERSTRING(INT(H118*10000),2)&amp;"元整"</f>
        <v>贰亿捌仟肆佰捌拾柒万元整</v>
      </c>
      <c r="I119" s="3317"/>
    </row>
    <row r="120" spans="1:27" ht="18.75" customHeight="1">
      <c r="A120" s="3339" t="str">
        <f>IF(项目基本情况!B9="房地产市场价值","",MID(E103,3,LEN(E103)-2))</f>
        <v>估价师知悉的法定优先受偿款</v>
      </c>
      <c r="B120" s="3340"/>
      <c r="C120" s="3341"/>
      <c r="D120" s="3339">
        <f>H103</f>
        <v>0</v>
      </c>
      <c r="E120" s="3340"/>
      <c r="F120" s="3340"/>
      <c r="G120" s="3340"/>
      <c r="H120" s="3340"/>
      <c r="I120" s="334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5" t="s">
        <v>1452</v>
      </c>
      <c r="B121" s="3316"/>
      <c r="C121" s="3317"/>
      <c r="D121" s="3315" t="str">
        <f>IF(D120=0,"零元整",NUMBERSTRING(INT(D120*10000),2)&amp;"元整")</f>
        <v>零元整</v>
      </c>
      <c r="E121" s="3316"/>
      <c r="F121" s="3316"/>
      <c r="G121" s="3316"/>
      <c r="H121" s="3316"/>
      <c r="I121" s="3317"/>
      <c r="AA121" s="684"/>
    </row>
    <row r="122" spans="1:27" ht="18.75" customHeight="1">
      <c r="A122" s="3306" t="str">
        <f>IF(项目基本情况!B9="房地产市场价值","",MID(E107,3,LEN(E107)-2))</f>
        <v>房地产抵押价值</v>
      </c>
      <c r="B122" s="3306"/>
      <c r="C122" s="3306"/>
      <c r="D122" s="3339">
        <f ca="1">H107</f>
        <v>28487</v>
      </c>
      <c r="E122" s="3340"/>
      <c r="F122" s="3340"/>
      <c r="G122" s="3340"/>
      <c r="H122" s="3340"/>
      <c r="I122" s="3341"/>
      <c r="AA122" s="684"/>
    </row>
    <row r="123" spans="1:27" ht="18.75" customHeight="1">
      <c r="A123" s="3275" t="s">
        <v>1452</v>
      </c>
      <c r="B123" s="3275"/>
      <c r="C123" s="3275"/>
      <c r="D123" s="3315" t="str">
        <f ca="1">NUMBERSTRING(INT(D122*10000),2)&amp;"元整"</f>
        <v>贰亿捌仟肆佰捌拾柒万元整</v>
      </c>
      <c r="E123" s="3316"/>
      <c r="F123" s="3316"/>
      <c r="G123" s="3316"/>
      <c r="H123" s="3316"/>
      <c r="I123" s="3317"/>
      <c r="AA123" s="684"/>
    </row>
    <row r="124" spans="1:27" ht="18.75" customHeight="1">
      <c r="A124" s="3306" t="str">
        <f>IF(项目基本情况!B9="房地产市场价值","",MID(E109,3,LEN(E109)-2))</f>
        <v/>
      </c>
      <c r="B124" s="3306"/>
      <c r="C124" s="3306"/>
      <c r="D124" s="3339" t="str">
        <f>H109</f>
        <v>——</v>
      </c>
      <c r="E124" s="3340"/>
      <c r="F124" s="3340"/>
      <c r="G124" s="3340"/>
      <c r="H124" s="3340"/>
      <c r="I124" s="3341"/>
      <c r="AA124" s="684"/>
    </row>
    <row r="125" spans="1:27" ht="18.75" customHeight="1">
      <c r="A125" s="3275" t="s">
        <v>1452</v>
      </c>
      <c r="B125" s="3275"/>
      <c r="C125" s="3275"/>
      <c r="D125" s="3315" t="e">
        <f>NUMBERSTRING(INT(D124*10000),2)&amp;"元整"</f>
        <v>#VALUE!</v>
      </c>
      <c r="E125" s="3316"/>
      <c r="F125" s="3316"/>
      <c r="G125" s="3316"/>
      <c r="H125" s="3316"/>
      <c r="I125" s="3317"/>
      <c r="AA125" s="684"/>
    </row>
    <row r="126" spans="1:27" ht="18.75" customHeight="1">
      <c r="A126" s="3306" t="str">
        <f>IF(项目基本情况!B9="房地产市场价值","",MID(E111,3,LEN(E111)-2))</f>
        <v/>
      </c>
      <c r="B126" s="3306"/>
      <c r="C126" s="3306"/>
      <c r="D126" s="3339" t="str">
        <f>H111</f>
        <v>——</v>
      </c>
      <c r="E126" s="3340"/>
      <c r="F126" s="3340"/>
      <c r="G126" s="3340"/>
      <c r="H126" s="3340"/>
      <c r="I126" s="3341"/>
      <c r="AA126" s="684"/>
    </row>
    <row r="127" spans="1:27" ht="18.75" customHeight="1">
      <c r="A127" s="3275" t="s">
        <v>1452</v>
      </c>
      <c r="B127" s="3275"/>
      <c r="C127" s="3275"/>
      <c r="D127" s="3315" t="e">
        <f>NUMBERSTRING(INT(D126*10000),2)&amp;"元整"</f>
        <v>#VALUE!</v>
      </c>
      <c r="E127" s="3316"/>
      <c r="F127" s="3316"/>
      <c r="G127" s="3316"/>
      <c r="H127" s="3316"/>
      <c r="I127" s="3317"/>
      <c r="AA127" s="684"/>
    </row>
    <row r="128" spans="1:27" ht="21.75" customHeight="1">
      <c r="A128" s="3322" t="s">
        <v>1453</v>
      </c>
      <c r="B128" s="3322"/>
      <c r="C128" s="3322"/>
      <c r="D128" s="3322"/>
      <c r="E128" s="3322"/>
      <c r="F128" s="3322"/>
      <c r="G128" s="3322"/>
      <c r="H128" s="3322"/>
      <c r="I128" s="332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26680.865099999999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3967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12107075</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12107075</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180</v>
      </c>
      <c r="F9" s="213"/>
      <c r="G9" s="218"/>
    </row>
    <row r="10" spans="1:8" s="206" customFormat="1" ht="13.5" customHeight="1">
      <c r="A10" s="733" t="s">
        <v>356</v>
      </c>
      <c r="B10" s="216" t="s">
        <v>1480</v>
      </c>
      <c r="C10" s="217">
        <f ca="1">ROUND(D10*E10,0)</f>
        <v>12107075</v>
      </c>
      <c r="D10" s="795">
        <f ca="1">IF(B1="",'数据-汇总表'!E6,IF(INDIRECT("'数据-取费表'!c"&amp;$G$1)="住宅",INDIRECT("'数据-取费表'!s"&amp;$G$1),INDIRECT("'数据-取费表'!k"&amp;$G$1)+INDIRECT("'数据-取费表'!s"&amp;$G$1)))</f>
        <v>67261.53</v>
      </c>
      <c r="E10" s="217">
        <f>'数据-取费表'!B28</f>
        <v>180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13452306</v>
      </c>
      <c r="D19" s="204">
        <f ca="1">D9+D10</f>
        <v>67261.53</v>
      </c>
      <c r="E19" s="203">
        <f>'数据-取费表'!B31</f>
        <v>200</v>
      </c>
      <c r="F19" s="223"/>
      <c r="G19" s="1714"/>
    </row>
    <row r="20" spans="1:7" s="206" customFormat="1" ht="13.5" customHeight="1">
      <c r="A20" s="247" t="s">
        <v>1574</v>
      </c>
      <c r="B20" s="202" t="s">
        <v>1575</v>
      </c>
      <c r="C20" s="224">
        <f ca="1">ROUND((C5+C19)*F20,0)</f>
        <v>511188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1625092</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762274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846971</v>
      </c>
      <c r="D24" s="230"/>
      <c r="E24" s="230"/>
      <c r="F24" s="231"/>
      <c r="G24" s="232" t="s">
        <v>1586</v>
      </c>
    </row>
    <row r="25" spans="1:7" s="206" customFormat="1" ht="24">
      <c r="A25" s="734" t="s">
        <v>1476</v>
      </c>
      <c r="B25" s="207" t="s">
        <v>1587</v>
      </c>
      <c r="C25" s="230">
        <f ca="1">ROUND(IF('数据-取费表'!B22&lt;=1,C20*F22*'数据-取费表'!B22/2,C20*(POWER((1+F22),'数据-取费表'!B22/2)-1)),0)</f>
        <v>15847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1303528</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1303528</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31316619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214967850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188332284</v>
      </c>
      <c r="D34" s="209"/>
      <c r="E34" s="212"/>
      <c r="F34" s="249"/>
      <c r="G34" s="211"/>
    </row>
    <row r="35" spans="1:7" ht="13.5" customHeight="1">
      <c r="A35" s="734" t="s">
        <v>351</v>
      </c>
      <c r="B35" s="207" t="s">
        <v>1527</v>
      </c>
      <c r="C35" s="212">
        <f ca="1">ROUND(C34*F35,0)</f>
        <v>9416614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13452306</v>
      </c>
      <c r="D37" s="209">
        <f ca="1">D19</f>
        <v>67261.53</v>
      </c>
      <c r="E37" s="241">
        <f>'数据-取费表'!B35</f>
        <v>200</v>
      </c>
      <c r="F37" s="251"/>
      <c r="G37" s="253"/>
    </row>
    <row r="38" spans="1:7" ht="13.5" customHeight="1">
      <c r="A38" s="734" t="s">
        <v>354</v>
      </c>
      <c r="B38" s="207" t="s">
        <v>1533</v>
      </c>
      <c r="C38" s="212">
        <f ca="1">ROUND(C34*F38,0)</f>
        <v>3766646</v>
      </c>
      <c r="D38" s="212"/>
      <c r="E38" s="212"/>
      <c r="F38" s="251">
        <f>'数据-取费表'!B36</f>
        <v>0.02</v>
      </c>
      <c r="G38" s="211" t="s">
        <v>1528</v>
      </c>
    </row>
    <row r="39" spans="1:7" s="206" customFormat="1" ht="13.5" customHeight="1">
      <c r="A39" s="247" t="s">
        <v>1534</v>
      </c>
      <c r="B39" s="202" t="s">
        <v>1535</v>
      </c>
      <c r="C39" s="224">
        <f ca="1">ROUND(C33*F20,0)</f>
        <v>4299357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6797283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6664003</v>
      </c>
      <c r="D42" s="230"/>
      <c r="E42" s="230"/>
      <c r="F42" s="231"/>
      <c r="G42" s="3355" t="s">
        <v>1591</v>
      </c>
    </row>
    <row r="43" spans="1:7" ht="13.5" customHeight="1">
      <c r="A43" s="734" t="s">
        <v>347</v>
      </c>
      <c r="B43" s="207" t="s">
        <v>1545</v>
      </c>
      <c r="C43" s="230">
        <f ca="1">ROUND(IF('数据-取费表'!B22&lt;=1,C39*F22*'数据-取费表'!B20/2,C39*(POWER((1+F22),'数据-取费表'!B20/2)-1)),0)</f>
        <v>133280</v>
      </c>
      <c r="D43" s="230"/>
      <c r="E43" s="230"/>
      <c r="F43" s="231"/>
      <c r="G43" s="3356"/>
    </row>
    <row r="44" spans="1:7" ht="13.5" customHeight="1">
      <c r="A44" s="734" t="s">
        <v>348</v>
      </c>
      <c r="B44" s="207" t="s">
        <v>1546</v>
      </c>
      <c r="C44" s="230">
        <f ca="1">ROUND(IF('数据-取费表'!B22&lt;=1,C40*F22*'数据-取费表'!B20/2,C40*(POWER((1+F22),'数据-取费表'!B20/2)-1)),4)</f>
        <v>5.9999999999999995E-4</v>
      </c>
      <c r="D44" s="230"/>
      <c r="E44" s="230"/>
      <c r="F44" s="231"/>
      <c r="G44" s="3357"/>
    </row>
    <row r="45" spans="1:7" s="206" customFormat="1" ht="13.5" customHeight="1">
      <c r="A45" s="247" t="s">
        <v>1547</v>
      </c>
      <c r="B45" s="236" t="s">
        <v>1513</v>
      </c>
      <c r="C45" s="237">
        <f ca="1">C46</f>
        <v>10963360</v>
      </c>
      <c r="D45" s="227">
        <f ca="1">C47</f>
        <v>1E-3</v>
      </c>
      <c r="E45" s="228" t="s">
        <v>1539</v>
      </c>
      <c r="F45" s="238">
        <f ca="1">F27</f>
        <v>0.05</v>
      </c>
      <c r="G45" s="239" t="s">
        <v>1548</v>
      </c>
    </row>
    <row r="46" spans="1:7" s="206" customFormat="1" ht="13.5" customHeight="1">
      <c r="A46" s="734" t="s">
        <v>346</v>
      </c>
      <c r="B46" s="240" t="s">
        <v>1549</v>
      </c>
      <c r="C46" s="241">
        <f ca="1">ROUND((C33+C39)*F27,0)</f>
        <v>10963360</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255969600</v>
      </c>
      <c r="D49" s="224"/>
      <c r="E49" s="224"/>
      <c r="F49" s="256"/>
      <c r="G49" s="226" t="s">
        <v>1554</v>
      </c>
    </row>
    <row r="50" spans="1:7" s="250" customFormat="1">
      <c r="A50" s="247" t="s">
        <v>1555</v>
      </c>
      <c r="B50" s="202" t="s">
        <v>1556</v>
      </c>
      <c r="C50" s="224"/>
      <c r="D50" s="224"/>
      <c r="E50" s="224"/>
      <c r="F50" s="256">
        <f>IF('数据-取费表'!B24=0,'数据-取费表'!N16,1)</f>
        <v>0.92</v>
      </c>
      <c r="G50" s="239"/>
    </row>
    <row r="51" spans="1:7" ht="16.5" customHeight="1">
      <c r="A51" s="247" t="s">
        <v>1558</v>
      </c>
      <c r="B51" s="202" t="s">
        <v>1593</v>
      </c>
      <c r="C51" s="224">
        <f ca="1">ROUND(C49*F50,0)</f>
        <v>235492032</v>
      </c>
      <c r="D51" s="224"/>
      <c r="E51" s="224"/>
      <c r="F51" s="256"/>
      <c r="G51" s="226" t="s">
        <v>1560</v>
      </c>
    </row>
    <row r="52" spans="1:7" s="200" customFormat="1" ht="16.5" thickBot="1">
      <c r="A52" s="257" t="s">
        <v>1561</v>
      </c>
      <c r="B52" s="258"/>
      <c r="C52" s="259">
        <f ca="1">C31+C51</f>
        <v>266808651</v>
      </c>
      <c r="D52" s="258"/>
      <c r="E52" s="258"/>
      <c r="F52" s="258"/>
      <c r="G52" s="260"/>
    </row>
    <row r="55" spans="1:7" ht="15">
      <c r="B55" s="262" t="s">
        <v>1562</v>
      </c>
      <c r="C55" s="263"/>
    </row>
    <row r="56" spans="1:7">
      <c r="B56" s="265" t="s">
        <v>802</v>
      </c>
      <c r="C56" s="267">
        <f ca="1">1-C57</f>
        <v>0.11699999999999999</v>
      </c>
    </row>
    <row r="57" spans="1:7">
      <c r="B57" s="265" t="s">
        <v>803</v>
      </c>
      <c r="C57" s="266">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3" t="str">
        <f>项目基本情况!B1</f>
        <v>廊坊经济技术开发区友谊路木兰道10号13-16幢房地产抵押价值预评估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67261.53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67261.53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180</v>
      </c>
      <c r="F19" s="756"/>
      <c r="G19" s="12"/>
      <c r="H19" s="1108"/>
      <c r="I19" s="761"/>
      <c r="J19" s="761"/>
      <c r="K19" s="762"/>
    </row>
    <row r="20" spans="1:33" s="755" customFormat="1" ht="13.5" customHeight="1">
      <c r="A20" s="752" t="s">
        <v>361</v>
      </c>
      <c r="B20" s="753" t="s">
        <v>1627</v>
      </c>
      <c r="C20" s="21">
        <f ca="1">ROUND(D20*E20/10000,0)</f>
        <v>1211</v>
      </c>
      <c r="D20" s="796">
        <f ca="1">IF(C1="",'数据-汇总表'!E6,IF(INDIRECT("'数据-取费表'!c"&amp;$K$1)="住宅",INDIRECT("'数据-取费表'!s"&amp;$K$1),INDIRECT("'数据-取费表'!k"&amp;$K$1)+INDIRECT("'数据-取费表'!s"&amp;$K$1)))</f>
        <v>67261.53</v>
      </c>
      <c r="E20" s="21">
        <f>'数据-取费表'!B28</f>
        <v>180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54" sqref="M5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28587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4250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4112</v>
      </c>
      <c r="D5" s="203" t="s">
        <v>1469</v>
      </c>
      <c r="E5" s="204" t="s">
        <v>1470</v>
      </c>
      <c r="F5" s="204" t="s">
        <v>1471</v>
      </c>
      <c r="G5" s="205"/>
    </row>
    <row r="6" spans="1:9" s="206" customFormat="1" ht="13.5" customHeight="1">
      <c r="A6" s="732" t="s">
        <v>1472</v>
      </c>
      <c r="B6" s="207" t="s">
        <v>1473</v>
      </c>
      <c r="C6" s="208">
        <f>'土地比较法-工业'!B2</f>
        <v>3990</v>
      </c>
      <c r="D6" s="209"/>
      <c r="E6" s="210"/>
      <c r="F6" s="210"/>
      <c r="G6" s="211"/>
    </row>
    <row r="7" spans="1:9" s="206" customFormat="1" ht="13.5" customHeight="1">
      <c r="A7" s="732" t="s">
        <v>1474</v>
      </c>
      <c r="B7" s="207" t="s">
        <v>1475</v>
      </c>
      <c r="C7" s="212">
        <f>ROUND(C6*F7,0)</f>
        <v>122</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3481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180</v>
      </c>
      <c r="F9" s="213"/>
      <c r="G9" s="1715"/>
      <c r="H9" s="1070"/>
      <c r="I9" s="1716" t="s">
        <v>1479</v>
      </c>
    </row>
    <row r="10" spans="1:9" s="206" customFormat="1" ht="13.5" customHeight="1">
      <c r="A10" s="733" t="s">
        <v>356</v>
      </c>
      <c r="B10" s="216" t="s">
        <v>1480</v>
      </c>
      <c r="C10" s="217">
        <f ca="1">ROUND(D10*E10/10000,0)</f>
        <v>1211</v>
      </c>
      <c r="D10" s="795">
        <f ca="1">IF(B1="",'数据-汇总表'!E6,IF(INDIRECT("'数据-取费表'!c"&amp;$G$1)="住宅",INDIRECT("'数据-取费表'!s"&amp;$G$1),INDIRECT("'数据-取费表'!k"&amp;$G$1)+INDIRECT("'数据-取费表'!s"&amp;$G$1)))</f>
        <v>67261.53</v>
      </c>
      <c r="E10" s="217">
        <f>'数据-取费表'!B28</f>
        <v>180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67261.53</v>
      </c>
      <c r="E19" s="203">
        <f>'数据-取费表'!B31</f>
        <v>200</v>
      </c>
      <c r="F19" s="223"/>
      <c r="G19" s="1714" t="s">
        <v>3482</v>
      </c>
    </row>
    <row r="20" spans="1:7" s="206" customFormat="1" ht="13.5" customHeight="1">
      <c r="A20" s="247" t="s">
        <v>1493</v>
      </c>
      <c r="B20" s="202" t="s">
        <v>1494</v>
      </c>
      <c r="C20" s="224">
        <f>ROUND((C5+C19)*F20,0)</f>
        <v>82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262</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259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210</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210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5039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21497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18833</v>
      </c>
      <c r="D34" s="209"/>
      <c r="E34" s="212"/>
      <c r="F34" s="249">
        <f ca="1">IF('数据-取费表'!B24=0,1,IF(B1="",'数据-取费表'!N16,INDIRECT("'数据-取费表'!n"&amp;$G$1)))</f>
        <v>1</v>
      </c>
      <c r="G34" s="211" t="s">
        <v>1526</v>
      </c>
    </row>
    <row r="35" spans="1:7" ht="13.5" customHeight="1">
      <c r="A35" s="734" t="s">
        <v>351</v>
      </c>
      <c r="B35" s="207" t="s">
        <v>1527</v>
      </c>
      <c r="C35" s="212">
        <f ca="1">ROUND(C34*F35,0)</f>
        <v>942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1345</v>
      </c>
      <c r="D37" s="209">
        <f ca="1">D19</f>
        <v>67261.53</v>
      </c>
      <c r="E37" s="241">
        <f>'数据-取费表'!B35</f>
        <v>200</v>
      </c>
      <c r="F37" s="251"/>
      <c r="G37" s="253" t="s">
        <v>1532</v>
      </c>
    </row>
    <row r="38" spans="1:7" ht="13.5" customHeight="1">
      <c r="A38" s="734" t="s">
        <v>354</v>
      </c>
      <c r="B38" s="207" t="s">
        <v>1533</v>
      </c>
      <c r="C38" s="212">
        <f ca="1">ROUND(C34*F38,0)</f>
        <v>377</v>
      </c>
      <c r="D38" s="212"/>
      <c r="E38" s="212"/>
      <c r="F38" s="251">
        <f>'数据-取费表'!B36</f>
        <v>0.02</v>
      </c>
      <c r="G38" s="211" t="s">
        <v>1528</v>
      </c>
    </row>
    <row r="39" spans="1:7" s="206" customFormat="1" ht="13.5" customHeight="1">
      <c r="A39" s="247" t="s">
        <v>1534</v>
      </c>
      <c r="B39" s="202" t="s">
        <v>1535</v>
      </c>
      <c r="C39" s="224">
        <f ca="1">ROUND(C33*F20,0)</f>
        <v>430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679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666</v>
      </c>
      <c r="D42" s="230"/>
      <c r="E42" s="230"/>
      <c r="F42" s="231"/>
      <c r="G42" s="3355" t="s">
        <v>1544</v>
      </c>
    </row>
    <row r="43" spans="1:7" ht="13.5" customHeight="1">
      <c r="A43" s="734" t="s">
        <v>347</v>
      </c>
      <c r="B43" s="207" t="s">
        <v>1545</v>
      </c>
      <c r="C43" s="230">
        <f ca="1">ROUND(IF('数据-取费表'!B22&lt;=1,C39*F22*'数据-取费表'!B21/2,C39*(POWER((1+F22),'数据-取费表'!B21/2)-1)),0)</f>
        <v>13</v>
      </c>
      <c r="D43" s="230"/>
      <c r="E43" s="230"/>
      <c r="F43" s="231"/>
      <c r="G43" s="3356"/>
    </row>
    <row r="44" spans="1:7" ht="13.5" customHeight="1">
      <c r="A44" s="734" t="s">
        <v>348</v>
      </c>
      <c r="B44" s="207" t="s">
        <v>1546</v>
      </c>
      <c r="C44" s="230">
        <f ca="1">ROUND(IF('数据-取费表'!B22&lt;=1,C40*F22*'数据-取费表'!B21/2,C40*(POWER((1+F22),'数据-取费表'!B21/2)-1)),4)</f>
        <v>5.9999999999999995E-4</v>
      </c>
      <c r="D44" s="230"/>
      <c r="E44" s="230"/>
      <c r="F44" s="231"/>
      <c r="G44" s="3357"/>
    </row>
    <row r="45" spans="1:7" s="206" customFormat="1" ht="13.5" customHeight="1">
      <c r="A45" s="247" t="s">
        <v>1547</v>
      </c>
      <c r="B45" s="236" t="s">
        <v>1513</v>
      </c>
      <c r="C45" s="237">
        <f ca="1">C46</f>
        <v>1096</v>
      </c>
      <c r="D45" s="227">
        <f ca="1">C47</f>
        <v>1E-3</v>
      </c>
      <c r="E45" s="228" t="s">
        <v>1539</v>
      </c>
      <c r="F45" s="238">
        <f ca="1">F27</f>
        <v>0.05</v>
      </c>
      <c r="G45" s="239" t="s">
        <v>1548</v>
      </c>
    </row>
    <row r="46" spans="1:7" s="206" customFormat="1" ht="13.5" customHeight="1">
      <c r="A46" s="734" t="s">
        <v>346</v>
      </c>
      <c r="B46" s="240" t="s">
        <v>1549</v>
      </c>
      <c r="C46" s="241">
        <f ca="1">ROUND((C33+C39)*F27,0)</f>
        <v>1096</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25596</v>
      </c>
      <c r="D49" s="224"/>
      <c r="E49" s="224"/>
      <c r="F49" s="256"/>
      <c r="G49" s="226" t="s">
        <v>1554</v>
      </c>
    </row>
    <row r="50" spans="1:7" s="250" customFormat="1" ht="24">
      <c r="A50" s="247" t="s">
        <v>1555</v>
      </c>
      <c r="B50" s="202" t="s">
        <v>1556</v>
      </c>
      <c r="C50" s="224"/>
      <c r="D50" s="224"/>
      <c r="E50" s="224"/>
      <c r="F50" s="256">
        <f>IF('数据-取费表'!B24=0,'数据-取费表'!N16,1)</f>
        <v>0.92</v>
      </c>
      <c r="G50" s="239" t="s">
        <v>1557</v>
      </c>
    </row>
    <row r="51" spans="1:7" ht="16.5" customHeight="1">
      <c r="A51" s="247" t="s">
        <v>1558</v>
      </c>
      <c r="B51" s="202" t="s">
        <v>1559</v>
      </c>
      <c r="C51" s="224">
        <f ca="1">ROUND(C49*F50,0)</f>
        <v>23548</v>
      </c>
      <c r="D51" s="224"/>
      <c r="E51" s="224"/>
      <c r="F51" s="256"/>
      <c r="G51" s="226" t="s">
        <v>1560</v>
      </c>
    </row>
    <row r="52" spans="1:7" s="200" customFormat="1" ht="16.5" thickBot="1">
      <c r="A52" s="257" t="s">
        <v>1561</v>
      </c>
      <c r="B52" s="258"/>
      <c r="C52" s="259">
        <f ca="1">C31+C51</f>
        <v>28587</v>
      </c>
      <c r="D52" s="258"/>
      <c r="E52" s="258"/>
      <c r="F52" s="258"/>
      <c r="G52" s="260"/>
    </row>
    <row r="55" spans="1:7" ht="15">
      <c r="B55" s="262" t="s">
        <v>1562</v>
      </c>
      <c r="C55" s="263"/>
    </row>
    <row r="56" spans="1:7">
      <c r="B56" s="265" t="s">
        <v>802</v>
      </c>
      <c r="C56" s="267">
        <f ca="1">1-C57</f>
        <v>0.17600000000000005</v>
      </c>
    </row>
    <row r="57" spans="1:7">
      <c r="B57" s="265" t="s">
        <v>803</v>
      </c>
      <c r="C57" s="266">
        <f ca="1">ROUND(C51/C52,3)</f>
        <v>0.82399999999999995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41.82</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28386</v>
      </c>
      <c r="C2" s="1289" t="s">
        <v>805</v>
      </c>
      <c r="D2" s="1289"/>
      <c r="E2" s="1295"/>
      <c r="F2" s="1296"/>
      <c r="G2" s="2477"/>
      <c r="H2" s="2467"/>
      <c r="I2" s="2467"/>
      <c r="J2" s="2467"/>
      <c r="K2" s="2468"/>
      <c r="L2" s="2467"/>
      <c r="M2" s="2467"/>
    </row>
    <row r="3" spans="1:37" ht="18" customHeight="1" thickBot="1">
      <c r="A3" s="1297" t="s">
        <v>806</v>
      </c>
      <c r="B3" s="1298">
        <f ca="1">IF(ISERROR(B2*10000/F43),0,ROUND(B2*10000/F43,0))</f>
        <v>4220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1770</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1768</v>
      </c>
      <c r="D6" s="147" t="s">
        <v>2108</v>
      </c>
      <c r="E6" s="294" t="s">
        <v>696</v>
      </c>
      <c r="F6" s="295">
        <f ca="1">INDIRECT("'数据-取费表'!u"&amp;$G$1)</f>
        <v>0.8</v>
      </c>
      <c r="G6" s="1292"/>
      <c r="H6" s="1006" t="s">
        <v>398</v>
      </c>
      <c r="I6" s="3360" t="s">
        <v>694</v>
      </c>
      <c r="J6" s="293">
        <f ca="1">ROUND(M6*M8*M7*(1-M9)/10000,0)</f>
        <v>0</v>
      </c>
      <c r="K6" s="147"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67261.53</v>
      </c>
      <c r="G7" s="1292"/>
      <c r="H7" s="296"/>
      <c r="I7" s="3361"/>
      <c r="J7" s="298"/>
      <c r="K7" s="299"/>
      <c r="L7" s="294" t="s">
        <v>697</v>
      </c>
      <c r="M7" s="295">
        <f ca="1">F7</f>
        <v>67261.53</v>
      </c>
    </row>
    <row r="8" spans="1:37" ht="18" customHeight="1">
      <c r="A8" s="296"/>
      <c r="B8" s="3361"/>
      <c r="C8" s="298"/>
      <c r="D8" s="299"/>
      <c r="E8" s="294" t="s">
        <v>698</v>
      </c>
      <c r="F8" s="295">
        <f ca="1">INDIRECT("'数据-取费表'!ai"&amp;$G$1)</f>
        <v>365</v>
      </c>
      <c r="G8" s="1292"/>
      <c r="H8" s="296"/>
      <c r="I8" s="3361"/>
      <c r="J8" s="298"/>
      <c r="K8" s="299"/>
      <c r="L8" s="294" t="s">
        <v>698</v>
      </c>
      <c r="M8" s="295">
        <f ca="1">INDIRECT("'数据-取费表'!ai"&amp;$G$1)</f>
        <v>365</v>
      </c>
    </row>
    <row r="9" spans="1:37" ht="18" customHeight="1">
      <c r="A9" s="296"/>
      <c r="B9" s="3362"/>
      <c r="C9" s="298"/>
      <c r="D9" s="299"/>
      <c r="E9" s="294" t="s">
        <v>699</v>
      </c>
      <c r="F9" s="304">
        <f ca="1">INDIRECT("'数据-取费表'!w"&amp;$G$1)</f>
        <v>0.1</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2116</v>
      </c>
      <c r="E10" s="305" t="s">
        <v>701</v>
      </c>
      <c r="F10" s="1053" t="s">
        <v>3483</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23548</v>
      </c>
      <c r="D13" s="1018" t="s">
        <v>705</v>
      </c>
      <c r="E13" s="1018" t="s">
        <v>706</v>
      </c>
      <c r="F13" s="1019">
        <f ca="1">INDIRECT("'数据-取费表'!y"&amp;$G$1)</f>
        <v>0.92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18833</v>
      </c>
      <c r="D14" s="1257" t="s">
        <v>708</v>
      </c>
      <c r="E14" s="1255"/>
      <c r="F14" s="311"/>
      <c r="G14" s="1292"/>
      <c r="H14" s="928" t="s">
        <v>398</v>
      </c>
      <c r="I14" s="294" t="s">
        <v>709</v>
      </c>
      <c r="J14" s="21">
        <f ca="1">C29</f>
        <v>25596</v>
      </c>
      <c r="K14" s="12"/>
      <c r="L14" s="759"/>
      <c r="M14" s="760"/>
    </row>
    <row r="15" spans="1:37" s="1304" customFormat="1" ht="18" customHeight="1" thickBot="1">
      <c r="A15" s="928" t="s">
        <v>399</v>
      </c>
      <c r="B15" s="294" t="s">
        <v>710</v>
      </c>
      <c r="C15" s="21">
        <f ca="1">ROUND(C14*F15,0)</f>
        <v>942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152</v>
      </c>
      <c r="K16" s="1024" t="s">
        <v>715</v>
      </c>
      <c r="L16" s="1025"/>
      <c r="M16" s="1009"/>
    </row>
    <row r="17" spans="1:37" s="1304" customFormat="1" ht="18" customHeight="1">
      <c r="A17" s="928" t="s">
        <v>681</v>
      </c>
      <c r="B17" s="294" t="s">
        <v>716</v>
      </c>
      <c r="C17" s="21">
        <f ca="1">ROUND(F17*(F43+INDIRECT("'数据-取费表'!S"&amp;$G$1))/10000,0)</f>
        <v>1345</v>
      </c>
      <c r="D17" s="294" t="s">
        <v>717</v>
      </c>
      <c r="E17" s="294" t="s">
        <v>718</v>
      </c>
      <c r="F17" s="23">
        <f>'数据-取费表'!B35</f>
        <v>200</v>
      </c>
      <c r="G17" s="1303"/>
      <c r="H17" s="928" t="s">
        <v>398</v>
      </c>
      <c r="I17" s="294" t="s">
        <v>719</v>
      </c>
      <c r="J17" s="2140">
        <f ca="1">ROUND(IF(AND(项目基本情况!B11="自然人",项目基本情况!B10="北京市"),J6*M17/(1+'数据-取费表'!C42),J18+J19+J20),2)</f>
        <v>23.54</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377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21497</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430</v>
      </c>
      <c r="D20" s="315" t="s">
        <v>729</v>
      </c>
      <c r="E20" s="294" t="s">
        <v>712</v>
      </c>
      <c r="F20" s="314">
        <f>'数据-取费表'!B37</f>
        <v>0.02</v>
      </c>
      <c r="G20" s="1303"/>
      <c r="H20" s="928" t="s">
        <v>680</v>
      </c>
      <c r="I20" s="147" t="s">
        <v>730</v>
      </c>
      <c r="J20" s="22">
        <f ca="1">ROUND(M20*M21/10000,2)</f>
        <v>23.54</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58848.03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127.98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679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-152</v>
      </c>
      <c r="K25" s="1032" t="s">
        <v>753</v>
      </c>
      <c r="L25" s="1033"/>
      <c r="M25" s="1034"/>
    </row>
    <row r="26" spans="1:37">
      <c r="A26" s="928" t="s">
        <v>397</v>
      </c>
      <c r="B26" s="294" t="s">
        <v>754</v>
      </c>
      <c r="C26" s="21">
        <f ca="1">ROUND((C19+C20)*F26,0)</f>
        <v>1096</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25596</v>
      </c>
      <c r="D29" s="1029"/>
      <c r="E29" s="1027"/>
      <c r="F29" s="1030"/>
      <c r="G29" s="1303"/>
      <c r="H29" s="325" t="s">
        <v>396</v>
      </c>
      <c r="I29" s="326" t="s">
        <v>768</v>
      </c>
      <c r="J29" s="327">
        <f ca="1">ROUND(J26/(1+F40)^F41,0)</f>
        <v>0</v>
      </c>
      <c r="K29" s="328" t="s">
        <v>769</v>
      </c>
      <c r="L29" s="329"/>
      <c r="M29" s="330">
        <f ca="1">INDIRECT("'数据-取费表'!k"&amp;$G$1)</f>
        <v>67261.53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479</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318.20999999999998</v>
      </c>
      <c r="D31" s="1257" t="s">
        <v>720</v>
      </c>
      <c r="E31" s="1256" t="s">
        <v>770</v>
      </c>
      <c r="F31" s="2139"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IF(项目基本情况!B11="自然人","——",ROUND(C6*F32/(1+'数据-取费表'!C42),2))</f>
        <v>92.61</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202.06</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23.54</v>
      </c>
      <c r="D34" s="316" t="s">
        <v>731</v>
      </c>
      <c r="E34" s="294" t="s">
        <v>732</v>
      </c>
      <c r="F34" s="317">
        <f>'数据-取费表'!B52</f>
        <v>4</v>
      </c>
      <c r="G34" s="1292"/>
      <c r="H34" s="2469"/>
      <c r="I34" s="1305"/>
      <c r="J34" s="1306"/>
      <c r="K34" s="2474"/>
      <c r="L34" s="2475"/>
      <c r="M34" s="2475"/>
    </row>
    <row r="35" spans="1:18" ht="18" customHeight="1">
      <c r="A35" s="1040"/>
      <c r="B35" s="1038"/>
      <c r="C35" s="26"/>
      <c r="D35" s="319"/>
      <c r="E35" s="294" t="s">
        <v>736</v>
      </c>
      <c r="F35" s="295">
        <f ca="1">INDIRECT("'数据-取费表'!r"&amp;$G$1)</f>
        <v>58848.03</v>
      </c>
      <c r="G35" s="1292"/>
      <c r="H35" s="2469"/>
      <c r="I35" s="1305"/>
      <c r="J35" s="1306"/>
      <c r="K35" s="2473"/>
      <c r="L35" s="2472"/>
      <c r="M35" s="2472"/>
    </row>
    <row r="36" spans="1:18" ht="18" customHeight="1">
      <c r="A36" s="1039" t="s">
        <v>402</v>
      </c>
      <c r="B36" s="294" t="s">
        <v>738</v>
      </c>
      <c r="C36" s="21">
        <f ca="1">ROUND(C29*F36,2)</f>
        <v>127.98</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ROUND(C13*F37,2)</f>
        <v>23.55</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8.85</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1291</v>
      </c>
      <c r="D39" s="1032" t="s">
        <v>773</v>
      </c>
      <c r="E39" s="1033"/>
      <c r="F39" s="1034"/>
      <c r="G39" s="1292"/>
      <c r="H39" s="2472"/>
      <c r="I39" s="1305"/>
      <c r="J39" s="1306"/>
      <c r="K39" s="2470"/>
      <c r="L39" s="2472"/>
      <c r="M39" s="2472"/>
    </row>
    <row r="40" spans="1:18" ht="18" customHeight="1">
      <c r="A40" s="291" t="s">
        <v>395</v>
      </c>
      <c r="B40" s="292" t="s">
        <v>774</v>
      </c>
      <c r="C40" s="293">
        <f ca="1">ROUND(C39*(1-((1+F42)/(1+F40))^F41)/(F40-F42),0)</f>
        <v>27889</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41.82</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f ca="1">C39/C5</f>
        <v>0.7293785310734463</v>
      </c>
      <c r="I42" s="1305"/>
      <c r="J42" s="1306"/>
      <c r="K42" s="2330"/>
      <c r="L42" s="121"/>
      <c r="M42" s="121"/>
    </row>
    <row r="43" spans="1:18" ht="18" customHeight="1" thickBot="1">
      <c r="A43" s="325" t="s">
        <v>396</v>
      </c>
      <c r="B43" s="326" t="s">
        <v>776</v>
      </c>
      <c r="C43" s="327">
        <f ca="1">ROUND(C40*10000/F43,0)</f>
        <v>4146</v>
      </c>
      <c r="D43" s="328" t="s">
        <v>777</v>
      </c>
      <c r="E43" s="329" t="s">
        <v>778</v>
      </c>
      <c r="F43" s="330">
        <f ca="1">INDIRECT("'数据-取费表'!k"&amp;$G$1)</f>
        <v>67261.53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f ca="1">C68-C40</f>
        <v>-30748</v>
      </c>
      <c r="D46" s="1313" t="str">
        <f>C2</f>
        <v>万元</v>
      </c>
      <c r="E46" s="1307"/>
      <c r="F46" s="1307"/>
      <c r="I46" s="1314" t="s">
        <v>810</v>
      </c>
      <c r="J46" s="1315"/>
      <c r="K46" s="1316"/>
      <c r="L46" s="1317">
        <f ca="1">IF(M47="住宅",0,IF(L48&gt;J51,L60,J60))</f>
        <v>497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3484</v>
      </c>
      <c r="K47" s="1323" t="s">
        <v>816</v>
      </c>
      <c r="L47" s="1324">
        <f ca="1">INDIRECT("'数据-取费表'!d"&amp;$G$1)</f>
        <v>50</v>
      </c>
      <c r="M47" s="1288" t="str">
        <f>IF(ISNUMBER(FIND("住宅",C1)),"住宅","非住宅")</f>
        <v>非住宅</v>
      </c>
      <c r="O47" s="1325" t="s">
        <v>403</v>
      </c>
      <c r="P47" s="1326" t="s">
        <v>817</v>
      </c>
      <c r="Q47" s="1327">
        <f ca="1">C40+J29</f>
        <v>27889</v>
      </c>
      <c r="R47" s="1327" t="s">
        <v>818</v>
      </c>
    </row>
    <row r="48" spans="1:18" s="1292" customFormat="1" ht="28.5" thickBot="1">
      <c r="A48" s="1047" t="s">
        <v>438</v>
      </c>
      <c r="B48" s="292" t="s">
        <v>692</v>
      </c>
      <c r="C48" s="1268">
        <f ca="1">C49+C53+C55</f>
        <v>0</v>
      </c>
      <c r="D48" s="1049"/>
      <c r="E48" s="1050"/>
      <c r="F48" s="908"/>
      <c r="G48" s="681"/>
      <c r="H48" s="682"/>
      <c r="I48" s="1328" t="s">
        <v>819</v>
      </c>
      <c r="J48" s="3164" t="s">
        <v>3485</v>
      </c>
      <c r="K48" s="1330" t="s">
        <v>820</v>
      </c>
      <c r="L48" s="1331">
        <f ca="1">INDIRECT("'数据-取费表'!f"&amp;$G$1)</f>
        <v>41.82</v>
      </c>
      <c r="O48" s="1325" t="s">
        <v>404</v>
      </c>
      <c r="P48" s="1326" t="s">
        <v>821</v>
      </c>
      <c r="Q48" s="1327">
        <f ca="1">J60</f>
        <v>497</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f>'数据-取费表'!$N$18</f>
        <v>2020</v>
      </c>
      <c r="K49" s="1330" t="s">
        <v>824</v>
      </c>
      <c r="L49" s="1333"/>
      <c r="O49" s="1334" t="s">
        <v>405</v>
      </c>
      <c r="P49" s="1326" t="s">
        <v>825</v>
      </c>
      <c r="Q49" s="1327">
        <f ca="1">C29</f>
        <v>25596</v>
      </c>
      <c r="R49" s="1327" t="s">
        <v>818</v>
      </c>
    </row>
    <row r="50" spans="1:18" s="1292" customFormat="1" ht="13.5" thickBot="1">
      <c r="A50" s="922"/>
      <c r="B50" s="925"/>
      <c r="C50" s="1055"/>
      <c r="D50" s="899"/>
      <c r="E50" s="993" t="s">
        <v>697</v>
      </c>
      <c r="F50" s="994">
        <f ca="1">F7</f>
        <v>67261.53</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-6352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41.82</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41.82</v>
      </c>
      <c r="K53" s="3358" t="s">
        <v>837</v>
      </c>
      <c r="L53" s="3359"/>
      <c r="O53" s="1325" t="s">
        <v>409</v>
      </c>
      <c r="P53" s="1326" t="s">
        <v>838</v>
      </c>
      <c r="Q53" s="1327">
        <f ca="1">Q47+Q48</f>
        <v>28386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6.4000000000000001E-2</v>
      </c>
      <c r="K55" s="1350" t="s">
        <v>841</v>
      </c>
      <c r="L55" s="1351"/>
      <c r="O55" s="1318" t="s">
        <v>811</v>
      </c>
      <c r="P55" s="1319" t="s">
        <v>812</v>
      </c>
      <c r="Q55" s="1320" t="s">
        <v>813</v>
      </c>
      <c r="R55" s="1320" t="s">
        <v>814</v>
      </c>
    </row>
    <row r="56" spans="1:18" s="1292" customFormat="1" ht="25.5" thickTop="1" thickBot="1">
      <c r="A56" s="903">
        <v>2</v>
      </c>
      <c r="B56" s="904" t="s">
        <v>704</v>
      </c>
      <c r="C56" s="224">
        <f ca="1">C13</f>
        <v>23548</v>
      </c>
      <c r="D56" s="1352"/>
      <c r="E56" s="1353"/>
      <c r="F56" s="1345"/>
      <c r="I56" s="1354" t="s">
        <v>842</v>
      </c>
      <c r="J56" s="1355" t="s">
        <v>3486</v>
      </c>
      <c r="K56" s="1328" t="s">
        <v>843</v>
      </c>
      <c r="L56" s="1331" t="str">
        <f ca="1">IF(L48&lt;J51,"——",L48-J53)</f>
        <v>——</v>
      </c>
      <c r="O56" s="1325" t="s">
        <v>403</v>
      </c>
      <c r="P56" s="1326" t="s">
        <v>817</v>
      </c>
      <c r="Q56" s="1327">
        <f ca="1">C40+J29</f>
        <v>27889</v>
      </c>
      <c r="R56" s="1327" t="s">
        <v>818</v>
      </c>
    </row>
    <row r="57" spans="1:18" s="1292" customFormat="1" ht="24.75" thickBot="1">
      <c r="A57" s="1356"/>
      <c r="B57" s="896" t="s">
        <v>767</v>
      </c>
      <c r="C57" s="230">
        <f ca="1">C29</f>
        <v>25596</v>
      </c>
      <c r="D57" s="1357"/>
      <c r="E57" s="1358"/>
      <c r="F57" s="1359"/>
      <c r="I57" s="1360" t="s">
        <v>844</v>
      </c>
      <c r="J57" s="1361">
        <f ca="1">IF(OR(M47="住宅",J51&lt;L48,J56="是"),"——",J51-L48)</f>
        <v>3.1799999999999997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176</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24</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10238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497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23.54</v>
      </c>
      <c r="D62" s="911" t="s">
        <v>786</v>
      </c>
      <c r="E62" s="896" t="s">
        <v>787</v>
      </c>
      <c r="F62" s="317">
        <f t="shared" si="0"/>
        <v>4</v>
      </c>
      <c r="I62" s="1367" t="s">
        <v>858</v>
      </c>
      <c r="J62" s="610" t="s">
        <v>859</v>
      </c>
      <c r="K62" s="610" t="s">
        <v>860</v>
      </c>
      <c r="L62" s="610" t="s">
        <v>861</v>
      </c>
      <c r="M62" s="1368" t="s">
        <v>862</v>
      </c>
      <c r="O62" s="1325" t="s">
        <v>409</v>
      </c>
      <c r="P62" s="1326" t="s">
        <v>863</v>
      </c>
      <c r="Q62" s="1327">
        <f ca="1">Q56+Q57</f>
        <v>27889</v>
      </c>
      <c r="R62" s="1327" t="s">
        <v>410</v>
      </c>
    </row>
    <row r="63" spans="1:18" s="1292" customFormat="1" ht="13.5" thickBot="1">
      <c r="A63" s="318"/>
      <c r="B63" s="902"/>
      <c r="C63" s="26"/>
      <c r="D63" s="912"/>
      <c r="E63" s="896" t="s">
        <v>788</v>
      </c>
      <c r="F63" s="295">
        <f t="shared" ca="1" si="0"/>
        <v>58848.03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127.98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23.55</v>
      </c>
      <c r="D65" s="910" t="s">
        <v>743</v>
      </c>
      <c r="E65" s="896" t="s">
        <v>744</v>
      </c>
      <c r="F65" s="321">
        <f t="shared" ca="1" si="0"/>
        <v>1E-3</v>
      </c>
      <c r="I65" s="1367" t="s">
        <v>867</v>
      </c>
      <c r="J65" s="610">
        <v>40</v>
      </c>
      <c r="K65" s="610">
        <v>30</v>
      </c>
      <c r="L65" s="610">
        <v>50</v>
      </c>
      <c r="M65" s="1369">
        <v>0.02</v>
      </c>
      <c r="O65" s="1325" t="s">
        <v>403</v>
      </c>
      <c r="P65" s="1326" t="s">
        <v>868</v>
      </c>
      <c r="Q65" s="1327">
        <f ca="1">C40+J29</f>
        <v>27889</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-176</v>
      </c>
      <c r="D67" s="909" t="s">
        <v>753</v>
      </c>
      <c r="E67" s="914"/>
      <c r="F67" s="915"/>
      <c r="O67" s="1334" t="s">
        <v>405</v>
      </c>
      <c r="P67" s="1326" t="s">
        <v>850</v>
      </c>
      <c r="Q67" s="1370">
        <f ca="1">L51</f>
        <v>-6352</v>
      </c>
      <c r="R67" s="1327" t="s">
        <v>870</v>
      </c>
    </row>
    <row r="68" spans="1:18" s="1292" customFormat="1" ht="16.5" thickBot="1">
      <c r="A68" s="893" t="s">
        <v>395</v>
      </c>
      <c r="B68" s="894" t="s">
        <v>774</v>
      </c>
      <c r="C68" s="293">
        <f ca="1">ROUND(C67*(1-((1+F70)/(1+F68))^F69)/(F68-F70),0)</f>
        <v>-2859</v>
      </c>
      <c r="D68" s="911" t="s">
        <v>758</v>
      </c>
      <c r="E68" s="896" t="s">
        <v>759</v>
      </c>
      <c r="F68" s="304">
        <f ca="1">F40</f>
        <v>5.5E-2</v>
      </c>
      <c r="O68" s="1334" t="s">
        <v>406</v>
      </c>
      <c r="P68" s="1371" t="s">
        <v>871</v>
      </c>
      <c r="Q68" s="1327">
        <f ca="1">ROUND(Q69-Q70*Q71,0)</f>
        <v>-357</v>
      </c>
      <c r="R68" s="1327" t="s">
        <v>414</v>
      </c>
    </row>
    <row r="69" spans="1:18" s="1292" customFormat="1" ht="13.5" thickBot="1">
      <c r="A69" s="897"/>
      <c r="B69" s="898"/>
      <c r="C69" s="298"/>
      <c r="D69" s="916" t="s">
        <v>762</v>
      </c>
      <c r="E69" s="896" t="s">
        <v>763</v>
      </c>
      <c r="F69" s="324">
        <f ca="1">F41</f>
        <v>41.82</v>
      </c>
      <c r="O69" s="1334" t="s">
        <v>411</v>
      </c>
      <c r="P69" s="1371" t="s">
        <v>872</v>
      </c>
      <c r="Q69" s="1327">
        <f ca="1">C39</f>
        <v>1291</v>
      </c>
      <c r="R69" s="1327" t="s">
        <v>818</v>
      </c>
    </row>
    <row r="70" spans="1:18" s="1292" customFormat="1" ht="13.5" thickBot="1">
      <c r="A70" s="900"/>
      <c r="B70" s="901"/>
      <c r="C70" s="302"/>
      <c r="D70" s="912"/>
      <c r="E70" s="896" t="s">
        <v>766</v>
      </c>
      <c r="F70" s="991"/>
      <c r="O70" s="1334" t="s">
        <v>412</v>
      </c>
      <c r="P70" s="1371" t="s">
        <v>873</v>
      </c>
      <c r="Q70" s="1327">
        <f ca="1">C13</f>
        <v>23548</v>
      </c>
      <c r="R70" s="1327" t="s">
        <v>818</v>
      </c>
    </row>
    <row r="71" spans="1:18" s="1292" customFormat="1" ht="13.5" thickBot="1">
      <c r="A71" s="917" t="s">
        <v>396</v>
      </c>
      <c r="B71" s="918" t="s">
        <v>776</v>
      </c>
      <c r="C71" s="327">
        <f ca="1">ROUND(C68*10000/F71,0)</f>
        <v>-425</v>
      </c>
      <c r="D71" s="919" t="s">
        <v>777</v>
      </c>
      <c r="E71" s="920" t="s">
        <v>778</v>
      </c>
      <c r="F71" s="330">
        <f ca="1">F43</f>
        <v>67261.53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1648</v>
      </c>
      <c r="D75" s="1292"/>
      <c r="E75" s="1292"/>
      <c r="F75" s="1292"/>
      <c r="K75" s="1309"/>
      <c r="L75" s="1292"/>
      <c r="O75" s="1325" t="s">
        <v>409</v>
      </c>
      <c r="P75" s="1326" t="s">
        <v>838</v>
      </c>
      <c r="Q75" s="1327">
        <f ca="1">Q65+Q66</f>
        <v>27889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-0.27699999999999991</v>
      </c>
    </row>
    <row r="80" spans="1:18">
      <c r="B80" s="331" t="s">
        <v>800</v>
      </c>
      <c r="C80" s="266">
        <f ca="1">ROUND(C75/C39,3)</f>
        <v>1.2769999999999999</v>
      </c>
    </row>
    <row r="81" spans="2:3">
      <c r="B81" s="262" t="s">
        <v>801</v>
      </c>
      <c r="C81" s="230"/>
    </row>
    <row r="82" spans="2:3">
      <c r="B82" s="265" t="s">
        <v>802</v>
      </c>
      <c r="C82" s="267">
        <f ca="1">1-C83</f>
        <v>0.15600000000000003</v>
      </c>
    </row>
    <row r="83" spans="2:3">
      <c r="B83" s="265" t="s">
        <v>803</v>
      </c>
      <c r="C83" s="266">
        <f ca="1">ROUND(C13/C40,3)</f>
        <v>0.84399999999999997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0</v>
      </c>
      <c r="D6" s="147" t="s">
        <v>2105</v>
      </c>
      <c r="E6" s="294" t="s">
        <v>696</v>
      </c>
      <c r="F6" s="295">
        <f ca="1">INDIRECT("'数据-取费表'!u"&amp;$G$1)</f>
        <v>0</v>
      </c>
      <c r="G6" s="1292"/>
      <c r="H6" s="1006" t="s">
        <v>398</v>
      </c>
      <c r="I6" s="3360" t="s">
        <v>694</v>
      </c>
      <c r="J6" s="293">
        <f ca="1">ROUND(M6*M8*M7*(1-M9),0)</f>
        <v>0</v>
      </c>
      <c r="K6" s="1284" t="s">
        <v>2106</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4</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3351</v>
      </c>
      <c r="B45" s="1307"/>
      <c r="C45" s="1376" t="e">
        <f ca="1">ROUND((C68-C40)/10000,4)</f>
        <v>#DIV/0!</v>
      </c>
      <c r="D45" s="3129" t="s">
        <v>3352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4</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15" customHeight="1">
      <c r="A2" s="1293" t="s">
        <v>2314</v>
      </c>
      <c r="B2" s="2593" t="e">
        <f>IF(D2="——",C40,C40+E2)</f>
        <v>#DIV/0!</v>
      </c>
      <c r="C2" s="2594" t="s">
        <v>2315</v>
      </c>
      <c r="D2" s="3137" t="s">
        <v>3358</v>
      </c>
      <c r="E2" s="3138"/>
      <c r="F2" s="2596"/>
      <c r="G2" s="2597"/>
      <c r="H2" s="2598"/>
      <c r="I2" s="2599"/>
      <c r="J2" s="3369" t="s">
        <v>2316</v>
      </c>
      <c r="K2" s="3370"/>
      <c r="L2" s="2600" t="s">
        <v>2317</v>
      </c>
      <c r="M2" s="2600" t="s">
        <v>2318</v>
      </c>
      <c r="N2" s="2600" t="s">
        <v>2319</v>
      </c>
      <c r="O2" s="2600" t="s">
        <v>2320</v>
      </c>
      <c r="P2" s="2600" t="s">
        <v>2321</v>
      </c>
      <c r="Q2" s="2601" t="s">
        <v>2322</v>
      </c>
      <c r="R2" s="2602" t="s">
        <v>2323</v>
      </c>
      <c r="S2" s="2591"/>
      <c r="T2" s="2591"/>
      <c r="U2" s="2591"/>
      <c r="V2" s="2599"/>
    </row>
    <row r="3" spans="1:22" s="2603" customFormat="1" ht="13.15" customHeight="1">
      <c r="A3" s="2604" t="s">
        <v>2324</v>
      </c>
      <c r="B3" s="2605" t="e">
        <f>ROUND(B2*10000/B4,0)</f>
        <v>#DIV/0!</v>
      </c>
      <c r="C3" s="2594" t="s">
        <v>2325</v>
      </c>
      <c r="D3" s="2594"/>
      <c r="E3" s="2595"/>
      <c r="F3" s="2596"/>
      <c r="G3" s="2597"/>
      <c r="H3" s="2598"/>
      <c r="I3" s="2599"/>
      <c r="J3" s="3371" t="s">
        <v>2326</v>
      </c>
      <c r="K3" s="3372"/>
      <c r="L3" s="2606"/>
      <c r="M3" s="2606"/>
      <c r="N3" s="2606"/>
      <c r="O3" s="2606"/>
      <c r="P3" s="2606"/>
      <c r="Q3" s="2607"/>
      <c r="R3" s="2608">
        <f>SUM(L3:Q3)</f>
        <v>0</v>
      </c>
      <c r="S3" s="2591"/>
      <c r="T3" s="2591"/>
      <c r="U3" s="2591"/>
      <c r="V3" s="2599"/>
    </row>
    <row r="4" spans="1:22" s="2603" customFormat="1" ht="13.15" customHeight="1">
      <c r="A4" s="2609" t="s">
        <v>2327</v>
      </c>
      <c r="B4" s="2610"/>
      <c r="C4" s="2594"/>
      <c r="D4" s="2594"/>
      <c r="E4" s="2595"/>
      <c r="F4" s="2596"/>
      <c r="G4" s="2597"/>
      <c r="H4" s="2598"/>
      <c r="I4" s="2599"/>
      <c r="J4" s="3371" t="s">
        <v>2328</v>
      </c>
      <c r="K4" s="3372"/>
      <c r="L4" s="2611"/>
      <c r="M4" s="2611"/>
      <c r="N4" s="2611"/>
      <c r="O4" s="2611"/>
      <c r="P4" s="2611"/>
      <c r="Q4" s="2612"/>
      <c r="R4" s="2613">
        <f>SUM(L4:Q4)</f>
        <v>0</v>
      </c>
      <c r="S4" s="2591"/>
      <c r="T4" s="2591"/>
      <c r="U4" s="2591"/>
      <c r="V4" s="2599"/>
    </row>
    <row r="5" spans="1:22" s="2603" customFormat="1" ht="13.15"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15" customHeight="1" thickBot="1">
      <c r="A6" s="3377" t="s">
        <v>2332</v>
      </c>
      <c r="B6" s="3378"/>
      <c r="C6" s="3379"/>
      <c r="D6" s="2620"/>
      <c r="E6" s="2621"/>
      <c r="F6" s="2622"/>
      <c r="G6" s="2623"/>
      <c r="H6" s="2598"/>
      <c r="I6" s="2599"/>
      <c r="J6" s="3363">
        <v>1</v>
      </c>
      <c r="K6" s="3364"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15" customHeight="1">
      <c r="A7" s="2626" t="s">
        <v>2342</v>
      </c>
      <c r="B7" s="2627"/>
      <c r="C7" s="2628"/>
      <c r="D7" s="2629">
        <f>SUM(D9,D10,D11,D17,0)</f>
        <v>0</v>
      </c>
      <c r="E7" s="2630" t="e">
        <f>E9+E10+E11+E17</f>
        <v>#DIV/0!</v>
      </c>
      <c r="F7" s="2631"/>
      <c r="G7" s="2632"/>
      <c r="H7" s="2598"/>
      <c r="I7" s="2599"/>
      <c r="J7" s="3363"/>
      <c r="K7" s="3365"/>
      <c r="L7" s="2633" t="s">
        <v>2343</v>
      </c>
      <c r="M7" s="2634"/>
      <c r="N7" s="2610"/>
      <c r="O7" s="2635"/>
      <c r="P7" s="2635"/>
      <c r="Q7" s="2636">
        <v>365</v>
      </c>
      <c r="R7" s="2637">
        <f>ROUND(M7*N7*O7*P7*Q7/10000,0)</f>
        <v>0</v>
      </c>
      <c r="S7" s="2591"/>
      <c r="T7" s="2591" t="s">
        <v>2344</v>
      </c>
      <c r="U7" s="2591"/>
      <c r="V7" s="2599"/>
    </row>
    <row r="8" spans="1:22" s="2603" customFormat="1" ht="13.15" customHeight="1">
      <c r="A8" s="2638" t="s">
        <v>2345</v>
      </c>
      <c r="B8" s="3380" t="s">
        <v>2346</v>
      </c>
      <c r="C8" s="3381"/>
      <c r="D8" s="2639" t="s">
        <v>2347</v>
      </c>
      <c r="E8" s="2640" t="s">
        <v>2348</v>
      </c>
      <c r="F8" s="2641" t="s">
        <v>2349</v>
      </c>
      <c r="G8" s="2642"/>
      <c r="H8" s="2598"/>
      <c r="I8" s="2599"/>
      <c r="J8" s="3363"/>
      <c r="K8" s="3365"/>
      <c r="L8" s="2633" t="s">
        <v>2350</v>
      </c>
      <c r="M8" s="2634"/>
      <c r="N8" s="2610"/>
      <c r="O8" s="2635"/>
      <c r="P8" s="2635"/>
      <c r="Q8" s="2636">
        <v>365</v>
      </c>
      <c r="R8" s="2637">
        <f t="shared" ref="R8:R13" si="0">ROUND(M8*N8*O8*P8*Q8/10000,0)</f>
        <v>0</v>
      </c>
      <c r="S8" s="2591"/>
      <c r="T8" s="2591" t="s">
        <v>2351</v>
      </c>
      <c r="U8" s="2591"/>
      <c r="V8" s="2599"/>
    </row>
    <row r="9" spans="1:22" s="2603" customFormat="1" ht="13.15" customHeight="1">
      <c r="A9" s="2638">
        <v>1</v>
      </c>
      <c r="B9" s="3380" t="s">
        <v>2352</v>
      </c>
      <c r="C9" s="3381"/>
      <c r="D9" s="2639">
        <f>ROUND(D6*E9,0)</f>
        <v>0</v>
      </c>
      <c r="E9" s="2643"/>
      <c r="F9" s="2644" t="s">
        <v>2353</v>
      </c>
      <c r="G9" s="2623"/>
      <c r="H9" s="2598"/>
      <c r="I9" s="2599"/>
      <c r="J9" s="3363"/>
      <c r="K9" s="3365"/>
      <c r="L9" s="2633" t="s">
        <v>2354</v>
      </c>
      <c r="M9" s="2634"/>
      <c r="N9" s="2610"/>
      <c r="O9" s="2635"/>
      <c r="P9" s="2635"/>
      <c r="Q9" s="2636">
        <v>365</v>
      </c>
      <c r="R9" s="2637">
        <f t="shared" si="0"/>
        <v>0</v>
      </c>
      <c r="S9" s="2591"/>
      <c r="T9" s="2591"/>
      <c r="U9" s="2591"/>
      <c r="V9" s="2599"/>
    </row>
    <row r="10" spans="1:22" s="2603" customFormat="1" ht="13.15" customHeight="1">
      <c r="A10" s="2638">
        <v>2</v>
      </c>
      <c r="B10" s="3380" t="s">
        <v>2355</v>
      </c>
      <c r="C10" s="3381"/>
      <c r="D10" s="2639">
        <f>ROUND(D6*E10,0)</f>
        <v>0</v>
      </c>
      <c r="E10" s="2643"/>
      <c r="F10" s="2644" t="s">
        <v>2356</v>
      </c>
      <c r="G10" s="2623"/>
      <c r="H10" s="2598"/>
      <c r="I10" s="2599"/>
      <c r="J10" s="3363"/>
      <c r="K10" s="3365"/>
      <c r="L10" s="2633" t="s">
        <v>2357</v>
      </c>
      <c r="M10" s="2634"/>
      <c r="N10" s="2610"/>
      <c r="O10" s="2635"/>
      <c r="P10" s="2635"/>
      <c r="Q10" s="2636">
        <v>365</v>
      </c>
      <c r="R10" s="2637">
        <f t="shared" si="0"/>
        <v>0</v>
      </c>
      <c r="S10" s="2591"/>
      <c r="T10" s="2591"/>
      <c r="U10" s="2591"/>
      <c r="V10" s="2599"/>
    </row>
    <row r="11" spans="1:22" s="2603" customFormat="1" ht="13.15" customHeight="1">
      <c r="A11" s="2638">
        <v>3</v>
      </c>
      <c r="B11" s="3380" t="s">
        <v>2358</v>
      </c>
      <c r="C11" s="3381"/>
      <c r="D11" s="2639">
        <f>D12+D14+D15+D16</f>
        <v>0</v>
      </c>
      <c r="E11" s="2645" t="e">
        <f>D11/D6</f>
        <v>#DIV/0!</v>
      </c>
      <c r="F11" s="2641"/>
      <c r="G11" s="2642"/>
      <c r="H11" s="2598"/>
      <c r="I11" s="2599"/>
      <c r="J11" s="3363"/>
      <c r="K11" s="3365"/>
      <c r="L11" s="2633" t="s">
        <v>2359</v>
      </c>
      <c r="M11" s="2634"/>
      <c r="N11" s="2610"/>
      <c r="O11" s="2635"/>
      <c r="P11" s="2635"/>
      <c r="Q11" s="2636">
        <v>365</v>
      </c>
      <c r="R11" s="2637">
        <f t="shared" si="0"/>
        <v>0</v>
      </c>
      <c r="S11" s="2591"/>
      <c r="T11" s="2591"/>
      <c r="U11" s="2591"/>
      <c r="V11" s="2599"/>
    </row>
    <row r="12" spans="1:22" s="2603" customFormat="1" ht="13.15" customHeight="1">
      <c r="A12" s="2646" t="s">
        <v>2360</v>
      </c>
      <c r="B12" s="3373" t="s">
        <v>2361</v>
      </c>
      <c r="C12" s="3374"/>
      <c r="D12" s="2647">
        <f>ROUND(D13*1.2%*(1-30%),0)</f>
        <v>0</v>
      </c>
      <c r="E12" s="2648">
        <v>1.2E-2</v>
      </c>
      <c r="F12" s="2641" t="s">
        <v>2362</v>
      </c>
      <c r="G12" s="2642"/>
      <c r="H12" s="2598"/>
      <c r="I12" s="2599"/>
      <c r="J12" s="3363"/>
      <c r="K12" s="3365"/>
      <c r="L12" s="2633" t="s">
        <v>2363</v>
      </c>
      <c r="M12" s="2634"/>
      <c r="N12" s="2610"/>
      <c r="O12" s="2635"/>
      <c r="P12" s="2635"/>
      <c r="Q12" s="2636">
        <v>365</v>
      </c>
      <c r="R12" s="2637">
        <f t="shared" si="0"/>
        <v>0</v>
      </c>
      <c r="S12" s="2591"/>
      <c r="T12" s="2591"/>
      <c r="U12" s="2591"/>
      <c r="V12" s="2599"/>
    </row>
    <row r="13" spans="1:22" s="2603" customFormat="1" ht="13.15" customHeight="1">
      <c r="A13" s="2646"/>
      <c r="B13" s="2649"/>
      <c r="C13" s="2650" t="s">
        <v>2364</v>
      </c>
      <c r="D13" s="2651"/>
      <c r="E13" s="2652"/>
      <c r="F13" s="2641"/>
      <c r="G13" s="2642"/>
      <c r="H13" s="2598"/>
      <c r="I13" s="2599"/>
      <c r="J13" s="3363"/>
      <c r="K13" s="3365"/>
      <c r="L13" s="2633" t="s">
        <v>2365</v>
      </c>
      <c r="M13" s="2634"/>
      <c r="N13" s="2610"/>
      <c r="O13" s="2635"/>
      <c r="P13" s="2635"/>
      <c r="Q13" s="2636">
        <v>365</v>
      </c>
      <c r="R13" s="2637">
        <f t="shared" si="0"/>
        <v>0</v>
      </c>
      <c r="S13" s="2591"/>
      <c r="T13" s="2591"/>
      <c r="U13" s="2591"/>
      <c r="V13" s="2599"/>
    </row>
    <row r="14" spans="1:22" s="2603" customFormat="1" ht="13.15" customHeight="1">
      <c r="A14" s="2646" t="s">
        <v>2366</v>
      </c>
      <c r="B14" s="3373" t="s">
        <v>2367</v>
      </c>
      <c r="C14" s="3374"/>
      <c r="D14" s="2647">
        <f>ROUND(E14*B5/10000,0)</f>
        <v>0</v>
      </c>
      <c r="E14" s="2636"/>
      <c r="F14" s="2641" t="s">
        <v>2368</v>
      </c>
      <c r="G14" s="2642"/>
      <c r="H14" s="2598"/>
      <c r="I14" s="2599"/>
      <c r="J14" s="3363"/>
      <c r="K14" s="3366"/>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2370</v>
      </c>
      <c r="B15" s="3373" t="s">
        <v>2371</v>
      </c>
      <c r="C15" s="3374"/>
      <c r="D15" s="2647">
        <f>ROUND(D6*E15,0)</f>
        <v>0</v>
      </c>
      <c r="E15" s="2648">
        <v>5.5E-2</v>
      </c>
      <c r="F15" s="2641" t="s">
        <v>2372</v>
      </c>
      <c r="G15" s="2623"/>
      <c r="H15" s="2598"/>
      <c r="I15" s="2599"/>
      <c r="J15" s="3363">
        <v>2</v>
      </c>
      <c r="K15" s="3364"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15" customHeight="1">
      <c r="A16" s="2646" t="s">
        <v>2379</v>
      </c>
      <c r="B16" s="3373" t="s">
        <v>2380</v>
      </c>
      <c r="C16" s="3374"/>
      <c r="D16" s="2658">
        <f>D6*E16</f>
        <v>0</v>
      </c>
      <c r="E16" s="2659"/>
      <c r="F16" s="2644" t="s">
        <v>2381</v>
      </c>
      <c r="G16" s="2623"/>
      <c r="H16" s="2598"/>
      <c r="I16" s="2599"/>
      <c r="J16" s="3363"/>
      <c r="K16" s="3365"/>
      <c r="L16" s="2633" t="s">
        <v>2382</v>
      </c>
      <c r="M16" s="2634"/>
      <c r="N16" s="2634"/>
      <c r="O16" s="2635"/>
      <c r="P16" s="2636">
        <v>365</v>
      </c>
      <c r="Q16" s="2610"/>
      <c r="R16" s="2657">
        <f>ROUND(M16*N16*O16*P16/10000,0)</f>
        <v>0</v>
      </c>
      <c r="S16" s="2591"/>
      <c r="T16" s="2591"/>
      <c r="U16" s="2591"/>
      <c r="V16" s="2599"/>
    </row>
    <row r="17" spans="1:22" s="2603" customFormat="1" ht="13.15" customHeight="1" thickBot="1">
      <c r="A17" s="2660">
        <v>4</v>
      </c>
      <c r="B17" s="3375" t="s">
        <v>2383</v>
      </c>
      <c r="C17" s="3376"/>
      <c r="D17" s="2661">
        <f>ROUND(D6*E17,0)</f>
        <v>0</v>
      </c>
      <c r="E17" s="2662"/>
      <c r="F17" s="2663" t="s">
        <v>2384</v>
      </c>
      <c r="G17" s="2623"/>
      <c r="H17" s="2598"/>
      <c r="I17" s="2599"/>
      <c r="J17" s="3363"/>
      <c r="K17" s="3365"/>
      <c r="L17" s="2633" t="s">
        <v>2385</v>
      </c>
      <c r="M17" s="2634"/>
      <c r="N17" s="2634"/>
      <c r="O17" s="2635"/>
      <c r="P17" s="2636">
        <v>365</v>
      </c>
      <c r="Q17" s="2610"/>
      <c r="R17" s="2657">
        <f>ROUND(M17*N17*O17*P17/10000,0)</f>
        <v>0</v>
      </c>
      <c r="S17" s="2591"/>
      <c r="T17" s="2591"/>
      <c r="U17" s="2591"/>
      <c r="V17" s="2599"/>
    </row>
    <row r="18" spans="1:22" s="2603" customFormat="1" ht="13.15" customHeight="1" thickBot="1">
      <c r="A18" s="2626" t="s">
        <v>2386</v>
      </c>
      <c r="B18" s="2627"/>
      <c r="C18" s="2627"/>
      <c r="D18" s="2664">
        <f>ROUND(D6*E18,0)</f>
        <v>0</v>
      </c>
      <c r="E18" s="2665"/>
      <c r="F18" s="2666" t="s">
        <v>2387</v>
      </c>
      <c r="G18" s="2623"/>
      <c r="H18" s="2598"/>
      <c r="I18" s="2599"/>
      <c r="J18" s="3363"/>
      <c r="K18" s="3365"/>
      <c r="L18" s="2633" t="s">
        <v>2388</v>
      </c>
      <c r="M18" s="2634"/>
      <c r="N18" s="2634"/>
      <c r="O18" s="2635"/>
      <c r="P18" s="2636">
        <v>365</v>
      </c>
      <c r="Q18" s="2610"/>
      <c r="R18" s="2657">
        <f>ROUND(M18*N18*O18*P18/10000,0)</f>
        <v>0</v>
      </c>
      <c r="S18" s="2591"/>
      <c r="T18" s="2591"/>
      <c r="U18" s="2591"/>
      <c r="V18" s="2599"/>
    </row>
    <row r="19" spans="1:22" s="2603" customFormat="1" ht="13.15" customHeight="1" thickBot="1">
      <c r="A19" s="2667" t="s">
        <v>2389</v>
      </c>
      <c r="B19" s="2621"/>
      <c r="C19" s="2621"/>
      <c r="D19" s="2621"/>
      <c r="E19" s="2621"/>
      <c r="F19" s="2622"/>
      <c r="G19" s="2642"/>
      <c r="H19" s="2598"/>
      <c r="I19" s="2599"/>
      <c r="J19" s="3363"/>
      <c r="K19" s="3366"/>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63">
        <v>3</v>
      </c>
      <c r="K20" s="3364"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15" customHeight="1">
      <c r="A21" s="2626"/>
      <c r="B21" s="2627"/>
      <c r="C21" s="2672" t="s">
        <v>2398</v>
      </c>
      <c r="D21" s="2673" t="s">
        <v>2399</v>
      </c>
      <c r="E21" s="2674" t="s">
        <v>2400</v>
      </c>
      <c r="F21" s="2670"/>
      <c r="G21" s="2642"/>
      <c r="H21" s="2598"/>
      <c r="I21" s="2599"/>
      <c r="J21" s="3363"/>
      <c r="K21" s="3365"/>
      <c r="L21" s="2633" t="s">
        <v>2401</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2402</v>
      </c>
      <c r="D22" s="2677" t="s">
        <v>2403</v>
      </c>
      <c r="E22" s="2678" t="s">
        <v>2404</v>
      </c>
      <c r="F22" s="2670"/>
      <c r="G22" s="2591"/>
      <c r="H22" s="2598"/>
      <c r="I22" s="2599"/>
      <c r="J22" s="3363"/>
      <c r="K22" s="3365"/>
      <c r="L22" s="2633" t="s">
        <v>2405</v>
      </c>
      <c r="M22" s="2634"/>
      <c r="N22" s="2634"/>
      <c r="O22" s="2635"/>
      <c r="P22" s="2636">
        <v>365</v>
      </c>
      <c r="Q22" s="2610"/>
      <c r="R22" s="2675">
        <f>ROUND(M22*N22*O22*P22/10000,0)</f>
        <v>0</v>
      </c>
      <c r="S22" s="2591"/>
      <c r="T22" s="2591"/>
      <c r="U22" s="2591"/>
      <c r="V22" s="2599"/>
    </row>
    <row r="23" spans="1:22" s="2603" customFormat="1" ht="13.15" customHeight="1">
      <c r="A23" s="2679">
        <v>1</v>
      </c>
      <c r="B23" s="2680" t="s">
        <v>2406</v>
      </c>
      <c r="C23" s="2681">
        <f>D6</f>
        <v>0</v>
      </c>
      <c r="D23" s="2682">
        <f>C23*(1+D24)</f>
        <v>0</v>
      </c>
      <c r="E23" s="2683">
        <f>D23*(1+E24)</f>
        <v>0</v>
      </c>
      <c r="F23" s="2684"/>
      <c r="G23" s="2685"/>
      <c r="H23" s="2598"/>
      <c r="I23" s="2599"/>
      <c r="J23" s="3363"/>
      <c r="K23" s="3365"/>
      <c r="L23" s="2633" t="s">
        <v>2407</v>
      </c>
      <c r="M23" s="2634"/>
      <c r="N23" s="2634"/>
      <c r="O23" s="2635"/>
      <c r="P23" s="2636">
        <v>365</v>
      </c>
      <c r="Q23" s="2610"/>
      <c r="R23" s="2675">
        <f>ROUND(M23*N23*O23*P23/10000,0)</f>
        <v>0</v>
      </c>
      <c r="S23" s="2591"/>
      <c r="T23" s="2591"/>
      <c r="U23" s="2591"/>
      <c r="V23" s="2599"/>
    </row>
    <row r="24" spans="1:22" s="2603" customFormat="1" ht="13.15" customHeight="1">
      <c r="A24" s="2686"/>
      <c r="B24" s="2687" t="s">
        <v>2408</v>
      </c>
      <c r="C24" s="2688"/>
      <c r="D24" s="2689"/>
      <c r="E24" s="2690"/>
      <c r="F24" s="2691"/>
      <c r="G24" s="2685"/>
      <c r="H24" s="2598"/>
      <c r="I24" s="2599"/>
      <c r="J24" s="3363"/>
      <c r="K24" s="3366"/>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15" customHeight="1">
      <c r="A26" s="2679">
        <v>2</v>
      </c>
      <c r="B26" s="2680" t="s">
        <v>2410</v>
      </c>
      <c r="C26" s="2681">
        <f>D7</f>
        <v>0</v>
      </c>
      <c r="D26" s="2682">
        <f>D23*D27</f>
        <v>0</v>
      </c>
      <c r="E26" s="2683">
        <f>E23*E27</f>
        <v>0</v>
      </c>
      <c r="F26" s="2684"/>
      <c r="G26" s="2685"/>
      <c r="H26" s="2598"/>
      <c r="I26" s="2599"/>
      <c r="J26" s="3367">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15" customHeight="1">
      <c r="A27" s="2686"/>
      <c r="B27" s="2687" t="s">
        <v>2416</v>
      </c>
      <c r="C27" s="2704" t="e">
        <f>E7</f>
        <v>#DIV/0!</v>
      </c>
      <c r="D27" s="2689"/>
      <c r="E27" s="2690"/>
      <c r="F27" s="2691"/>
      <c r="G27" s="2685"/>
      <c r="H27" s="2705"/>
      <c r="I27" s="2697"/>
      <c r="J27" s="3368"/>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15"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15" customHeight="1">
      <c r="A32" s="2679">
        <v>4</v>
      </c>
      <c r="B32" s="2680" t="s">
        <v>2424</v>
      </c>
      <c r="C32" s="2681">
        <f>C23-C26-C29</f>
        <v>0</v>
      </c>
      <c r="D32" s="2682">
        <f>D23-D26-D29</f>
        <v>0</v>
      </c>
      <c r="E32" s="2683">
        <f>E23-E26-E29</f>
        <v>0</v>
      </c>
      <c r="F32" s="2684"/>
      <c r="G32" s="2591"/>
      <c r="H32" s="2598"/>
      <c r="I32" s="2599"/>
      <c r="J32" s="3369" t="s">
        <v>2316</v>
      </c>
      <c r="K32" s="3370"/>
      <c r="L32" s="2600" t="s">
        <v>2317</v>
      </c>
      <c r="M32" s="2600" t="s">
        <v>2318</v>
      </c>
      <c r="N32" s="2600" t="s">
        <v>2319</v>
      </c>
      <c r="O32" s="2600" t="s">
        <v>2320</v>
      </c>
      <c r="P32" s="2600" t="s">
        <v>2321</v>
      </c>
      <c r="Q32" s="2601" t="s">
        <v>2322</v>
      </c>
      <c r="R32" s="2720" t="s">
        <v>2323</v>
      </c>
      <c r="S32" s="2591"/>
      <c r="T32" s="2591"/>
      <c r="U32" s="2591"/>
      <c r="V32" s="2697"/>
    </row>
    <row r="33" spans="1:23" s="2603" customFormat="1" ht="13.15" customHeight="1">
      <c r="A33" s="2679"/>
      <c r="B33" s="2680"/>
      <c r="C33" s="2681"/>
      <c r="D33" s="2721"/>
      <c r="E33" s="2722"/>
      <c r="F33" s="2684"/>
      <c r="G33" s="2591"/>
      <c r="H33" s="2705"/>
      <c r="I33" s="2697"/>
      <c r="J33" s="3371" t="s">
        <v>2326</v>
      </c>
      <c r="K33" s="3372"/>
      <c r="L33" s="2606"/>
      <c r="M33" s="2606"/>
      <c r="N33" s="2606"/>
      <c r="O33" s="2606"/>
      <c r="P33" s="2606"/>
      <c r="Q33" s="2607"/>
      <c r="R33" s="2723">
        <f>SUM(L33:Q33)</f>
        <v>0</v>
      </c>
      <c r="S33" s="2591"/>
      <c r="T33" s="2591"/>
      <c r="U33" s="2591"/>
      <c r="V33" s="2599"/>
    </row>
    <row r="34" spans="1:23" s="2603" customFormat="1" ht="13.15" customHeight="1">
      <c r="A34" s="2679">
        <v>5</v>
      </c>
      <c r="B34" s="2680" t="s">
        <v>2425</v>
      </c>
      <c r="C34" s="2724"/>
      <c r="D34" s="2725"/>
      <c r="E34" s="2726"/>
      <c r="F34" s="2684"/>
      <c r="G34" s="2591"/>
      <c r="H34" s="2705"/>
      <c r="I34" s="2697"/>
      <c r="J34" s="3371" t="s">
        <v>2328</v>
      </c>
      <c r="K34" s="3372"/>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15" customHeight="1" thickBot="1">
      <c r="A36" s="2679">
        <v>7</v>
      </c>
      <c r="B36" s="2733" t="s">
        <v>2427</v>
      </c>
      <c r="C36" s="2734"/>
      <c r="D36" s="2735"/>
      <c r="E36" s="2736"/>
      <c r="F36" s="2737">
        <f>C36+D36+E36</f>
        <v>0</v>
      </c>
      <c r="G36" s="2591"/>
      <c r="H36" s="2598"/>
      <c r="I36" s="2599"/>
      <c r="J36" s="3363">
        <v>1</v>
      </c>
      <c r="K36" s="3364" t="s">
        <v>2428</v>
      </c>
      <c r="L36" s="2624"/>
      <c r="M36" s="2625"/>
      <c r="N36" s="2625"/>
      <c r="O36" s="2625"/>
      <c r="P36" s="2625"/>
      <c r="Q36" s="2625"/>
      <c r="R36" s="2608" t="s">
        <v>2340</v>
      </c>
      <c r="S36" s="2591"/>
      <c r="T36" s="2591" t="s">
        <v>2341</v>
      </c>
      <c r="U36" s="2591"/>
      <c r="V36" s="2599"/>
    </row>
    <row r="37" spans="1:23" s="2603" customFormat="1" ht="13.15" customHeight="1">
      <c r="A37" s="2679"/>
      <c r="B37" s="2680"/>
      <c r="C37" s="2680"/>
      <c r="D37" s="2680"/>
      <c r="E37" s="2680"/>
      <c r="F37" s="2684"/>
      <c r="G37" s="2591"/>
      <c r="H37" s="2598"/>
      <c r="I37" s="2599"/>
      <c r="J37" s="3363"/>
      <c r="K37" s="3365"/>
      <c r="L37" s="2633"/>
      <c r="M37" s="2634"/>
      <c r="N37" s="2610"/>
      <c r="O37" s="2635"/>
      <c r="P37" s="2635"/>
      <c r="Q37" s="2636"/>
      <c r="R37" s="2637"/>
      <c r="S37" s="2591"/>
      <c r="T37" s="2591" t="s">
        <v>2344</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63"/>
      <c r="K38" s="3365"/>
      <c r="L38" s="2633"/>
      <c r="M38" s="2634"/>
      <c r="N38" s="2610"/>
      <c r="O38" s="2635"/>
      <c r="P38" s="2635"/>
      <c r="Q38" s="2636"/>
      <c r="R38" s="2637"/>
      <c r="S38" s="2591"/>
      <c r="T38" s="2591" t="s">
        <v>2351</v>
      </c>
      <c r="U38" s="2591"/>
      <c r="V38" s="2599"/>
    </row>
    <row r="39" spans="1:23" s="2603" customFormat="1" ht="13.15" customHeight="1">
      <c r="A39" s="2679">
        <v>9</v>
      </c>
      <c r="B39" s="2680" t="s">
        <v>2429</v>
      </c>
      <c r="C39" s="2647" t="e">
        <f>C38</f>
        <v>#DIV/0!</v>
      </c>
      <c r="D39" s="2680">
        <f>D38/(1+D34)^C36</f>
        <v>0</v>
      </c>
      <c r="E39" s="2680">
        <f>E38/(1+E34)^(C36+D36)</f>
        <v>0</v>
      </c>
      <c r="F39" s="2684"/>
      <c r="G39" s="2599"/>
      <c r="H39" s="2598"/>
      <c r="I39" s="2599"/>
      <c r="J39" s="3363"/>
      <c r="K39" s="3365"/>
      <c r="L39" s="2633"/>
      <c r="M39" s="2634"/>
      <c r="N39" s="2610"/>
      <c r="O39" s="2635"/>
      <c r="P39" s="2635"/>
      <c r="Q39" s="2636"/>
      <c r="R39" s="2637"/>
      <c r="S39" s="2591"/>
      <c r="T39" s="2591"/>
      <c r="U39" s="2591"/>
      <c r="V39" s="2599"/>
    </row>
    <row r="40" spans="1:23" s="2603" customFormat="1" ht="13.15" customHeight="1">
      <c r="A40" s="2738">
        <v>10</v>
      </c>
      <c r="B40" s="2680" t="s">
        <v>2430</v>
      </c>
      <c r="C40" s="2739" t="e">
        <f>C39+D39+E39</f>
        <v>#DIV/0!</v>
      </c>
      <c r="D40" s="2740"/>
      <c r="E40" s="2740"/>
      <c r="F40" s="2741"/>
      <c r="G40" s="2591"/>
      <c r="H40" s="2598"/>
      <c r="I40" s="2599"/>
      <c r="J40" s="3363"/>
      <c r="K40" s="3366"/>
      <c r="L40" s="2653" t="s">
        <v>2369</v>
      </c>
      <c r="M40" s="2654"/>
      <c r="N40" s="2654"/>
      <c r="O40" s="2655"/>
      <c r="P40" s="2655"/>
      <c r="Q40" s="2656"/>
      <c r="R40" s="2602">
        <f>SUM(R37:R39)</f>
        <v>0</v>
      </c>
      <c r="S40" s="2591"/>
      <c r="T40" s="2591"/>
      <c r="U40" s="2591"/>
      <c r="V40" s="2599"/>
    </row>
    <row r="41" spans="1:23" s="2603" customFormat="1" ht="13.15"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7">
        <v>3</v>
      </c>
      <c r="K42" s="2699" t="s">
        <v>2411</v>
      </c>
      <c r="L42" s="2700"/>
      <c r="M42" s="2701"/>
      <c r="N42" s="2702" t="s">
        <v>2412</v>
      </c>
      <c r="O42" s="2702" t="s">
        <v>2413</v>
      </c>
      <c r="P42" s="2703" t="s">
        <v>2414</v>
      </c>
      <c r="Q42" s="2703" t="s">
        <v>2415</v>
      </c>
      <c r="R42" s="2608" t="s">
        <v>2340</v>
      </c>
      <c r="S42" s="2642"/>
      <c r="T42" s="2642"/>
      <c r="U42" s="2591"/>
      <c r="V42" s="2599"/>
    </row>
    <row r="43" spans="1:23" ht="13.15" customHeight="1">
      <c r="A43" s="2603"/>
      <c r="B43" s="2603"/>
      <c r="C43" s="2603"/>
      <c r="D43" s="2603"/>
      <c r="E43" s="2603"/>
      <c r="F43" s="2603"/>
      <c r="I43" s="2586"/>
      <c r="J43" s="3368"/>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28386</v>
      </c>
      <c r="C2" s="1729" t="s">
        <v>1651</v>
      </c>
      <c r="D2" s="1730" t="s">
        <v>1652</v>
      </c>
      <c r="E2" s="2392">
        <f>SUM(E6:E13)</f>
        <v>67261.53</v>
      </c>
      <c r="F2" s="2478"/>
      <c r="G2" s="459"/>
      <c r="H2" s="459"/>
      <c r="I2" s="459"/>
      <c r="J2" s="459"/>
      <c r="K2" s="459"/>
      <c r="L2" s="459"/>
      <c r="M2" s="459"/>
      <c r="N2" s="459"/>
      <c r="O2" s="459"/>
      <c r="P2" s="459"/>
      <c r="Q2" s="459"/>
      <c r="R2" s="459"/>
      <c r="S2" s="459"/>
    </row>
    <row r="3" spans="1:22" ht="15.75">
      <c r="A3" s="1728" t="s">
        <v>686</v>
      </c>
      <c r="B3" s="2386">
        <f ca="1">ROUND(B2*10000/E2,0)</f>
        <v>4220</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382" t="s">
        <v>1654</v>
      </c>
      <c r="C5" s="3383"/>
      <c r="D5" s="2479"/>
      <c r="E5" s="1731"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28386</v>
      </c>
      <c r="C6" s="1729" t="s">
        <v>1651</v>
      </c>
      <c r="D6" s="2478"/>
      <c r="E6" s="2391">
        <f>IF(OR(A6=0,F6="否"),0,'数据-取费表'!K6+'数据-取费表'!S6)</f>
        <v>67261.53</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67261.53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02" t="s">
        <v>1667</v>
      </c>
      <c r="D4" s="3403"/>
      <c r="E4" s="3404" t="s">
        <v>1668</v>
      </c>
      <c r="F4" s="3405"/>
      <c r="G4" s="3402" t="s">
        <v>1669</v>
      </c>
      <c r="H4" s="3403"/>
      <c r="I4" s="3402" t="s">
        <v>1670</v>
      </c>
      <c r="J4" s="3403"/>
      <c r="K4" s="1744" t="s">
        <v>1671</v>
      </c>
      <c r="L4" s="2485"/>
      <c r="M4" s="2486"/>
      <c r="N4" s="2486"/>
      <c r="O4" s="2486"/>
      <c r="P4" s="3406" t="s">
        <v>1672</v>
      </c>
      <c r="Q4" s="3407"/>
      <c r="R4" s="3412" t="s">
        <v>1668</v>
      </c>
      <c r="S4" s="3413"/>
      <c r="T4" s="3412" t="s">
        <v>1669</v>
      </c>
      <c r="U4" s="3413"/>
      <c r="V4" s="3388" t="s">
        <v>1670</v>
      </c>
      <c r="W4" s="3388"/>
      <c r="X4" s="1265"/>
      <c r="Y4" s="3412" t="s">
        <v>1672</v>
      </c>
      <c r="Z4" s="3413"/>
      <c r="AA4" s="3399" t="s">
        <v>1668</v>
      </c>
      <c r="AB4" s="3399" t="s">
        <v>1669</v>
      </c>
      <c r="AC4" s="3399" t="s">
        <v>1670</v>
      </c>
    </row>
    <row r="5" spans="1:29" ht="15">
      <c r="A5" s="348"/>
      <c r="B5" s="349"/>
      <c r="C5" s="3420" t="s">
        <v>1673</v>
      </c>
      <c r="D5" s="3421"/>
      <c r="E5" s="3427" t="s">
        <v>1674</v>
      </c>
      <c r="F5" s="3428"/>
      <c r="G5" s="3420" t="s">
        <v>1675</v>
      </c>
      <c r="H5" s="3421"/>
      <c r="I5" s="3420" t="s">
        <v>1676</v>
      </c>
      <c r="J5" s="3421"/>
      <c r="K5" s="1745"/>
      <c r="L5" s="2485"/>
      <c r="M5" s="2486"/>
      <c r="N5" s="2486"/>
      <c r="O5" s="2486"/>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1745" t="s">
        <v>1678</v>
      </c>
      <c r="L6" s="2485"/>
      <c r="M6" s="2486"/>
      <c r="N6" s="2486"/>
      <c r="O6" s="2486"/>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45721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22" t="s">
        <v>1680</v>
      </c>
      <c r="Q7" s="3424"/>
      <c r="R7" s="664" t="s">
        <v>20</v>
      </c>
      <c r="S7" s="665">
        <f t="shared" ref="S7:S15" si="0">F7</f>
        <v>0</v>
      </c>
      <c r="T7" s="664" t="s">
        <v>20</v>
      </c>
      <c r="U7" s="665">
        <f t="shared" ref="U7:U15" si="1">H7</f>
        <v>0</v>
      </c>
      <c r="V7" s="664" t="s">
        <v>20</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22" t="s">
        <v>1683</v>
      </c>
      <c r="Q8" s="3423"/>
      <c r="R8" s="664" t="s">
        <v>20</v>
      </c>
      <c r="S8" s="665">
        <f t="shared" si="0"/>
        <v>100</v>
      </c>
      <c r="T8" s="664" t="s">
        <v>20</v>
      </c>
      <c r="U8" s="665">
        <f t="shared" si="1"/>
        <v>100</v>
      </c>
      <c r="V8" s="664" t="s">
        <v>20</v>
      </c>
      <c r="W8" s="665">
        <f t="shared" si="2"/>
        <v>100</v>
      </c>
      <c r="X8" s="666"/>
      <c r="Y8" s="3422" t="s">
        <v>1683</v>
      </c>
      <c r="Z8" s="342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8"/>
      <c r="Q11" s="530" t="str">
        <f t="shared" si="6"/>
        <v>容积率</v>
      </c>
      <c r="R11" s="664" t="s">
        <v>18</v>
      </c>
      <c r="S11" s="665" t="e">
        <f t="shared" si="0"/>
        <v>#N/A</v>
      </c>
      <c r="T11" s="664" t="s">
        <v>18</v>
      </c>
      <c r="U11" s="665" t="e">
        <f t="shared" si="1"/>
        <v>#N/A</v>
      </c>
      <c r="V11" s="664" t="s">
        <v>18</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8"/>
      <c r="Q12" s="530">
        <f t="shared" si="6"/>
        <v>111</v>
      </c>
      <c r="R12" s="664" t="s">
        <v>18</v>
      </c>
      <c r="S12" s="665">
        <f t="shared" si="0"/>
        <v>100</v>
      </c>
      <c r="T12" s="664" t="s">
        <v>18</v>
      </c>
      <c r="U12" s="665">
        <f t="shared" si="1"/>
        <v>100</v>
      </c>
      <c r="V12" s="664" t="s">
        <v>18</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8"/>
      <c r="Q13" s="530">
        <f t="shared" si="6"/>
        <v>111</v>
      </c>
      <c r="R13" s="664" t="s">
        <v>18</v>
      </c>
      <c r="S13" s="665">
        <f t="shared" si="0"/>
        <v>100</v>
      </c>
      <c r="T13" s="664" t="s">
        <v>18</v>
      </c>
      <c r="U13" s="665">
        <f t="shared" si="1"/>
        <v>100</v>
      </c>
      <c r="V13" s="664" t="s">
        <v>18</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8"/>
      <c r="Q14" s="530">
        <f t="shared" si="6"/>
        <v>111</v>
      </c>
      <c r="R14" s="664" t="s">
        <v>18</v>
      </c>
      <c r="S14" s="665">
        <f t="shared" si="0"/>
        <v>100</v>
      </c>
      <c r="T14" s="664" t="s">
        <v>18</v>
      </c>
      <c r="U14" s="665">
        <f t="shared" si="1"/>
        <v>100</v>
      </c>
      <c r="V14" s="664" t="s">
        <v>18</v>
      </c>
      <c r="W14" s="665">
        <f t="shared" si="2"/>
        <v>100</v>
      </c>
      <c r="X14" s="666"/>
      <c r="Y14" s="326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6" t="s">
        <v>1691</v>
      </c>
      <c r="Q15" s="1263" t="str">
        <f t="shared" si="6"/>
        <v>居住社区成熟度</v>
      </c>
      <c r="R15" s="667" t="s">
        <v>18</v>
      </c>
      <c r="S15" s="668">
        <f t="shared" si="0"/>
        <v>100</v>
      </c>
      <c r="T15" s="667" t="s">
        <v>18</v>
      </c>
      <c r="U15" s="668">
        <f t="shared" si="1"/>
        <v>100</v>
      </c>
      <c r="V15" s="667" t="s">
        <v>18</v>
      </c>
      <c r="W15" s="668">
        <f t="shared" si="2"/>
        <v>100</v>
      </c>
      <c r="X15" s="1265"/>
      <c r="Y15" s="338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97"/>
      <c r="Q16" s="1263"/>
      <c r="R16" s="667"/>
      <c r="S16" s="668"/>
      <c r="T16" s="667"/>
      <c r="U16" s="668"/>
      <c r="V16" s="667"/>
      <c r="W16" s="668"/>
      <c r="X16" s="1265"/>
      <c r="Y16" s="339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7"/>
      <c r="Q17" s="1263" t="str">
        <f>B17</f>
        <v>交通便捷度</v>
      </c>
      <c r="R17" s="667" t="s">
        <v>18</v>
      </c>
      <c r="S17" s="668">
        <f>F17</f>
        <v>100</v>
      </c>
      <c r="T17" s="667" t="s">
        <v>18</v>
      </c>
      <c r="U17" s="668">
        <f>H17</f>
        <v>100</v>
      </c>
      <c r="V17" s="667" t="s">
        <v>18</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97"/>
      <c r="Q18" s="1263"/>
      <c r="R18" s="667"/>
      <c r="S18" s="668"/>
      <c r="T18" s="667"/>
      <c r="U18" s="668"/>
      <c r="V18" s="667"/>
      <c r="W18" s="668"/>
      <c r="X18" s="1265"/>
      <c r="Y18" s="339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7"/>
      <c r="Q19" s="1263" t="str">
        <f>B19</f>
        <v>公共配套设施</v>
      </c>
      <c r="R19" s="667" t="s">
        <v>18</v>
      </c>
      <c r="S19" s="668">
        <f>F19</f>
        <v>100</v>
      </c>
      <c r="T19" s="667" t="s">
        <v>18</v>
      </c>
      <c r="U19" s="668">
        <f>H19</f>
        <v>100</v>
      </c>
      <c r="V19" s="667" t="s">
        <v>18</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97"/>
      <c r="Q20" s="1263"/>
      <c r="R20" s="667"/>
      <c r="S20" s="668"/>
      <c r="T20" s="667"/>
      <c r="U20" s="668"/>
      <c r="V20" s="667"/>
      <c r="W20" s="668"/>
      <c r="X20" s="1265"/>
      <c r="Y20" s="339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97"/>
      <c r="Q22" s="1263"/>
      <c r="R22" s="667"/>
      <c r="S22" s="668"/>
      <c r="T22" s="667"/>
      <c r="U22" s="668"/>
      <c r="V22" s="667"/>
      <c r="W22" s="668"/>
      <c r="X22" s="1265"/>
      <c r="Y22" s="339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7"/>
      <c r="Q23" s="1263" t="str">
        <f>B23</f>
        <v>自然及人文环境</v>
      </c>
      <c r="R23" s="667" t="s">
        <v>18</v>
      </c>
      <c r="S23" s="668">
        <f>F23</f>
        <v>100</v>
      </c>
      <c r="T23" s="667" t="s">
        <v>18</v>
      </c>
      <c r="U23" s="668">
        <f>H23</f>
        <v>100</v>
      </c>
      <c r="V23" s="667" t="s">
        <v>18</v>
      </c>
      <c r="W23" s="668">
        <f>J23</f>
        <v>100</v>
      </c>
      <c r="X23" s="1265"/>
      <c r="Y23" s="339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97"/>
      <c r="Q24" s="1263"/>
      <c r="R24" s="667"/>
      <c r="S24" s="668"/>
      <c r="T24" s="667"/>
      <c r="U24" s="668"/>
      <c r="V24" s="667"/>
      <c r="W24" s="668"/>
      <c r="X24" s="1265"/>
      <c r="Y24" s="339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7"/>
      <c r="Q26" s="1263" t="str">
        <f t="shared" si="11"/>
        <v>朝向</v>
      </c>
      <c r="R26" s="667" t="s">
        <v>18</v>
      </c>
      <c r="S26" s="668">
        <f t="shared" si="12"/>
        <v>100</v>
      </c>
      <c r="T26" s="667" t="s">
        <v>18</v>
      </c>
      <c r="U26" s="668">
        <f t="shared" si="13"/>
        <v>100</v>
      </c>
      <c r="V26" s="667" t="s">
        <v>18</v>
      </c>
      <c r="W26" s="668">
        <f t="shared" si="14"/>
        <v>100</v>
      </c>
      <c r="X26" s="1265"/>
      <c r="Y26" s="339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7"/>
      <c r="Q27" s="530">
        <f t="shared" si="11"/>
        <v>111</v>
      </c>
      <c r="R27" s="664" t="s">
        <v>18</v>
      </c>
      <c r="S27" s="665">
        <f t="shared" si="12"/>
        <v>100</v>
      </c>
      <c r="T27" s="664" t="s">
        <v>18</v>
      </c>
      <c r="U27" s="665">
        <f t="shared" si="13"/>
        <v>100</v>
      </c>
      <c r="V27" s="664" t="s">
        <v>18</v>
      </c>
      <c r="W27" s="665">
        <f t="shared" si="14"/>
        <v>100</v>
      </c>
      <c r="X27" s="666"/>
      <c r="Y27" s="339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7"/>
      <c r="Q28" s="1263">
        <f t="shared" si="11"/>
        <v>111</v>
      </c>
      <c r="R28" s="667" t="s">
        <v>18</v>
      </c>
      <c r="S28" s="668">
        <f t="shared" si="12"/>
        <v>100</v>
      </c>
      <c r="T28" s="667" t="s">
        <v>18</v>
      </c>
      <c r="U28" s="668">
        <f t="shared" si="13"/>
        <v>100</v>
      </c>
      <c r="V28" s="667" t="s">
        <v>18</v>
      </c>
      <c r="W28" s="668">
        <f t="shared" si="14"/>
        <v>100</v>
      </c>
      <c r="X28" s="1265"/>
      <c r="Y28" s="339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7"/>
      <c r="Q29" s="1263">
        <f t="shared" si="11"/>
        <v>111</v>
      </c>
      <c r="R29" s="667" t="s">
        <v>18</v>
      </c>
      <c r="S29" s="668">
        <f t="shared" si="12"/>
        <v>100</v>
      </c>
      <c r="T29" s="667" t="s">
        <v>18</v>
      </c>
      <c r="U29" s="668">
        <f t="shared" si="13"/>
        <v>100</v>
      </c>
      <c r="V29" s="667" t="s">
        <v>18</v>
      </c>
      <c r="W29" s="668">
        <f t="shared" si="14"/>
        <v>100</v>
      </c>
      <c r="X29" s="1265"/>
      <c r="Y29" s="339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7"/>
      <c r="Q30" s="1263">
        <f t="shared" si="11"/>
        <v>111</v>
      </c>
      <c r="R30" s="667" t="s">
        <v>18</v>
      </c>
      <c r="S30" s="668">
        <f t="shared" si="12"/>
        <v>100</v>
      </c>
      <c r="T30" s="667" t="s">
        <v>18</v>
      </c>
      <c r="U30" s="668">
        <f t="shared" si="13"/>
        <v>100</v>
      </c>
      <c r="V30" s="667" t="s">
        <v>18</v>
      </c>
      <c r="W30" s="668">
        <f t="shared" si="14"/>
        <v>100</v>
      </c>
      <c r="X30" s="1265"/>
      <c r="Y30" s="339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7"/>
      <c r="Q31" s="1263">
        <f t="shared" si="11"/>
        <v>111</v>
      </c>
      <c r="R31" s="667" t="s">
        <v>18</v>
      </c>
      <c r="S31" s="668">
        <f t="shared" si="12"/>
        <v>100</v>
      </c>
      <c r="T31" s="667" t="s">
        <v>18</v>
      </c>
      <c r="U31" s="668">
        <f t="shared" si="13"/>
        <v>100</v>
      </c>
      <c r="V31" s="667" t="s">
        <v>18</v>
      </c>
      <c r="W31" s="668">
        <f t="shared" si="14"/>
        <v>100</v>
      </c>
      <c r="X31" s="1265"/>
      <c r="Y31" s="339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91" t="s">
        <v>1696</v>
      </c>
      <c r="Q32" s="1263" t="str">
        <f t="shared" si="11"/>
        <v>建筑类型</v>
      </c>
      <c r="R32" s="667" t="s">
        <v>18</v>
      </c>
      <c r="S32" s="668">
        <f t="shared" si="12"/>
        <v>100</v>
      </c>
      <c r="T32" s="667" t="s">
        <v>18</v>
      </c>
      <c r="U32" s="668">
        <f t="shared" si="13"/>
        <v>100</v>
      </c>
      <c r="V32" s="667" t="s">
        <v>18</v>
      </c>
      <c r="W32" s="668">
        <f t="shared" si="14"/>
        <v>100</v>
      </c>
      <c r="X32" s="1265"/>
      <c r="Y32" s="339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92"/>
      <c r="Q33" s="531" t="str">
        <f t="shared" si="11"/>
        <v>项目建筑规模</v>
      </c>
      <c r="R33" s="669" t="s">
        <v>18</v>
      </c>
      <c r="S33" s="670" t="e">
        <f t="shared" si="12"/>
        <v>#N/A</v>
      </c>
      <c r="T33" s="669" t="s">
        <v>18</v>
      </c>
      <c r="U33" s="670" t="e">
        <f t="shared" si="13"/>
        <v>#N/A</v>
      </c>
      <c r="V33" s="669" t="s">
        <v>18</v>
      </c>
      <c r="W33" s="670" t="e">
        <f t="shared" si="14"/>
        <v>#N/A</v>
      </c>
      <c r="X33" s="671"/>
      <c r="Y33" s="339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92"/>
      <c r="Q34" s="1263" t="str">
        <f t="shared" si="11"/>
        <v>建筑结构</v>
      </c>
      <c r="R34" s="667" t="s">
        <v>18</v>
      </c>
      <c r="S34" s="668">
        <f t="shared" si="12"/>
        <v>100</v>
      </c>
      <c r="T34" s="667" t="s">
        <v>18</v>
      </c>
      <c r="U34" s="668">
        <f t="shared" si="13"/>
        <v>100</v>
      </c>
      <c r="V34" s="667" t="s">
        <v>18</v>
      </c>
      <c r="W34" s="668">
        <f t="shared" si="14"/>
        <v>100</v>
      </c>
      <c r="X34" s="1265"/>
      <c r="Y34" s="339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92"/>
      <c r="Q35" s="1263" t="str">
        <f t="shared" si="11"/>
        <v>建筑品质</v>
      </c>
      <c r="R35" s="667" t="s">
        <v>18</v>
      </c>
      <c r="S35" s="668">
        <f t="shared" si="12"/>
        <v>100</v>
      </c>
      <c r="T35" s="667" t="s">
        <v>18</v>
      </c>
      <c r="U35" s="668">
        <f t="shared" si="13"/>
        <v>100</v>
      </c>
      <c r="V35" s="667" t="s">
        <v>18</v>
      </c>
      <c r="W35" s="668">
        <f t="shared" si="14"/>
        <v>100</v>
      </c>
      <c r="X35" s="1265"/>
      <c r="Y35" s="339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92"/>
      <c r="Q36" s="1263" t="str">
        <f t="shared" si="11"/>
        <v>公共部分装修</v>
      </c>
      <c r="R36" s="667" t="s">
        <v>18</v>
      </c>
      <c r="S36" s="668">
        <f t="shared" si="12"/>
        <v>100</v>
      </c>
      <c r="T36" s="667" t="s">
        <v>18</v>
      </c>
      <c r="U36" s="668">
        <f t="shared" si="13"/>
        <v>100</v>
      </c>
      <c r="V36" s="667" t="s">
        <v>18</v>
      </c>
      <c r="W36" s="668">
        <f t="shared" si="14"/>
        <v>100</v>
      </c>
      <c r="X36" s="1265"/>
      <c r="Y36" s="339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92"/>
      <c r="Q37" s="530" t="str">
        <f t="shared" si="11"/>
        <v>成新度</v>
      </c>
      <c r="R37" s="664" t="s">
        <v>18</v>
      </c>
      <c r="S37" s="665" t="e">
        <f t="shared" si="12"/>
        <v>#N/A</v>
      </c>
      <c r="T37" s="664" t="s">
        <v>18</v>
      </c>
      <c r="U37" s="665" t="e">
        <f t="shared" si="13"/>
        <v>#N/A</v>
      </c>
      <c r="V37" s="664" t="s">
        <v>18</v>
      </c>
      <c r="W37" s="665" t="e">
        <f t="shared" si="14"/>
        <v>#N/A</v>
      </c>
      <c r="X37" s="666"/>
      <c r="Y37" s="339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92" t="s">
        <v>1696</v>
      </c>
      <c r="Q38" s="1263" t="str">
        <f t="shared" si="11"/>
        <v>物业管理</v>
      </c>
      <c r="R38" s="667" t="s">
        <v>18</v>
      </c>
      <c r="S38" s="668">
        <f t="shared" si="12"/>
        <v>100</v>
      </c>
      <c r="T38" s="667" t="s">
        <v>18</v>
      </c>
      <c r="U38" s="668">
        <f t="shared" si="13"/>
        <v>100</v>
      </c>
      <c r="V38" s="667" t="s">
        <v>18</v>
      </c>
      <c r="W38" s="668">
        <f t="shared" si="14"/>
        <v>100</v>
      </c>
      <c r="X38" s="1265"/>
      <c r="Y38" s="339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92"/>
      <c r="Q39" s="1263" t="str">
        <f t="shared" si="11"/>
        <v>市政基础设施</v>
      </c>
      <c r="R39" s="667" t="s">
        <v>18</v>
      </c>
      <c r="S39" s="668">
        <f t="shared" si="12"/>
        <v>100</v>
      </c>
      <c r="T39" s="667" t="s">
        <v>18</v>
      </c>
      <c r="U39" s="668">
        <f t="shared" si="13"/>
        <v>100</v>
      </c>
      <c r="V39" s="667" t="s">
        <v>18</v>
      </c>
      <c r="W39" s="668">
        <f t="shared" si="14"/>
        <v>100</v>
      </c>
      <c r="X39" s="1265"/>
      <c r="Y39" s="339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92"/>
      <c r="Q40" s="1263" t="str">
        <f t="shared" si="11"/>
        <v>房型</v>
      </c>
      <c r="R40" s="667" t="s">
        <v>18</v>
      </c>
      <c r="S40" s="668">
        <f t="shared" si="12"/>
        <v>100</v>
      </c>
      <c r="T40" s="667" t="s">
        <v>18</v>
      </c>
      <c r="U40" s="668">
        <f t="shared" si="13"/>
        <v>100</v>
      </c>
      <c r="V40" s="667" t="s">
        <v>18</v>
      </c>
      <c r="W40" s="668">
        <f t="shared" si="14"/>
        <v>100</v>
      </c>
      <c r="X40" s="1265"/>
      <c r="Y40" s="339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92"/>
      <c r="Q41" s="531" t="str">
        <f t="shared" si="11"/>
        <v>单套/主力户型建筑面积</v>
      </c>
      <c r="R41" s="669" t="s">
        <v>18</v>
      </c>
      <c r="S41" s="670">
        <f t="shared" si="12"/>
        <v>100</v>
      </c>
      <c r="T41" s="669" t="s">
        <v>18</v>
      </c>
      <c r="U41" s="670">
        <f t="shared" si="13"/>
        <v>100</v>
      </c>
      <c r="V41" s="669" t="s">
        <v>18</v>
      </c>
      <c r="W41" s="670">
        <f t="shared" si="14"/>
        <v>100</v>
      </c>
      <c r="X41" s="671"/>
      <c r="Y41" s="339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92"/>
      <c r="Q42" s="1263" t="str">
        <f t="shared" si="11"/>
        <v>内部装修</v>
      </c>
      <c r="R42" s="667" t="s">
        <v>18</v>
      </c>
      <c r="S42" s="668">
        <f t="shared" si="12"/>
        <v>100</v>
      </c>
      <c r="T42" s="667" t="s">
        <v>18</v>
      </c>
      <c r="U42" s="668">
        <f t="shared" si="13"/>
        <v>100</v>
      </c>
      <c r="V42" s="667" t="s">
        <v>18</v>
      </c>
      <c r="W42" s="668">
        <f t="shared" si="14"/>
        <v>100</v>
      </c>
      <c r="X42" s="1265"/>
      <c r="Y42" s="339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92"/>
      <c r="Q43" s="1263" t="str">
        <f t="shared" si="11"/>
        <v>内部装修维护情况</v>
      </c>
      <c r="R43" s="667" t="s">
        <v>18</v>
      </c>
      <c r="S43" s="668">
        <f t="shared" si="12"/>
        <v>100</v>
      </c>
      <c r="T43" s="667" t="s">
        <v>18</v>
      </c>
      <c r="U43" s="668">
        <f t="shared" si="13"/>
        <v>100</v>
      </c>
      <c r="V43" s="667" t="s">
        <v>18</v>
      </c>
      <c r="W43" s="668">
        <f t="shared" si="14"/>
        <v>100</v>
      </c>
      <c r="X43" s="1265"/>
      <c r="Y43" s="339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92"/>
      <c r="Q44" s="530">
        <f t="shared" si="11"/>
        <v>111</v>
      </c>
      <c r="R44" s="664" t="s">
        <v>18</v>
      </c>
      <c r="S44" s="665">
        <f t="shared" si="12"/>
        <v>100</v>
      </c>
      <c r="T44" s="664" t="s">
        <v>18</v>
      </c>
      <c r="U44" s="665">
        <f t="shared" si="13"/>
        <v>100</v>
      </c>
      <c r="V44" s="664" t="s">
        <v>18</v>
      </c>
      <c r="W44" s="665">
        <f t="shared" si="14"/>
        <v>100</v>
      </c>
      <c r="X44" s="666"/>
      <c r="Y44" s="339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92"/>
      <c r="Q45" s="1263">
        <f t="shared" si="11"/>
        <v>111</v>
      </c>
      <c r="R45" s="667" t="s">
        <v>18</v>
      </c>
      <c r="S45" s="668">
        <f t="shared" si="12"/>
        <v>100</v>
      </c>
      <c r="T45" s="667" t="s">
        <v>18</v>
      </c>
      <c r="U45" s="668">
        <f t="shared" si="13"/>
        <v>100</v>
      </c>
      <c r="V45" s="667" t="s">
        <v>18</v>
      </c>
      <c r="W45" s="668">
        <f t="shared" si="14"/>
        <v>100</v>
      </c>
      <c r="X45" s="1265"/>
      <c r="Y45" s="339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3"/>
      <c r="Q46" s="1263">
        <f t="shared" si="11"/>
        <v>111</v>
      </c>
      <c r="R46" s="667" t="s">
        <v>17</v>
      </c>
      <c r="S46" s="668">
        <f t="shared" si="12"/>
        <v>100</v>
      </c>
      <c r="T46" s="667" t="s">
        <v>17</v>
      </c>
      <c r="U46" s="668">
        <f t="shared" si="13"/>
        <v>100</v>
      </c>
      <c r="V46" s="667" t="s">
        <v>17</v>
      </c>
      <c r="W46" s="668">
        <f t="shared" si="14"/>
        <v>100</v>
      </c>
      <c r="X46" s="1265"/>
      <c r="Y46" s="339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67261.53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412" t="s">
        <v>1771</v>
      </c>
      <c r="S4" s="3413"/>
      <c r="T4" s="3412" t="s">
        <v>1772</v>
      </c>
      <c r="U4" s="3413"/>
      <c r="V4" s="3388" t="s">
        <v>1773</v>
      </c>
      <c r="W4" s="3388"/>
      <c r="X4" s="1265"/>
      <c r="Y4" s="3412" t="s">
        <v>1775</v>
      </c>
      <c r="Z4" s="3413"/>
      <c r="AA4" s="3399" t="s">
        <v>1771</v>
      </c>
      <c r="AB4" s="3388" t="s">
        <v>1772</v>
      </c>
      <c r="AC4" s="3399" t="s">
        <v>1773</v>
      </c>
    </row>
    <row r="5" spans="1:29" ht="15">
      <c r="A5" s="348"/>
      <c r="B5" s="349"/>
      <c r="C5" s="3420" t="s">
        <v>1673</v>
      </c>
      <c r="D5" s="3421"/>
      <c r="E5" s="3427" t="s">
        <v>1674</v>
      </c>
      <c r="F5" s="3428"/>
      <c r="G5" s="3420" t="s">
        <v>1675</v>
      </c>
      <c r="H5" s="3421"/>
      <c r="I5" s="3420" t="s">
        <v>1676</v>
      </c>
      <c r="J5" s="3421"/>
      <c r="K5" s="537"/>
      <c r="L5" s="2485"/>
      <c r="M5" s="2486"/>
      <c r="N5" s="2486"/>
      <c r="O5" s="2486"/>
      <c r="P5" s="3408"/>
      <c r="Q5" s="3409"/>
      <c r="R5" s="3414"/>
      <c r="S5" s="3415"/>
      <c r="T5" s="3414"/>
      <c r="U5" s="3415"/>
      <c r="V5" s="3388"/>
      <c r="W5" s="3388"/>
      <c r="X5" s="1265"/>
      <c r="Y5" s="3414"/>
      <c r="Z5" s="3415"/>
      <c r="AA5" s="3400"/>
      <c r="AB5" s="3388"/>
      <c r="AC5" s="3400"/>
    </row>
    <row r="6" spans="1:29" ht="15.75" thickBot="1">
      <c r="A6" s="350"/>
      <c r="B6" s="351"/>
      <c r="C6" s="3418" t="s">
        <v>1677</v>
      </c>
      <c r="D6" s="3419"/>
      <c r="E6" s="3425" t="s">
        <v>1677</v>
      </c>
      <c r="F6" s="3426"/>
      <c r="G6" s="3418" t="s">
        <v>1677</v>
      </c>
      <c r="H6" s="3419"/>
      <c r="I6" s="3418" t="s">
        <v>1677</v>
      </c>
      <c r="J6" s="3419"/>
      <c r="K6" s="537" t="s">
        <v>1678</v>
      </c>
      <c r="L6" s="2485"/>
      <c r="M6" s="2486"/>
      <c r="N6" s="2486"/>
      <c r="O6" s="2486"/>
      <c r="P6" s="3410"/>
      <c r="Q6" s="3411"/>
      <c r="R6" s="3414"/>
      <c r="S6" s="3415"/>
      <c r="T6" s="3416"/>
      <c r="U6" s="3417"/>
      <c r="V6" s="3388"/>
      <c r="W6" s="3388"/>
      <c r="X6" s="1265"/>
      <c r="Y6" s="3416"/>
      <c r="Z6" s="3417"/>
      <c r="AA6" s="3401"/>
      <c r="AB6" s="3388"/>
      <c r="AC6" s="3401"/>
    </row>
    <row r="7" spans="1:29" s="102" customFormat="1" ht="15.75" thickBot="1">
      <c r="A7" s="352" t="s">
        <v>1679</v>
      </c>
      <c r="B7" s="353"/>
      <c r="C7" s="354">
        <f>'数据-取费表'!B2</f>
        <v>45721</v>
      </c>
      <c r="D7" s="355">
        <v>100</v>
      </c>
      <c r="E7" s="356"/>
      <c r="F7" s="357">
        <f>SUMIF(58:58,YEAR(E7)&amp;"-"&amp;MONTH(E7),59:59)</f>
        <v>0</v>
      </c>
      <c r="G7" s="356"/>
      <c r="H7" s="355">
        <f>SUMIF(58:58,YEAR(G7)&amp;"-"&amp;MONTH(G7),59:59)</f>
        <v>0</v>
      </c>
      <c r="I7" s="356"/>
      <c r="J7" s="355">
        <f>SUMIF(58:58,YEAR(I7)&amp;"-"&amp;MONTH(I7),59:59)</f>
        <v>0</v>
      </c>
      <c r="K7" s="38"/>
      <c r="L7" s="2487"/>
      <c r="M7" s="2439"/>
      <c r="N7" s="2439"/>
      <c r="O7" s="2439"/>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22" t="s">
        <v>1683</v>
      </c>
      <c r="Q8" s="3423"/>
      <c r="R8" s="664" t="s">
        <v>14</v>
      </c>
      <c r="S8" s="665">
        <f t="shared" si="0"/>
        <v>100</v>
      </c>
      <c r="T8" s="664" t="s">
        <v>14</v>
      </c>
      <c r="U8" s="665">
        <f t="shared" si="1"/>
        <v>100</v>
      </c>
      <c r="V8" s="664" t="s">
        <v>14</v>
      </c>
      <c r="W8" s="665">
        <f t="shared" si="2"/>
        <v>100</v>
      </c>
      <c r="X8" s="666"/>
      <c r="Y8" s="3422" t="s">
        <v>1683</v>
      </c>
      <c r="Z8" s="342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8"/>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8"/>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8"/>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8"/>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6" t="s">
        <v>1691</v>
      </c>
      <c r="Q15" s="1263" t="str">
        <f t="shared" si="6"/>
        <v>商业繁华度</v>
      </c>
      <c r="R15" s="667" t="s">
        <v>14</v>
      </c>
      <c r="S15" s="668">
        <f t="shared" si="0"/>
        <v>100</v>
      </c>
      <c r="T15" s="667" t="s">
        <v>14</v>
      </c>
      <c r="U15" s="668">
        <f t="shared" si="1"/>
        <v>100</v>
      </c>
      <c r="V15" s="667" t="s">
        <v>14</v>
      </c>
      <c r="W15" s="668">
        <f t="shared" si="2"/>
        <v>100</v>
      </c>
      <c r="X15" s="1265"/>
      <c r="Y15" s="338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7"/>
      <c r="Q16" s="1263"/>
      <c r="R16" s="667"/>
      <c r="S16" s="668"/>
      <c r="T16" s="667"/>
      <c r="U16" s="668"/>
      <c r="V16" s="667"/>
      <c r="W16" s="668"/>
      <c r="X16" s="1265"/>
      <c r="Y16" s="339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7"/>
      <c r="Q18" s="1263"/>
      <c r="R18" s="667"/>
      <c r="S18" s="668"/>
      <c r="T18" s="667"/>
      <c r="U18" s="668"/>
      <c r="V18" s="667"/>
      <c r="W18" s="668"/>
      <c r="X18" s="1265"/>
      <c r="Y18" s="339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7"/>
      <c r="Q20" s="1263"/>
      <c r="R20" s="667"/>
      <c r="S20" s="668"/>
      <c r="T20" s="667"/>
      <c r="U20" s="668"/>
      <c r="V20" s="667"/>
      <c r="W20" s="668"/>
      <c r="X20" s="1265"/>
      <c r="Y20" s="339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7"/>
      <c r="Q22" s="1263"/>
      <c r="R22" s="667"/>
      <c r="S22" s="668"/>
      <c r="T22" s="667"/>
      <c r="U22" s="668"/>
      <c r="V22" s="667"/>
      <c r="W22" s="668"/>
      <c r="X22" s="1265"/>
      <c r="Y22" s="339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7"/>
      <c r="Q23" s="1263" t="str">
        <f>B23</f>
        <v>自然及人文环境</v>
      </c>
      <c r="R23" s="667" t="s">
        <v>14</v>
      </c>
      <c r="S23" s="668">
        <f>F23</f>
        <v>100</v>
      </c>
      <c r="T23" s="667" t="s">
        <v>14</v>
      </c>
      <c r="U23" s="668">
        <f>H23</f>
        <v>100</v>
      </c>
      <c r="V23" s="667" t="s">
        <v>14</v>
      </c>
      <c r="W23" s="668">
        <f>J23</f>
        <v>100</v>
      </c>
      <c r="X23" s="1265"/>
      <c r="Y23" s="339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7"/>
      <c r="Q24" s="1263"/>
      <c r="R24" s="667"/>
      <c r="S24" s="668"/>
      <c r="T24" s="667"/>
      <c r="U24" s="668"/>
      <c r="V24" s="667"/>
      <c r="W24" s="668"/>
      <c r="X24" s="1265"/>
      <c r="Y24" s="339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7"/>
      <c r="Q25" s="1263" t="str">
        <f t="shared" ref="Q25:Q46" si="11">B25</f>
        <v>临街状况</v>
      </c>
      <c r="R25" s="667" t="s">
        <v>14</v>
      </c>
      <c r="S25" s="668">
        <f>F25</f>
        <v>100</v>
      </c>
      <c r="T25" s="667" t="s">
        <v>14</v>
      </c>
      <c r="U25" s="668">
        <f>H25</f>
        <v>100</v>
      </c>
      <c r="V25" s="667" t="s">
        <v>14</v>
      </c>
      <c r="W25" s="668">
        <f>J25</f>
        <v>100</v>
      </c>
      <c r="X25" s="1265"/>
      <c r="Y25" s="339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7"/>
      <c r="Q26" s="1263" t="str">
        <f t="shared" si="11"/>
        <v>平面位置/可视性</v>
      </c>
      <c r="R26" s="667" t="s">
        <v>14</v>
      </c>
      <c r="S26" s="668">
        <f>F26</f>
        <v>100</v>
      </c>
      <c r="T26" s="667" t="s">
        <v>14</v>
      </c>
      <c r="U26" s="668">
        <f>H26</f>
        <v>100</v>
      </c>
      <c r="V26" s="667" t="s">
        <v>14</v>
      </c>
      <c r="W26" s="668">
        <f>J26</f>
        <v>100</v>
      </c>
      <c r="X26" s="1265"/>
      <c r="Y26" s="339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7"/>
      <c r="Q27" s="530" t="str">
        <f t="shared" si="11"/>
        <v>人流量</v>
      </c>
      <c r="R27" s="664" t="s">
        <v>14</v>
      </c>
      <c r="S27" s="665">
        <f>F27</f>
        <v>100</v>
      </c>
      <c r="T27" s="664" t="s">
        <v>14</v>
      </c>
      <c r="U27" s="665">
        <f>H27</f>
        <v>100</v>
      </c>
      <c r="V27" s="664" t="s">
        <v>14</v>
      </c>
      <c r="W27" s="665">
        <f>J27</f>
        <v>100</v>
      </c>
      <c r="X27" s="666"/>
      <c r="Y27" s="339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7"/>
      <c r="Q29" s="1263">
        <f t="shared" si="11"/>
        <v>111</v>
      </c>
      <c r="R29" s="667" t="s">
        <v>14</v>
      </c>
      <c r="S29" s="668">
        <f t="shared" si="12"/>
        <v>100</v>
      </c>
      <c r="T29" s="667" t="s">
        <v>14</v>
      </c>
      <c r="U29" s="668">
        <f t="shared" si="13"/>
        <v>100</v>
      </c>
      <c r="V29" s="667" t="s">
        <v>14</v>
      </c>
      <c r="W29" s="668">
        <f t="shared" si="14"/>
        <v>100</v>
      </c>
      <c r="X29" s="1265"/>
      <c r="Y29" s="339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91" t="s">
        <v>1696</v>
      </c>
      <c r="Q32" s="1263" t="str">
        <f t="shared" si="11"/>
        <v>商业类型</v>
      </c>
      <c r="R32" s="667" t="s">
        <v>14</v>
      </c>
      <c r="S32" s="668">
        <f t="shared" si="12"/>
        <v>100</v>
      </c>
      <c r="T32" s="667" t="s">
        <v>14</v>
      </c>
      <c r="U32" s="668">
        <f t="shared" si="13"/>
        <v>100</v>
      </c>
      <c r="V32" s="667" t="s">
        <v>14</v>
      </c>
      <c r="W32" s="668">
        <f t="shared" si="14"/>
        <v>100</v>
      </c>
      <c r="X32" s="1265"/>
      <c r="Y32" s="339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92"/>
      <c r="Q33" s="531" t="str">
        <f t="shared" si="11"/>
        <v>项目建筑规模</v>
      </c>
      <c r="R33" s="669" t="s">
        <v>14</v>
      </c>
      <c r="S33" s="670" t="e">
        <f t="shared" si="12"/>
        <v>#N/A</v>
      </c>
      <c r="T33" s="669" t="s">
        <v>14</v>
      </c>
      <c r="U33" s="670" t="e">
        <f t="shared" si="13"/>
        <v>#N/A</v>
      </c>
      <c r="V33" s="669" t="s">
        <v>14</v>
      </c>
      <c r="W33" s="670" t="e">
        <f t="shared" si="14"/>
        <v>#N/A</v>
      </c>
      <c r="X33" s="671"/>
      <c r="Y33" s="339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92"/>
      <c r="Q34" s="1263" t="str">
        <f t="shared" si="11"/>
        <v>建筑结构</v>
      </c>
      <c r="R34" s="667" t="s">
        <v>14</v>
      </c>
      <c r="S34" s="668">
        <f t="shared" si="12"/>
        <v>100</v>
      </c>
      <c r="T34" s="667" t="s">
        <v>14</v>
      </c>
      <c r="U34" s="668">
        <f t="shared" si="13"/>
        <v>100</v>
      </c>
      <c r="V34" s="667" t="s">
        <v>14</v>
      </c>
      <c r="W34" s="668">
        <f t="shared" si="14"/>
        <v>100</v>
      </c>
      <c r="X34" s="1265"/>
      <c r="Y34" s="339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92"/>
      <c r="Q35" s="1263" t="str">
        <f t="shared" si="11"/>
        <v>公共部分装修</v>
      </c>
      <c r="R35" s="667" t="s">
        <v>14</v>
      </c>
      <c r="S35" s="668">
        <f t="shared" si="12"/>
        <v>100</v>
      </c>
      <c r="T35" s="667" t="s">
        <v>14</v>
      </c>
      <c r="U35" s="668">
        <f t="shared" si="13"/>
        <v>100</v>
      </c>
      <c r="V35" s="667" t="s">
        <v>14</v>
      </c>
      <c r="W35" s="668">
        <f t="shared" si="14"/>
        <v>100</v>
      </c>
      <c r="X35" s="1265"/>
      <c r="Y35" s="339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92"/>
      <c r="Q36" s="1263" t="str">
        <f t="shared" si="11"/>
        <v>成新度</v>
      </c>
      <c r="R36" s="667" t="s">
        <v>14</v>
      </c>
      <c r="S36" s="668" t="e">
        <f t="shared" si="12"/>
        <v>#N/A</v>
      </c>
      <c r="T36" s="667" t="s">
        <v>14</v>
      </c>
      <c r="U36" s="668" t="e">
        <f t="shared" si="13"/>
        <v>#N/A</v>
      </c>
      <c r="V36" s="667" t="s">
        <v>14</v>
      </c>
      <c r="W36" s="668" t="e">
        <f t="shared" si="14"/>
        <v>#N/A</v>
      </c>
      <c r="X36" s="1265"/>
      <c r="Y36" s="339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92"/>
      <c r="Q37" s="530" t="str">
        <f t="shared" si="11"/>
        <v>市政基础设施</v>
      </c>
      <c r="R37" s="664" t="s">
        <v>14</v>
      </c>
      <c r="S37" s="665">
        <f t="shared" si="12"/>
        <v>100</v>
      </c>
      <c r="T37" s="664" t="s">
        <v>14</v>
      </c>
      <c r="U37" s="665">
        <f t="shared" si="13"/>
        <v>100</v>
      </c>
      <c r="V37" s="664" t="s">
        <v>14</v>
      </c>
      <c r="W37" s="665">
        <f t="shared" si="14"/>
        <v>100</v>
      </c>
      <c r="X37" s="666"/>
      <c r="Y37" s="339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92" t="s">
        <v>1696</v>
      </c>
      <c r="Q38" s="1263" t="str">
        <f t="shared" si="11"/>
        <v>业态</v>
      </c>
      <c r="R38" s="667" t="s">
        <v>14</v>
      </c>
      <c r="S38" s="668">
        <f t="shared" si="12"/>
        <v>100</v>
      </c>
      <c r="T38" s="667" t="s">
        <v>14</v>
      </c>
      <c r="U38" s="668">
        <f t="shared" si="13"/>
        <v>100</v>
      </c>
      <c r="V38" s="667" t="s">
        <v>14</v>
      </c>
      <c r="W38" s="668">
        <f t="shared" si="14"/>
        <v>100</v>
      </c>
      <c r="X38" s="1265"/>
      <c r="Y38" s="339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92"/>
      <c r="Q39" s="1263" t="str">
        <f t="shared" si="11"/>
        <v>层高</v>
      </c>
      <c r="R39" s="667" t="s">
        <v>14</v>
      </c>
      <c r="S39" s="668">
        <f t="shared" si="12"/>
        <v>100</v>
      </c>
      <c r="T39" s="667" t="s">
        <v>14</v>
      </c>
      <c r="U39" s="668">
        <f t="shared" si="13"/>
        <v>100</v>
      </c>
      <c r="V39" s="667" t="s">
        <v>14</v>
      </c>
      <c r="W39" s="668">
        <f t="shared" si="14"/>
        <v>100</v>
      </c>
      <c r="X39" s="1265"/>
      <c r="Y39" s="339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2"/>
      <c r="Q40" s="1263" t="str">
        <f t="shared" si="11"/>
        <v>单套建筑面积</v>
      </c>
      <c r="R40" s="667" t="s">
        <v>14</v>
      </c>
      <c r="S40" s="668">
        <f t="shared" si="12"/>
        <v>100</v>
      </c>
      <c r="T40" s="667" t="s">
        <v>14</v>
      </c>
      <c r="U40" s="668">
        <f t="shared" si="13"/>
        <v>100</v>
      </c>
      <c r="V40" s="667" t="s">
        <v>14</v>
      </c>
      <c r="W40" s="668">
        <f t="shared" si="14"/>
        <v>100</v>
      </c>
      <c r="X40" s="1265"/>
      <c r="Y40" s="339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2"/>
      <c r="Q41" s="531" t="str">
        <f t="shared" si="11"/>
        <v>进深比</v>
      </c>
      <c r="R41" s="669" t="s">
        <v>14</v>
      </c>
      <c r="S41" s="670">
        <f t="shared" si="12"/>
        <v>100</v>
      </c>
      <c r="T41" s="669" t="s">
        <v>14</v>
      </c>
      <c r="U41" s="670">
        <f t="shared" si="13"/>
        <v>100</v>
      </c>
      <c r="V41" s="669" t="s">
        <v>14</v>
      </c>
      <c r="W41" s="670">
        <f t="shared" si="14"/>
        <v>100</v>
      </c>
      <c r="X41" s="671"/>
      <c r="Y41" s="339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92"/>
      <c r="Q42" s="1263" t="str">
        <f t="shared" si="11"/>
        <v>内部装修</v>
      </c>
      <c r="R42" s="667" t="s">
        <v>14</v>
      </c>
      <c r="S42" s="668">
        <f t="shared" si="12"/>
        <v>100</v>
      </c>
      <c r="T42" s="667" t="s">
        <v>14</v>
      </c>
      <c r="U42" s="668">
        <f t="shared" si="13"/>
        <v>100</v>
      </c>
      <c r="V42" s="667" t="s">
        <v>14</v>
      </c>
      <c r="W42" s="668">
        <f t="shared" si="14"/>
        <v>100</v>
      </c>
      <c r="X42" s="1265"/>
      <c r="Y42" s="339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92"/>
      <c r="Q43" s="1263" t="str">
        <f t="shared" si="11"/>
        <v>内部装修维护情况</v>
      </c>
      <c r="R43" s="667" t="s">
        <v>14</v>
      </c>
      <c r="S43" s="668">
        <f t="shared" si="12"/>
        <v>100</v>
      </c>
      <c r="T43" s="667" t="s">
        <v>14</v>
      </c>
      <c r="U43" s="668">
        <f t="shared" si="13"/>
        <v>100</v>
      </c>
      <c r="V43" s="667" t="s">
        <v>14</v>
      </c>
      <c r="W43" s="668">
        <f t="shared" si="14"/>
        <v>100</v>
      </c>
      <c r="X43" s="1265"/>
      <c r="Y43" s="339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92"/>
      <c r="Q44" s="530">
        <f t="shared" si="11"/>
        <v>111</v>
      </c>
      <c r="R44" s="664" t="s">
        <v>14</v>
      </c>
      <c r="S44" s="665">
        <f t="shared" si="12"/>
        <v>100</v>
      </c>
      <c r="T44" s="664" t="s">
        <v>14</v>
      </c>
      <c r="U44" s="665">
        <f t="shared" si="13"/>
        <v>100</v>
      </c>
      <c r="V44" s="664" t="s">
        <v>14</v>
      </c>
      <c r="W44" s="665">
        <f t="shared" si="14"/>
        <v>100</v>
      </c>
      <c r="X44" s="666"/>
      <c r="Y44" s="339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2"/>
      <c r="Q45" s="1263">
        <f t="shared" si="11"/>
        <v>111</v>
      </c>
      <c r="R45" s="667" t="s">
        <v>14</v>
      </c>
      <c r="S45" s="668">
        <f t="shared" si="12"/>
        <v>100</v>
      </c>
      <c r="T45" s="667" t="s">
        <v>14</v>
      </c>
      <c r="U45" s="668">
        <f t="shared" si="13"/>
        <v>100</v>
      </c>
      <c r="V45" s="667" t="s">
        <v>14</v>
      </c>
      <c r="W45" s="668">
        <f t="shared" si="14"/>
        <v>100</v>
      </c>
      <c r="X45" s="1265"/>
      <c r="Y45" s="339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3"/>
      <c r="M48" s="2486"/>
      <c r="N48" s="2486"/>
      <c r="O48" s="2486"/>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67261.53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02" t="s">
        <v>1770</v>
      </c>
      <c r="D4" s="3403"/>
      <c r="E4" s="3404" t="s">
        <v>1771</v>
      </c>
      <c r="F4" s="3405"/>
      <c r="G4" s="3402" t="s">
        <v>1772</v>
      </c>
      <c r="H4" s="3403"/>
      <c r="I4" s="3402" t="s">
        <v>1773</v>
      </c>
      <c r="J4" s="3403"/>
      <c r="K4" s="537" t="s">
        <v>1774</v>
      </c>
      <c r="L4" s="2485"/>
      <c r="M4" s="2486"/>
      <c r="N4" s="2486"/>
      <c r="O4" s="2486"/>
      <c r="P4" s="3435" t="s">
        <v>1775</v>
      </c>
      <c r="Q4" s="3436"/>
      <c r="R4" s="3439" t="s">
        <v>1771</v>
      </c>
      <c r="S4" s="3440"/>
      <c r="T4" s="3439" t="s">
        <v>1772</v>
      </c>
      <c r="U4" s="3440"/>
      <c r="V4" s="3441" t="s">
        <v>1773</v>
      </c>
      <c r="W4" s="3441"/>
      <c r="X4" s="1809"/>
      <c r="Y4" s="3439" t="s">
        <v>1775</v>
      </c>
      <c r="Z4" s="3440"/>
      <c r="AA4" s="3443" t="s">
        <v>1771</v>
      </c>
      <c r="AB4" s="3443" t="s">
        <v>1772</v>
      </c>
      <c r="AC4" s="3432" t="s">
        <v>1773</v>
      </c>
    </row>
    <row r="5" spans="1:29" ht="15">
      <c r="A5" s="348"/>
      <c r="B5" s="349"/>
      <c r="C5" s="3420" t="s">
        <v>1673</v>
      </c>
      <c r="D5" s="3421"/>
      <c r="E5" s="3427" t="s">
        <v>1674</v>
      </c>
      <c r="F5" s="3428"/>
      <c r="G5" s="3420" t="s">
        <v>1675</v>
      </c>
      <c r="H5" s="3421"/>
      <c r="I5" s="3420" t="s">
        <v>1676</v>
      </c>
      <c r="J5" s="3421"/>
      <c r="K5" s="537"/>
      <c r="L5" s="2485"/>
      <c r="M5" s="2486"/>
      <c r="N5" s="2486"/>
      <c r="O5" s="2486"/>
      <c r="P5" s="3437"/>
      <c r="Q5" s="3409"/>
      <c r="R5" s="3414"/>
      <c r="S5" s="3415"/>
      <c r="T5" s="3414"/>
      <c r="U5" s="3415"/>
      <c r="V5" s="3388"/>
      <c r="W5" s="3388"/>
      <c r="X5" s="1265"/>
      <c r="Y5" s="3414"/>
      <c r="Z5" s="3415"/>
      <c r="AA5" s="3400"/>
      <c r="AB5" s="3400"/>
      <c r="AC5" s="3433"/>
    </row>
    <row r="6" spans="1:29" ht="15.75" thickBot="1">
      <c r="A6" s="350"/>
      <c r="B6" s="351"/>
      <c r="C6" s="3418" t="s">
        <v>1677</v>
      </c>
      <c r="D6" s="3419"/>
      <c r="E6" s="3425" t="s">
        <v>1677</v>
      </c>
      <c r="F6" s="3426"/>
      <c r="G6" s="3418" t="s">
        <v>1677</v>
      </c>
      <c r="H6" s="3419"/>
      <c r="I6" s="3418" t="s">
        <v>1677</v>
      </c>
      <c r="J6" s="3419"/>
      <c r="K6" s="537" t="s">
        <v>1678</v>
      </c>
      <c r="L6" s="2485"/>
      <c r="M6" s="2486"/>
      <c r="N6" s="2486"/>
      <c r="O6" s="2486"/>
      <c r="P6" s="3438"/>
      <c r="Q6" s="3411"/>
      <c r="R6" s="3414"/>
      <c r="S6" s="3415"/>
      <c r="T6" s="3416"/>
      <c r="U6" s="3417"/>
      <c r="V6" s="3388"/>
      <c r="W6" s="3388"/>
      <c r="X6" s="1265"/>
      <c r="Y6" s="3416"/>
      <c r="Z6" s="3417"/>
      <c r="AA6" s="3401"/>
      <c r="AB6" s="3401"/>
      <c r="AC6" s="3434"/>
    </row>
    <row r="7" spans="1:29" s="102" customFormat="1" ht="15.75" thickBot="1">
      <c r="A7" s="352" t="s">
        <v>1679</v>
      </c>
      <c r="B7" s="353"/>
      <c r="C7" s="354">
        <f>'数据-取费表'!B2</f>
        <v>45721</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2" t="s">
        <v>1683</v>
      </c>
      <c r="Q8" s="3423"/>
      <c r="R8" s="664" t="s">
        <v>14</v>
      </c>
      <c r="S8" s="665">
        <f t="shared" si="0"/>
        <v>100</v>
      </c>
      <c r="T8" s="664" t="s">
        <v>14</v>
      </c>
      <c r="U8" s="665">
        <f t="shared" si="1"/>
        <v>100</v>
      </c>
      <c r="V8" s="664" t="s">
        <v>14</v>
      </c>
      <c r="W8" s="665">
        <f t="shared" si="2"/>
        <v>100</v>
      </c>
      <c r="X8" s="666"/>
      <c r="Y8" s="3422" t="s">
        <v>1683</v>
      </c>
      <c r="Z8" s="342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8"/>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8"/>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8"/>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8"/>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6" t="s">
        <v>1691</v>
      </c>
      <c r="Q15" s="1263" t="str">
        <f t="shared" si="6"/>
        <v>办公集聚程度</v>
      </c>
      <c r="R15" s="667" t="s">
        <v>14</v>
      </c>
      <c r="S15" s="668">
        <f t="shared" si="0"/>
        <v>100</v>
      </c>
      <c r="T15" s="667" t="s">
        <v>14</v>
      </c>
      <c r="U15" s="668">
        <f t="shared" si="1"/>
        <v>100</v>
      </c>
      <c r="V15" s="667" t="s">
        <v>14</v>
      </c>
      <c r="W15" s="668">
        <f t="shared" si="2"/>
        <v>100</v>
      </c>
      <c r="X15" s="1265"/>
      <c r="Y15" s="338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97"/>
      <c r="Q16" s="1263"/>
      <c r="R16" s="667"/>
      <c r="S16" s="668"/>
      <c r="T16" s="667"/>
      <c r="U16" s="668"/>
      <c r="V16" s="667"/>
      <c r="W16" s="668"/>
      <c r="X16" s="1265"/>
      <c r="Y16" s="339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97"/>
      <c r="Q18" s="1263"/>
      <c r="R18" s="667"/>
      <c r="S18" s="668"/>
      <c r="T18" s="667"/>
      <c r="U18" s="668"/>
      <c r="V18" s="667"/>
      <c r="W18" s="668"/>
      <c r="X18" s="1265"/>
      <c r="Y18" s="339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97"/>
      <c r="Q20" s="1263"/>
      <c r="R20" s="667"/>
      <c r="S20" s="668"/>
      <c r="T20" s="667"/>
      <c r="U20" s="668"/>
      <c r="V20" s="667"/>
      <c r="W20" s="668"/>
      <c r="X20" s="1265"/>
      <c r="Y20" s="339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97"/>
      <c r="Q22" s="1263"/>
      <c r="R22" s="667"/>
      <c r="S22" s="668"/>
      <c r="T22" s="667"/>
      <c r="U22" s="668"/>
      <c r="V22" s="667"/>
      <c r="W22" s="668"/>
      <c r="X22" s="1265"/>
      <c r="Y22" s="339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7"/>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97"/>
      <c r="Q24" s="1263"/>
      <c r="R24" s="667"/>
      <c r="S24" s="668"/>
      <c r="T24" s="667"/>
      <c r="U24" s="668"/>
      <c r="V24" s="667"/>
      <c r="W24" s="668"/>
      <c r="X24" s="1265"/>
      <c r="Y24" s="339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7"/>
      <c r="Q25" s="1263" t="str">
        <f>B25</f>
        <v>毗邻道路的类型与等级</v>
      </c>
      <c r="R25" s="667" t="s">
        <v>14</v>
      </c>
      <c r="S25" s="668">
        <f>F25</f>
        <v>100</v>
      </c>
      <c r="T25" s="667" t="s">
        <v>14</v>
      </c>
      <c r="U25" s="668">
        <f>H25</f>
        <v>100</v>
      </c>
      <c r="V25" s="667" t="s">
        <v>14</v>
      </c>
      <c r="W25" s="668">
        <f>J25</f>
        <v>100</v>
      </c>
      <c r="X25" s="1265"/>
      <c r="Y25" s="339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97"/>
      <c r="Q26" s="1263"/>
      <c r="R26" s="667"/>
      <c r="S26" s="668"/>
      <c r="T26" s="667"/>
      <c r="U26" s="668"/>
      <c r="V26" s="667"/>
      <c r="W26" s="668"/>
      <c r="X26" s="1265"/>
      <c r="Y26" s="339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7"/>
      <c r="Q27" s="1263" t="str">
        <f t="shared" ref="Q27:Q47" si="11">B27</f>
        <v>楼层</v>
      </c>
      <c r="R27" s="667" t="s">
        <v>14</v>
      </c>
      <c r="S27" s="668">
        <f>F27</f>
        <v>100</v>
      </c>
      <c r="T27" s="667" t="s">
        <v>14</v>
      </c>
      <c r="U27" s="668">
        <f>H27</f>
        <v>100</v>
      </c>
      <c r="V27" s="667" t="s">
        <v>14</v>
      </c>
      <c r="W27" s="668">
        <f>J27</f>
        <v>100</v>
      </c>
      <c r="X27" s="1265"/>
      <c r="Y27" s="339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7"/>
      <c r="Q28" s="530" t="str">
        <f t="shared" si="11"/>
        <v>朝向</v>
      </c>
      <c r="R28" s="664" t="s">
        <v>14</v>
      </c>
      <c r="S28" s="665">
        <f>F28</f>
        <v>100</v>
      </c>
      <c r="T28" s="664" t="s">
        <v>14</v>
      </c>
      <c r="U28" s="665">
        <f>H28</f>
        <v>100</v>
      </c>
      <c r="V28" s="664" t="s">
        <v>14</v>
      </c>
      <c r="W28" s="665">
        <f>J28</f>
        <v>100</v>
      </c>
      <c r="X28" s="666"/>
      <c r="Y28" s="339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7"/>
      <c r="Q29" s="1263">
        <f t="shared" si="11"/>
        <v>111</v>
      </c>
      <c r="R29" s="667" t="s">
        <v>14</v>
      </c>
      <c r="S29" s="668">
        <f t="shared" ref="S29:S47" si="12">F29</f>
        <v>100</v>
      </c>
      <c r="T29" s="667" t="s">
        <v>14</v>
      </c>
      <c r="U29" s="668">
        <f t="shared" ref="U29:U47" si="13">H29</f>
        <v>100</v>
      </c>
      <c r="V29" s="667" t="s">
        <v>14</v>
      </c>
      <c r="W29" s="668">
        <f t="shared" ref="W29:W47" si="14">J29</f>
        <v>100</v>
      </c>
      <c r="X29" s="1265"/>
      <c r="Y29" s="339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7"/>
      <c r="Q32" s="1263">
        <f t="shared" si="11"/>
        <v>111</v>
      </c>
      <c r="R32" s="667" t="s">
        <v>14</v>
      </c>
      <c r="S32" s="668">
        <f t="shared" si="12"/>
        <v>100</v>
      </c>
      <c r="T32" s="667" t="s">
        <v>14</v>
      </c>
      <c r="U32" s="668">
        <f t="shared" si="13"/>
        <v>100</v>
      </c>
      <c r="V32" s="667" t="s">
        <v>14</v>
      </c>
      <c r="W32" s="668">
        <f t="shared" si="14"/>
        <v>100</v>
      </c>
      <c r="X32" s="1265"/>
      <c r="Y32" s="339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91" t="s">
        <v>1696</v>
      </c>
      <c r="Q33" s="1263" t="str">
        <f t="shared" si="11"/>
        <v>建筑类型</v>
      </c>
      <c r="R33" s="667" t="s">
        <v>14</v>
      </c>
      <c r="S33" s="668">
        <f t="shared" si="12"/>
        <v>100</v>
      </c>
      <c r="T33" s="667" t="s">
        <v>14</v>
      </c>
      <c r="U33" s="668">
        <f t="shared" si="13"/>
        <v>100</v>
      </c>
      <c r="V33" s="667" t="s">
        <v>14</v>
      </c>
      <c r="W33" s="668">
        <f t="shared" si="14"/>
        <v>100</v>
      </c>
      <c r="X33" s="1265"/>
      <c r="Y33" s="339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2"/>
      <c r="Q34" s="531" t="str">
        <f t="shared" si="11"/>
        <v>项目建筑规模</v>
      </c>
      <c r="R34" s="669" t="s">
        <v>14</v>
      </c>
      <c r="S34" s="670" t="e">
        <f t="shared" si="12"/>
        <v>#N/A</v>
      </c>
      <c r="T34" s="669" t="s">
        <v>14</v>
      </c>
      <c r="U34" s="670" t="e">
        <f t="shared" si="13"/>
        <v>#N/A</v>
      </c>
      <c r="V34" s="669" t="s">
        <v>14</v>
      </c>
      <c r="W34" s="670" t="e">
        <f t="shared" si="14"/>
        <v>#N/A</v>
      </c>
      <c r="X34" s="671"/>
      <c r="Y34" s="339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2"/>
      <c r="Q35" s="1263" t="str">
        <f t="shared" si="11"/>
        <v>建筑结构</v>
      </c>
      <c r="R35" s="667" t="s">
        <v>14</v>
      </c>
      <c r="S35" s="668">
        <f t="shared" si="12"/>
        <v>100</v>
      </c>
      <c r="T35" s="667" t="s">
        <v>14</v>
      </c>
      <c r="U35" s="668">
        <f t="shared" si="13"/>
        <v>100</v>
      </c>
      <c r="V35" s="667" t="s">
        <v>14</v>
      </c>
      <c r="W35" s="668">
        <f t="shared" si="14"/>
        <v>100</v>
      </c>
      <c r="X35" s="1265"/>
      <c r="Y35" s="339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2"/>
      <c r="Q36" s="1263" t="str">
        <f t="shared" si="11"/>
        <v>公共部分装修</v>
      </c>
      <c r="R36" s="667" t="s">
        <v>14</v>
      </c>
      <c r="S36" s="668">
        <f t="shared" si="12"/>
        <v>100</v>
      </c>
      <c r="T36" s="667" t="s">
        <v>14</v>
      </c>
      <c r="U36" s="668">
        <f t="shared" si="13"/>
        <v>100</v>
      </c>
      <c r="V36" s="667" t="s">
        <v>14</v>
      </c>
      <c r="W36" s="668">
        <f t="shared" si="14"/>
        <v>100</v>
      </c>
      <c r="X36" s="1265"/>
      <c r="Y36" s="339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2"/>
      <c r="Q37" s="1263" t="str">
        <f t="shared" si="11"/>
        <v>成新度</v>
      </c>
      <c r="R37" s="667" t="s">
        <v>14</v>
      </c>
      <c r="S37" s="668" t="e">
        <f t="shared" si="12"/>
        <v>#N/A</v>
      </c>
      <c r="T37" s="667" t="s">
        <v>14</v>
      </c>
      <c r="U37" s="668" t="e">
        <f t="shared" si="13"/>
        <v>#N/A</v>
      </c>
      <c r="V37" s="667" t="s">
        <v>14</v>
      </c>
      <c r="W37" s="668" t="e">
        <f t="shared" si="14"/>
        <v>#N/A</v>
      </c>
      <c r="X37" s="1265"/>
      <c r="Y37" s="339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92"/>
      <c r="Q38" s="530" t="str">
        <f t="shared" si="11"/>
        <v>写字楼等级</v>
      </c>
      <c r="R38" s="664" t="s">
        <v>14</v>
      </c>
      <c r="S38" s="665">
        <f t="shared" si="12"/>
        <v>100</v>
      </c>
      <c r="T38" s="664" t="s">
        <v>14</v>
      </c>
      <c r="U38" s="665">
        <f t="shared" si="13"/>
        <v>100</v>
      </c>
      <c r="V38" s="664" t="s">
        <v>14</v>
      </c>
      <c r="W38" s="665">
        <f t="shared" si="14"/>
        <v>100</v>
      </c>
      <c r="X38" s="666"/>
      <c r="Y38" s="339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2" t="s">
        <v>1696</v>
      </c>
      <c r="Q39" s="1263" t="str">
        <f t="shared" si="11"/>
        <v>物业管理</v>
      </c>
      <c r="R39" s="667" t="s">
        <v>14</v>
      </c>
      <c r="S39" s="668">
        <f t="shared" si="12"/>
        <v>100</v>
      </c>
      <c r="T39" s="667" t="s">
        <v>14</v>
      </c>
      <c r="U39" s="668">
        <f t="shared" si="13"/>
        <v>100</v>
      </c>
      <c r="V39" s="667" t="s">
        <v>14</v>
      </c>
      <c r="W39" s="668">
        <f t="shared" si="14"/>
        <v>100</v>
      </c>
      <c r="X39" s="1265"/>
      <c r="Y39" s="339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2"/>
      <c r="Q40" s="1263" t="str">
        <f t="shared" si="11"/>
        <v>市政基础设施</v>
      </c>
      <c r="R40" s="667" t="s">
        <v>14</v>
      </c>
      <c r="S40" s="668">
        <f t="shared" si="12"/>
        <v>100</v>
      </c>
      <c r="T40" s="667" t="s">
        <v>14</v>
      </c>
      <c r="U40" s="668">
        <f t="shared" si="13"/>
        <v>100</v>
      </c>
      <c r="V40" s="667" t="s">
        <v>14</v>
      </c>
      <c r="W40" s="668">
        <f t="shared" si="14"/>
        <v>100</v>
      </c>
      <c r="X40" s="1265"/>
      <c r="Y40" s="339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2"/>
      <c r="Q41" s="1263" t="str">
        <f t="shared" si="11"/>
        <v>层高</v>
      </c>
      <c r="R41" s="667" t="s">
        <v>14</v>
      </c>
      <c r="S41" s="668">
        <f t="shared" si="12"/>
        <v>100</v>
      </c>
      <c r="T41" s="667" t="s">
        <v>14</v>
      </c>
      <c r="U41" s="668">
        <f t="shared" si="13"/>
        <v>100</v>
      </c>
      <c r="V41" s="667" t="s">
        <v>14</v>
      </c>
      <c r="W41" s="668">
        <f t="shared" si="14"/>
        <v>100</v>
      </c>
      <c r="X41" s="1265"/>
      <c r="Y41" s="339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2"/>
      <c r="Q42" s="531" t="str">
        <f t="shared" si="11"/>
        <v>单套建筑面积</v>
      </c>
      <c r="R42" s="669" t="s">
        <v>14</v>
      </c>
      <c r="S42" s="670">
        <f t="shared" si="12"/>
        <v>100</v>
      </c>
      <c r="T42" s="669" t="s">
        <v>14</v>
      </c>
      <c r="U42" s="670">
        <f t="shared" si="13"/>
        <v>100</v>
      </c>
      <c r="V42" s="669" t="s">
        <v>14</v>
      </c>
      <c r="W42" s="670">
        <f t="shared" si="14"/>
        <v>100</v>
      </c>
      <c r="X42" s="671"/>
      <c r="Y42" s="339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2"/>
      <c r="Q43" s="1263" t="str">
        <f t="shared" si="11"/>
        <v>内部装修</v>
      </c>
      <c r="R43" s="667" t="s">
        <v>14</v>
      </c>
      <c r="S43" s="668">
        <f t="shared" si="12"/>
        <v>100</v>
      </c>
      <c r="T43" s="667" t="s">
        <v>14</v>
      </c>
      <c r="U43" s="668">
        <f t="shared" si="13"/>
        <v>100</v>
      </c>
      <c r="V43" s="667" t="s">
        <v>14</v>
      </c>
      <c r="W43" s="668">
        <f t="shared" si="14"/>
        <v>100</v>
      </c>
      <c r="X43" s="1265"/>
      <c r="Y43" s="339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92"/>
      <c r="Q44" s="1263" t="str">
        <f t="shared" si="11"/>
        <v>内部装修维护情况</v>
      </c>
      <c r="R44" s="667" t="s">
        <v>14</v>
      </c>
      <c r="S44" s="668">
        <f t="shared" si="12"/>
        <v>100</v>
      </c>
      <c r="T44" s="667" t="s">
        <v>14</v>
      </c>
      <c r="U44" s="668">
        <f t="shared" si="13"/>
        <v>100</v>
      </c>
      <c r="V44" s="667" t="s">
        <v>14</v>
      </c>
      <c r="W44" s="668">
        <f t="shared" si="14"/>
        <v>100</v>
      </c>
      <c r="X44" s="1265"/>
      <c r="Y44" s="339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92"/>
      <c r="Q45" s="530">
        <f t="shared" si="11"/>
        <v>111</v>
      </c>
      <c r="R45" s="664" t="s">
        <v>14</v>
      </c>
      <c r="S45" s="665">
        <f t="shared" si="12"/>
        <v>100</v>
      </c>
      <c r="T45" s="664" t="s">
        <v>14</v>
      </c>
      <c r="U45" s="665">
        <f t="shared" si="13"/>
        <v>100</v>
      </c>
      <c r="V45" s="664" t="s">
        <v>14</v>
      </c>
      <c r="W45" s="665">
        <f t="shared" si="14"/>
        <v>100</v>
      </c>
      <c r="X45" s="666"/>
      <c r="Y45" s="339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3"/>
      <c r="Q47" s="1263">
        <f t="shared" si="11"/>
        <v>111</v>
      </c>
      <c r="R47" s="667" t="s">
        <v>14</v>
      </c>
      <c r="S47" s="668">
        <f t="shared" si="12"/>
        <v>100</v>
      </c>
      <c r="T47" s="667" t="s">
        <v>14</v>
      </c>
      <c r="U47" s="668">
        <f t="shared" si="13"/>
        <v>100</v>
      </c>
      <c r="V47" s="667" t="s">
        <v>14</v>
      </c>
      <c r="W47" s="668">
        <f t="shared" si="14"/>
        <v>100</v>
      </c>
      <c r="X47" s="1265"/>
      <c r="Y47" s="339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398" t="str">
        <f>A48</f>
        <v>成交单价（元/平方米）</v>
      </c>
      <c r="Q48" s="3387"/>
      <c r="R48" s="3388">
        <f>E48</f>
        <v>0</v>
      </c>
      <c r="S48" s="3388"/>
      <c r="T48" s="3388">
        <f>G48</f>
        <v>0</v>
      </c>
      <c r="U48" s="3388"/>
      <c r="V48" s="3388">
        <f>I48</f>
        <v>0</v>
      </c>
      <c r="W48" s="3388"/>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3"/>
      <c r="M49" s="2486"/>
      <c r="N49" s="2486"/>
      <c r="O49" s="2486"/>
      <c r="P49" s="3398" t="str">
        <f>A49</f>
        <v>比较价值（元/平方米）</v>
      </c>
      <c r="Q49" s="3387"/>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67261.53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860"/>
      <c r="M4" s="861"/>
      <c r="N4" s="861"/>
      <c r="O4" s="861"/>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860"/>
      <c r="M5" s="861"/>
      <c r="N5" s="861"/>
      <c r="O5" s="861"/>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860"/>
      <c r="M6" s="861"/>
      <c r="N6" s="861"/>
      <c r="O6" s="861"/>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45721</v>
      </c>
      <c r="D7" s="355">
        <v>100</v>
      </c>
      <c r="E7" s="356"/>
      <c r="F7" s="357">
        <f>SUMIF(52:52,YEAR(E7)&amp;"-"&amp;MONTH(E7),53:53)</f>
        <v>0</v>
      </c>
      <c r="G7" s="356"/>
      <c r="H7" s="355">
        <f>SUMIF(52:52,YEAR(G7)&amp;"-"&amp;MONTH(G7),53:53)</f>
        <v>0</v>
      </c>
      <c r="I7" s="356"/>
      <c r="J7" s="355">
        <f>SUMIF(52:52,YEAR(I7)&amp;"-"&amp;MONTH(I7),53:53)</f>
        <v>0</v>
      </c>
      <c r="K7" s="38"/>
      <c r="L7" s="862"/>
      <c r="M7" s="863"/>
      <c r="N7" s="863"/>
      <c r="O7" s="863"/>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2" t="s">
        <v>1683</v>
      </c>
      <c r="Q8" s="3423"/>
      <c r="R8" s="664" t="s">
        <v>14</v>
      </c>
      <c r="S8" s="665">
        <f t="shared" si="0"/>
        <v>100</v>
      </c>
      <c r="T8" s="664" t="s">
        <v>14</v>
      </c>
      <c r="U8" s="665">
        <f t="shared" si="1"/>
        <v>100</v>
      </c>
      <c r="V8" s="664" t="s">
        <v>14</v>
      </c>
      <c r="W8" s="665">
        <f t="shared" si="2"/>
        <v>100</v>
      </c>
      <c r="X8" s="666"/>
      <c r="Y8" s="3422" t="s">
        <v>1683</v>
      </c>
      <c r="Z8" s="342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7"/>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0"/>
      <c r="Q16" s="1263"/>
      <c r="R16" s="667"/>
      <c r="S16" s="668"/>
      <c r="T16" s="667"/>
      <c r="U16" s="668"/>
      <c r="V16" s="667"/>
      <c r="W16" s="668"/>
      <c r="X16" s="1265"/>
      <c r="Y16" s="339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0"/>
      <c r="Q18" s="1263"/>
      <c r="R18" s="667"/>
      <c r="S18" s="668"/>
      <c r="T18" s="667"/>
      <c r="U18" s="668"/>
      <c r="V18" s="667"/>
      <c r="W18" s="668"/>
      <c r="X18" s="1265"/>
      <c r="Y18" s="339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0"/>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0"/>
      <c r="Q20" s="1263"/>
      <c r="R20" s="667"/>
      <c r="S20" s="668"/>
      <c r="T20" s="667"/>
      <c r="U20" s="668"/>
      <c r="V20" s="667"/>
      <c r="W20" s="668"/>
      <c r="X20" s="1265"/>
      <c r="Y20" s="339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0"/>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0"/>
      <c r="Q22" s="1263"/>
      <c r="R22" s="667"/>
      <c r="S22" s="668"/>
      <c r="T22" s="667"/>
      <c r="U22" s="668"/>
      <c r="V22" s="667"/>
      <c r="W22" s="668"/>
      <c r="X22" s="1265"/>
      <c r="Y22" s="339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0"/>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0"/>
      <c r="Q24" s="1263"/>
      <c r="R24" s="667"/>
      <c r="S24" s="668"/>
      <c r="T24" s="667"/>
      <c r="U24" s="668"/>
      <c r="V24" s="667"/>
      <c r="W24" s="668"/>
      <c r="X24" s="1265"/>
      <c r="Y24" s="339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0"/>
      <c r="Q25" s="1263">
        <f>B25</f>
        <v>111</v>
      </c>
      <c r="R25" s="667" t="s">
        <v>14</v>
      </c>
      <c r="S25" s="668">
        <f>F25</f>
        <v>100</v>
      </c>
      <c r="T25" s="667" t="s">
        <v>14</v>
      </c>
      <c r="U25" s="668">
        <f>H25</f>
        <v>100</v>
      </c>
      <c r="V25" s="667" t="s">
        <v>14</v>
      </c>
      <c r="W25" s="668">
        <f>J25</f>
        <v>100</v>
      </c>
      <c r="X25" s="1265"/>
      <c r="Y25" s="339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0"/>
      <c r="Q26" s="1263">
        <f t="shared" ref="Q26:Q40" si="11">B26</f>
        <v>111</v>
      </c>
      <c r="R26" s="667" t="s">
        <v>14</v>
      </c>
      <c r="S26" s="668">
        <f>F26</f>
        <v>100</v>
      </c>
      <c r="T26" s="667" t="s">
        <v>14</v>
      </c>
      <c r="U26" s="668">
        <f>H26</f>
        <v>100</v>
      </c>
      <c r="V26" s="667" t="s">
        <v>14</v>
      </c>
      <c r="W26" s="668">
        <f>J26</f>
        <v>100</v>
      </c>
      <c r="X26" s="1265"/>
      <c r="Y26" s="339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0"/>
      <c r="Q27" s="530">
        <f t="shared" si="11"/>
        <v>111</v>
      </c>
      <c r="R27" s="664" t="s">
        <v>14</v>
      </c>
      <c r="S27" s="665">
        <f>F27</f>
        <v>100</v>
      </c>
      <c r="T27" s="664" t="s">
        <v>14</v>
      </c>
      <c r="U27" s="665">
        <f>H27</f>
        <v>100</v>
      </c>
      <c r="V27" s="664" t="s">
        <v>14</v>
      </c>
      <c r="W27" s="665">
        <f>J27</f>
        <v>100</v>
      </c>
      <c r="X27" s="666"/>
      <c r="Y27" s="339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0"/>
      <c r="Q28" s="1263">
        <f t="shared" si="11"/>
        <v>111</v>
      </c>
      <c r="R28" s="667" t="s">
        <v>14</v>
      </c>
      <c r="S28" s="668">
        <f t="shared" ref="S28:S40" si="12">F28</f>
        <v>100</v>
      </c>
      <c r="T28" s="667" t="s">
        <v>14</v>
      </c>
      <c r="U28" s="668">
        <f t="shared" ref="U28:U40" si="13">H28</f>
        <v>100</v>
      </c>
      <c r="V28" s="667" t="s">
        <v>14</v>
      </c>
      <c r="W28" s="668">
        <f t="shared" ref="W28:W40" si="14">J28</f>
        <v>100</v>
      </c>
      <c r="X28" s="1265"/>
      <c r="Y28" s="339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39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4"/>
      <c r="Q30" s="531" t="str">
        <f t="shared" si="11"/>
        <v>项目建筑规模</v>
      </c>
      <c r="R30" s="669" t="s">
        <v>14</v>
      </c>
      <c r="S30" s="670" t="e">
        <f t="shared" si="12"/>
        <v>#N/A</v>
      </c>
      <c r="T30" s="669" t="s">
        <v>14</v>
      </c>
      <c r="U30" s="670" t="e">
        <f t="shared" si="13"/>
        <v>#N/A</v>
      </c>
      <c r="V30" s="669" t="s">
        <v>14</v>
      </c>
      <c r="W30" s="670" t="e">
        <f t="shared" si="14"/>
        <v>#N/A</v>
      </c>
      <c r="X30" s="671"/>
      <c r="Y30" s="339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4"/>
      <c r="Q31" s="1263" t="str">
        <f t="shared" si="11"/>
        <v>建筑结构</v>
      </c>
      <c r="R31" s="667" t="s">
        <v>14</v>
      </c>
      <c r="S31" s="668">
        <f t="shared" si="12"/>
        <v>100</v>
      </c>
      <c r="T31" s="667" t="s">
        <v>14</v>
      </c>
      <c r="U31" s="668">
        <f t="shared" si="13"/>
        <v>100</v>
      </c>
      <c r="V31" s="667" t="s">
        <v>14</v>
      </c>
      <c r="W31" s="668">
        <f t="shared" si="14"/>
        <v>100</v>
      </c>
      <c r="X31" s="1265"/>
      <c r="Y31" s="339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4"/>
      <c r="Q32" s="1263" t="str">
        <f t="shared" si="11"/>
        <v>公共部分装修</v>
      </c>
      <c r="R32" s="667" t="s">
        <v>14</v>
      </c>
      <c r="S32" s="668">
        <f t="shared" si="12"/>
        <v>100</v>
      </c>
      <c r="T32" s="667" t="s">
        <v>14</v>
      </c>
      <c r="U32" s="668">
        <f t="shared" si="13"/>
        <v>100</v>
      </c>
      <c r="V32" s="667" t="s">
        <v>14</v>
      </c>
      <c r="W32" s="668">
        <f t="shared" si="14"/>
        <v>100</v>
      </c>
      <c r="X32" s="1265"/>
      <c r="Y32" s="339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4"/>
      <c r="Q33" s="1263" t="str">
        <f t="shared" si="11"/>
        <v>成新度</v>
      </c>
      <c r="R33" s="667" t="s">
        <v>14</v>
      </c>
      <c r="S33" s="668" t="e">
        <f t="shared" si="12"/>
        <v>#N/A</v>
      </c>
      <c r="T33" s="667" t="s">
        <v>14</v>
      </c>
      <c r="U33" s="668" t="e">
        <f t="shared" si="13"/>
        <v>#N/A</v>
      </c>
      <c r="V33" s="667" t="s">
        <v>14</v>
      </c>
      <c r="W33" s="668" t="e">
        <f t="shared" si="14"/>
        <v>#N/A</v>
      </c>
      <c r="X33" s="1265"/>
      <c r="Y33" s="339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4"/>
      <c r="Q34" s="530" t="str">
        <f t="shared" si="11"/>
        <v>物业管理</v>
      </c>
      <c r="R34" s="664" t="s">
        <v>14</v>
      </c>
      <c r="S34" s="665">
        <f t="shared" si="12"/>
        <v>100</v>
      </c>
      <c r="T34" s="664" t="s">
        <v>14</v>
      </c>
      <c r="U34" s="665">
        <f t="shared" si="13"/>
        <v>100</v>
      </c>
      <c r="V34" s="664" t="s">
        <v>14</v>
      </c>
      <c r="W34" s="665">
        <f t="shared" si="14"/>
        <v>100</v>
      </c>
      <c r="X34" s="666"/>
      <c r="Y34" s="339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4" t="s">
        <v>1696</v>
      </c>
      <c r="Q35" s="1263" t="str">
        <f t="shared" si="11"/>
        <v>市政基础设施</v>
      </c>
      <c r="R35" s="667" t="s">
        <v>14</v>
      </c>
      <c r="S35" s="668">
        <f t="shared" si="12"/>
        <v>100</v>
      </c>
      <c r="T35" s="667" t="s">
        <v>14</v>
      </c>
      <c r="U35" s="668">
        <f t="shared" si="13"/>
        <v>100</v>
      </c>
      <c r="V35" s="667" t="s">
        <v>14</v>
      </c>
      <c r="W35" s="668">
        <f t="shared" si="14"/>
        <v>100</v>
      </c>
      <c r="X35" s="1265"/>
      <c r="Y35" s="339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4"/>
      <c r="Q36" s="1263" t="str">
        <f t="shared" si="11"/>
        <v>内部装修</v>
      </c>
      <c r="R36" s="667" t="s">
        <v>14</v>
      </c>
      <c r="S36" s="668">
        <f t="shared" si="12"/>
        <v>100</v>
      </c>
      <c r="T36" s="667" t="s">
        <v>14</v>
      </c>
      <c r="U36" s="668">
        <f t="shared" si="13"/>
        <v>100</v>
      </c>
      <c r="V36" s="667" t="s">
        <v>14</v>
      </c>
      <c r="W36" s="668">
        <f t="shared" si="14"/>
        <v>100</v>
      </c>
      <c r="X36" s="1265"/>
      <c r="Y36" s="339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4"/>
      <c r="Q37" s="1263" t="str">
        <f t="shared" si="11"/>
        <v>内部装修状况</v>
      </c>
      <c r="R37" s="667" t="s">
        <v>14</v>
      </c>
      <c r="S37" s="668">
        <f t="shared" si="12"/>
        <v>100</v>
      </c>
      <c r="T37" s="667" t="s">
        <v>14</v>
      </c>
      <c r="U37" s="668">
        <f t="shared" si="13"/>
        <v>100</v>
      </c>
      <c r="V37" s="667" t="s">
        <v>14</v>
      </c>
      <c r="W37" s="668">
        <f t="shared" si="14"/>
        <v>100</v>
      </c>
      <c r="X37" s="1265"/>
      <c r="Y37" s="339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4"/>
      <c r="Q38" s="531">
        <f t="shared" si="11"/>
        <v>111</v>
      </c>
      <c r="R38" s="669" t="s">
        <v>14</v>
      </c>
      <c r="S38" s="670">
        <f t="shared" si="12"/>
        <v>100</v>
      </c>
      <c r="T38" s="669" t="s">
        <v>14</v>
      </c>
      <c r="U38" s="670">
        <f t="shared" si="13"/>
        <v>100</v>
      </c>
      <c r="V38" s="669" t="s">
        <v>14</v>
      </c>
      <c r="W38" s="670">
        <f t="shared" si="14"/>
        <v>100</v>
      </c>
      <c r="X38" s="671"/>
      <c r="Y38" s="339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4"/>
      <c r="Q39" s="1263">
        <f t="shared" si="11"/>
        <v>111</v>
      </c>
      <c r="R39" s="667" t="s">
        <v>14</v>
      </c>
      <c r="S39" s="668">
        <f t="shared" si="12"/>
        <v>100</v>
      </c>
      <c r="T39" s="667" t="s">
        <v>14</v>
      </c>
      <c r="U39" s="668">
        <f t="shared" si="13"/>
        <v>100</v>
      </c>
      <c r="V39" s="667" t="s">
        <v>14</v>
      </c>
      <c r="W39" s="668">
        <f t="shared" si="14"/>
        <v>100</v>
      </c>
      <c r="X39" s="1265"/>
      <c r="Y39" s="339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5"/>
      <c r="Q40" s="1263">
        <f t="shared" si="11"/>
        <v>111</v>
      </c>
      <c r="R40" s="667" t="s">
        <v>14</v>
      </c>
      <c r="S40" s="668">
        <f t="shared" si="12"/>
        <v>100</v>
      </c>
      <c r="T40" s="667" t="s">
        <v>14</v>
      </c>
      <c r="U40" s="668">
        <f t="shared" si="13"/>
        <v>100</v>
      </c>
      <c r="V40" s="667" t="s">
        <v>14</v>
      </c>
      <c r="W40" s="668">
        <f t="shared" si="14"/>
        <v>100</v>
      </c>
      <c r="X40" s="1265"/>
      <c r="Y40" s="339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7" t="str">
        <f>A41</f>
        <v>成交单价（元/平方米）</v>
      </c>
      <c r="Q41" s="3387"/>
      <c r="R41" s="3388">
        <f>E41</f>
        <v>0</v>
      </c>
      <c r="S41" s="3388"/>
      <c r="T41" s="3388">
        <f>G41</f>
        <v>0</v>
      </c>
      <c r="U41" s="3388"/>
      <c r="V41" s="3388">
        <f>I41</f>
        <v>0</v>
      </c>
      <c r="W41" s="3388"/>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受贵公司委托，我公司对廊坊经济技术开发区友谊路木兰道10号13-16幢房地产抵押价值进行了预评估。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廊坊经济技术开发区友谊路木兰道10号13-16幢房地产，为廊坊精雕数控机床制造有限公司所有。根据《国有土地使用证》[]，估价对象（分摊）出让国有建设用地使用权面积为58848.03平方米，建筑面积为67261.53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廊坊经济技术开发区友谊路木兰道10号13-16幢房地产,属廊坊精雕数控机床制造有限公司开发建设的，该项目尚在开发建设中。根据《国有土地使用证》[]，估价对象（分摊）出让国有建设用地使用权面积为58848.03平方米，规划建筑面积为67261.53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廊坊经济技术开发区友谊路木兰道10号13-16幢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2025年3月5日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2485"/>
      <c r="M5" s="2486"/>
      <c r="N5" s="2486"/>
      <c r="O5" s="2486"/>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2485"/>
      <c r="M6" s="2486"/>
      <c r="N6" s="2486"/>
      <c r="O6" s="2486"/>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45721</v>
      </c>
      <c r="D7" s="355">
        <v>100</v>
      </c>
      <c r="E7" s="356"/>
      <c r="F7" s="357">
        <f>SUMIF(48:48,YEAR(E7)&amp;"-"&amp;MONTH(E7),49:49)</f>
        <v>0</v>
      </c>
      <c r="G7" s="356"/>
      <c r="H7" s="355">
        <f>SUMIF(48:48,YEAR(G7)&amp;"-"&amp;MONTH(G7),49:49)</f>
        <v>0</v>
      </c>
      <c r="I7" s="356"/>
      <c r="J7" s="355">
        <f>SUMIF(48:48,YEAR(I7)&amp;"-"&amp;MONTH(I7),49:49)</f>
        <v>0</v>
      </c>
      <c r="K7" s="38"/>
      <c r="L7" s="2487"/>
      <c r="M7" s="2439"/>
      <c r="N7" s="2439"/>
      <c r="O7" s="2439"/>
      <c r="P7" s="3422" t="s">
        <v>1680</v>
      </c>
      <c r="Q7" s="3424"/>
      <c r="R7" s="664" t="s">
        <v>14</v>
      </c>
      <c r="S7" s="665">
        <f t="shared" ref="S7:S14" si="0">F7</f>
        <v>0</v>
      </c>
      <c r="T7" s="664" t="s">
        <v>14</v>
      </c>
      <c r="U7" s="665">
        <f t="shared" ref="U7:U14" si="1">H7</f>
        <v>0</v>
      </c>
      <c r="V7" s="664" t="s">
        <v>14</v>
      </c>
      <c r="W7" s="665">
        <f t="shared" ref="W7:W14"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22" t="s">
        <v>1683</v>
      </c>
      <c r="Q8" s="3423"/>
      <c r="R8" s="664" t="s">
        <v>14</v>
      </c>
      <c r="S8" s="665">
        <f t="shared" si="0"/>
        <v>100</v>
      </c>
      <c r="T8" s="664" t="s">
        <v>14</v>
      </c>
      <c r="U8" s="665">
        <f t="shared" si="1"/>
        <v>100</v>
      </c>
      <c r="V8" s="664" t="s">
        <v>14</v>
      </c>
      <c r="W8" s="665">
        <f t="shared" si="2"/>
        <v>100</v>
      </c>
      <c r="X8" s="666"/>
      <c r="Y8" s="3422" t="s">
        <v>1683</v>
      </c>
      <c r="Z8" s="342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7"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90"/>
      <c r="Q15" s="1263"/>
      <c r="R15" s="667"/>
      <c r="S15" s="668"/>
      <c r="T15" s="667"/>
      <c r="U15" s="668"/>
      <c r="V15" s="667"/>
      <c r="W15" s="668"/>
      <c r="X15" s="1265"/>
      <c r="Y15" s="339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90"/>
      <c r="Q17" s="1263"/>
      <c r="R17" s="667"/>
      <c r="S17" s="668"/>
      <c r="T17" s="667"/>
      <c r="U17" s="668"/>
      <c r="V17" s="667"/>
      <c r="W17" s="668"/>
      <c r="X17" s="1265"/>
      <c r="Y17" s="339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90"/>
      <c r="Q19" s="1263"/>
      <c r="R19" s="667"/>
      <c r="S19" s="668"/>
      <c r="T19" s="667"/>
      <c r="U19" s="668"/>
      <c r="V19" s="667"/>
      <c r="W19" s="668"/>
      <c r="X19" s="1265"/>
      <c r="Y19" s="339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90"/>
      <c r="Q21" s="1263"/>
      <c r="R21" s="667"/>
      <c r="S21" s="668"/>
      <c r="T21" s="667"/>
      <c r="U21" s="668"/>
      <c r="V21" s="667"/>
      <c r="W21" s="668"/>
      <c r="X21" s="1265"/>
      <c r="Y21" s="339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0"/>
      <c r="Q24" s="1263">
        <f t="shared" ref="Q24:Q36"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4"/>
      <c r="Q27" s="531" t="str">
        <f t="shared" si="11"/>
        <v>项目停车位配比</v>
      </c>
      <c r="R27" s="669" t="s">
        <v>14</v>
      </c>
      <c r="S27" s="670">
        <f t="shared" si="12"/>
        <v>100</v>
      </c>
      <c r="T27" s="669" t="s">
        <v>14</v>
      </c>
      <c r="U27" s="670">
        <f t="shared" si="13"/>
        <v>100</v>
      </c>
      <c r="V27" s="669" t="s">
        <v>14</v>
      </c>
      <c r="W27" s="670">
        <f t="shared" si="14"/>
        <v>100</v>
      </c>
      <c r="X27" s="671"/>
      <c r="Y27" s="339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4"/>
      <c r="Q28" s="1263" t="str">
        <f t="shared" si="11"/>
        <v>公共部分装修</v>
      </c>
      <c r="R28" s="667" t="s">
        <v>14</v>
      </c>
      <c r="S28" s="668">
        <f t="shared" si="12"/>
        <v>100</v>
      </c>
      <c r="T28" s="667" t="s">
        <v>14</v>
      </c>
      <c r="U28" s="668">
        <f t="shared" si="13"/>
        <v>100</v>
      </c>
      <c r="V28" s="667" t="s">
        <v>14</v>
      </c>
      <c r="W28" s="668">
        <f t="shared" si="14"/>
        <v>100</v>
      </c>
      <c r="X28" s="1265"/>
      <c r="Y28" s="339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4"/>
      <c r="Q29" s="1263" t="str">
        <f t="shared" si="11"/>
        <v>成新率</v>
      </c>
      <c r="R29" s="667" t="s">
        <v>14</v>
      </c>
      <c r="S29" s="668" t="e">
        <f t="shared" si="12"/>
        <v>#N/A</v>
      </c>
      <c r="T29" s="667" t="s">
        <v>14</v>
      </c>
      <c r="U29" s="668" t="e">
        <f t="shared" si="13"/>
        <v>#N/A</v>
      </c>
      <c r="V29" s="667" t="s">
        <v>14</v>
      </c>
      <c r="W29" s="668" t="e">
        <f t="shared" si="14"/>
        <v>#N/A</v>
      </c>
      <c r="X29" s="1265"/>
      <c r="Y29" s="339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4"/>
      <c r="Q30" s="1263" t="str">
        <f t="shared" si="11"/>
        <v>物业等级</v>
      </c>
      <c r="R30" s="667" t="s">
        <v>14</v>
      </c>
      <c r="S30" s="668">
        <f t="shared" si="12"/>
        <v>100</v>
      </c>
      <c r="T30" s="667" t="s">
        <v>14</v>
      </c>
      <c r="U30" s="668">
        <f t="shared" si="13"/>
        <v>100</v>
      </c>
      <c r="V30" s="667" t="s">
        <v>14</v>
      </c>
      <c r="W30" s="668">
        <f t="shared" si="14"/>
        <v>100</v>
      </c>
      <c r="X30" s="1265"/>
      <c r="Y30" s="339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94"/>
      <c r="Q31" s="530" t="str">
        <f t="shared" si="11"/>
        <v>停车位面积</v>
      </c>
      <c r="R31" s="664" t="s">
        <v>14</v>
      </c>
      <c r="S31" s="665" t="e">
        <f t="shared" si="12"/>
        <v>#N/A</v>
      </c>
      <c r="T31" s="664" t="s">
        <v>14</v>
      </c>
      <c r="U31" s="665" t="e">
        <f t="shared" si="13"/>
        <v>#N/A</v>
      </c>
      <c r="V31" s="664" t="s">
        <v>14</v>
      </c>
      <c r="W31" s="665" t="e">
        <f t="shared" si="14"/>
        <v>#N/A</v>
      </c>
      <c r="X31" s="666"/>
      <c r="Y31" s="339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4" t="s">
        <v>1696</v>
      </c>
      <c r="Q32" s="1263" t="str">
        <f t="shared" si="11"/>
        <v>车位类型</v>
      </c>
      <c r="R32" s="667" t="s">
        <v>14</v>
      </c>
      <c r="S32" s="668">
        <f t="shared" si="12"/>
        <v>100</v>
      </c>
      <c r="T32" s="667" t="s">
        <v>14</v>
      </c>
      <c r="U32" s="668">
        <f t="shared" si="13"/>
        <v>100</v>
      </c>
      <c r="V32" s="667" t="s">
        <v>14</v>
      </c>
      <c r="W32" s="668">
        <f t="shared" si="14"/>
        <v>100</v>
      </c>
      <c r="X32" s="1265"/>
      <c r="Y32" s="339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4"/>
      <c r="Q33" s="1263" t="str">
        <f t="shared" si="11"/>
        <v>是否直接入户</v>
      </c>
      <c r="R33" s="667" t="s">
        <v>14</v>
      </c>
      <c r="S33" s="668">
        <f t="shared" si="12"/>
        <v>100</v>
      </c>
      <c r="T33" s="667" t="s">
        <v>14</v>
      </c>
      <c r="U33" s="668">
        <f t="shared" si="13"/>
        <v>100</v>
      </c>
      <c r="V33" s="667" t="s">
        <v>14</v>
      </c>
      <c r="W33" s="668">
        <f t="shared" si="14"/>
        <v>100</v>
      </c>
      <c r="X33" s="1265"/>
      <c r="Y33" s="339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4"/>
      <c r="Q35" s="531">
        <f t="shared" si="11"/>
        <v>111</v>
      </c>
      <c r="R35" s="669" t="s">
        <v>14</v>
      </c>
      <c r="S35" s="670">
        <f t="shared" si="12"/>
        <v>100</v>
      </c>
      <c r="T35" s="669" t="s">
        <v>14</v>
      </c>
      <c r="U35" s="670">
        <f t="shared" si="13"/>
        <v>100</v>
      </c>
      <c r="V35" s="669" t="s">
        <v>14</v>
      </c>
      <c r="W35" s="670">
        <f t="shared" si="14"/>
        <v>100</v>
      </c>
      <c r="X35" s="671"/>
      <c r="Y35" s="339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4"/>
      <c r="Q36" s="1263">
        <f t="shared" si="11"/>
        <v>111</v>
      </c>
      <c r="R36" s="667" t="s">
        <v>14</v>
      </c>
      <c r="S36" s="668">
        <f t="shared" si="12"/>
        <v>100</v>
      </c>
      <c r="T36" s="667" t="s">
        <v>14</v>
      </c>
      <c r="U36" s="668">
        <f t="shared" si="13"/>
        <v>100</v>
      </c>
      <c r="V36" s="667" t="s">
        <v>14</v>
      </c>
      <c r="W36" s="668">
        <f t="shared" si="14"/>
        <v>100</v>
      </c>
      <c r="X36" s="1265"/>
      <c r="Y36" s="3394"/>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3"/>
      <c r="M37" s="2486"/>
      <c r="N37" s="2486"/>
      <c r="O37" s="2486"/>
      <c r="P37" s="3387" t="str">
        <f>A37</f>
        <v>成交单价</v>
      </c>
      <c r="Q37" s="3387"/>
      <c r="R37" s="3388">
        <f>E37</f>
        <v>0</v>
      </c>
      <c r="S37" s="3388"/>
      <c r="T37" s="3388">
        <f>G37</f>
        <v>0</v>
      </c>
      <c r="U37" s="3388"/>
      <c r="V37" s="3388">
        <f>I37</f>
        <v>0</v>
      </c>
      <c r="W37" s="3388"/>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84" t="str">
        <f>A39</f>
        <v>估价对象XX用房的比较价值（楼面单价，元/平方米）</v>
      </c>
      <c r="Q39" s="3385"/>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2485"/>
      <c r="M5" s="2486"/>
      <c r="N5" s="2486"/>
      <c r="O5" s="2486"/>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2485"/>
      <c r="M6" s="2486"/>
      <c r="N6" s="2486"/>
      <c r="O6" s="2486"/>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45721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22" t="s">
        <v>1680</v>
      </c>
      <c r="Q7" s="3424"/>
      <c r="R7" s="664" t="s">
        <v>14</v>
      </c>
      <c r="S7" s="665">
        <f t="shared" ref="S7:S14" si="0">F7</f>
        <v>0</v>
      </c>
      <c r="T7" s="664" t="s">
        <v>14</v>
      </c>
      <c r="U7" s="665">
        <f t="shared" ref="U7:U14" si="1">H7</f>
        <v>0</v>
      </c>
      <c r="V7" s="664" t="s">
        <v>14</v>
      </c>
      <c r="W7" s="665">
        <f t="shared" ref="W7:W14"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22" t="s">
        <v>1683</v>
      </c>
      <c r="Q8" s="3423"/>
      <c r="R8" s="664" t="s">
        <v>14</v>
      </c>
      <c r="S8" s="665">
        <f t="shared" si="0"/>
        <v>100</v>
      </c>
      <c r="T8" s="664" t="s">
        <v>14</v>
      </c>
      <c r="U8" s="665">
        <f t="shared" si="1"/>
        <v>100</v>
      </c>
      <c r="V8" s="664" t="s">
        <v>14</v>
      </c>
      <c r="W8" s="665">
        <f t="shared" si="2"/>
        <v>100</v>
      </c>
      <c r="X8" s="666"/>
      <c r="Y8" s="3422" t="s">
        <v>1683</v>
      </c>
      <c r="Z8" s="342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7"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90"/>
      <c r="Q15" s="1263"/>
      <c r="R15" s="667"/>
      <c r="S15" s="668"/>
      <c r="T15" s="667"/>
      <c r="U15" s="668"/>
      <c r="V15" s="667"/>
      <c r="W15" s="668"/>
      <c r="X15" s="1265"/>
      <c r="Y15" s="339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90"/>
      <c r="Q17" s="1263"/>
      <c r="R17" s="667"/>
      <c r="S17" s="668"/>
      <c r="T17" s="667"/>
      <c r="U17" s="668"/>
      <c r="V17" s="667"/>
      <c r="W17" s="668"/>
      <c r="X17" s="1265"/>
      <c r="Y17" s="339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90"/>
      <c r="Q19" s="1263"/>
      <c r="R19" s="667"/>
      <c r="S19" s="668"/>
      <c r="T19" s="667"/>
      <c r="U19" s="668"/>
      <c r="V19" s="667"/>
      <c r="W19" s="668"/>
      <c r="X19" s="1265"/>
      <c r="Y19" s="339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90"/>
      <c r="Q21" s="1263"/>
      <c r="R21" s="667"/>
      <c r="S21" s="668"/>
      <c r="T21" s="667"/>
      <c r="U21" s="668"/>
      <c r="V21" s="667"/>
      <c r="W21" s="668"/>
      <c r="X21" s="1265"/>
      <c r="Y21" s="339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0"/>
      <c r="Q24" s="1263">
        <f t="shared" ref="Q24:Q34"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4"/>
      <c r="Q27" s="531" t="str">
        <f t="shared" si="11"/>
        <v>成新率</v>
      </c>
      <c r="R27" s="669" t="s">
        <v>14</v>
      </c>
      <c r="S27" s="670" t="e">
        <f t="shared" si="12"/>
        <v>#N/A</v>
      </c>
      <c r="T27" s="669" t="s">
        <v>14</v>
      </c>
      <c r="U27" s="670" t="e">
        <f t="shared" si="13"/>
        <v>#N/A</v>
      </c>
      <c r="V27" s="669" t="s">
        <v>14</v>
      </c>
      <c r="W27" s="670" t="e">
        <f t="shared" si="14"/>
        <v>#N/A</v>
      </c>
      <c r="X27" s="671"/>
      <c r="Y27" s="339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4"/>
      <c r="Q28" s="1263" t="str">
        <f t="shared" si="11"/>
        <v>物业等级</v>
      </c>
      <c r="R28" s="667" t="s">
        <v>14</v>
      </c>
      <c r="S28" s="668">
        <f t="shared" si="12"/>
        <v>100</v>
      </c>
      <c r="T28" s="667" t="s">
        <v>14</v>
      </c>
      <c r="U28" s="668">
        <f t="shared" si="13"/>
        <v>100</v>
      </c>
      <c r="V28" s="667" t="s">
        <v>14</v>
      </c>
      <c r="W28" s="668">
        <f t="shared" si="14"/>
        <v>100</v>
      </c>
      <c r="X28" s="1265"/>
      <c r="Y28" s="339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4"/>
      <c r="Q29" s="1263" t="str">
        <f t="shared" si="11"/>
        <v>有无电梯</v>
      </c>
      <c r="R29" s="667" t="s">
        <v>14</v>
      </c>
      <c r="S29" s="668">
        <f t="shared" si="12"/>
        <v>100</v>
      </c>
      <c r="T29" s="667" t="s">
        <v>14</v>
      </c>
      <c r="U29" s="668">
        <f t="shared" si="13"/>
        <v>100</v>
      </c>
      <c r="V29" s="667" t="s">
        <v>14</v>
      </c>
      <c r="W29" s="668">
        <f t="shared" si="14"/>
        <v>100</v>
      </c>
      <c r="X29" s="1265"/>
      <c r="Y29" s="339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4"/>
      <c r="Q30" s="1263" t="str">
        <f t="shared" si="11"/>
        <v>建筑面积</v>
      </c>
      <c r="R30" s="667" t="s">
        <v>14</v>
      </c>
      <c r="S30" s="668" t="e">
        <f t="shared" si="12"/>
        <v>#N/A</v>
      </c>
      <c r="T30" s="667" t="s">
        <v>14</v>
      </c>
      <c r="U30" s="668" t="e">
        <f t="shared" si="13"/>
        <v>#N/A</v>
      </c>
      <c r="V30" s="667" t="s">
        <v>14</v>
      </c>
      <c r="W30" s="668" t="e">
        <f t="shared" si="14"/>
        <v>#N/A</v>
      </c>
      <c r="X30" s="1265"/>
      <c r="Y30" s="339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94"/>
      <c r="Q31" s="530" t="str">
        <f t="shared" si="11"/>
        <v>是否封闭</v>
      </c>
      <c r="R31" s="664" t="s">
        <v>14</v>
      </c>
      <c r="S31" s="665">
        <f t="shared" si="12"/>
        <v>100</v>
      </c>
      <c r="T31" s="664" t="s">
        <v>14</v>
      </c>
      <c r="U31" s="665">
        <f t="shared" si="13"/>
        <v>100</v>
      </c>
      <c r="V31" s="664" t="s">
        <v>14</v>
      </c>
      <c r="W31" s="665">
        <f t="shared" si="14"/>
        <v>100</v>
      </c>
      <c r="X31" s="666"/>
      <c r="Y31" s="339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4" t="s">
        <v>1696</v>
      </c>
      <c r="Q32" s="1263">
        <f t="shared" si="11"/>
        <v>111</v>
      </c>
      <c r="R32" s="667" t="s">
        <v>14</v>
      </c>
      <c r="S32" s="668">
        <f t="shared" si="12"/>
        <v>100</v>
      </c>
      <c r="T32" s="667" t="s">
        <v>14</v>
      </c>
      <c r="U32" s="668">
        <f t="shared" si="13"/>
        <v>100</v>
      </c>
      <c r="V32" s="667" t="s">
        <v>14</v>
      </c>
      <c r="W32" s="668">
        <f t="shared" si="14"/>
        <v>100</v>
      </c>
      <c r="X32" s="1265"/>
      <c r="Y32" s="339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4"/>
      <c r="Q33" s="1263">
        <f t="shared" si="11"/>
        <v>111</v>
      </c>
      <c r="R33" s="667" t="s">
        <v>14</v>
      </c>
      <c r="S33" s="668">
        <f t="shared" si="12"/>
        <v>100</v>
      </c>
      <c r="T33" s="667" t="s">
        <v>14</v>
      </c>
      <c r="U33" s="668">
        <f t="shared" si="13"/>
        <v>100</v>
      </c>
      <c r="V33" s="667" t="s">
        <v>14</v>
      </c>
      <c r="W33" s="668">
        <f t="shared" si="14"/>
        <v>100</v>
      </c>
      <c r="X33" s="1265"/>
      <c r="Y33" s="339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87" t="str">
        <f>A35</f>
        <v>成交单价（元/平方米）</v>
      </c>
      <c r="Q35" s="3387"/>
      <c r="R35" s="3388">
        <f>E35</f>
        <v>0</v>
      </c>
      <c r="S35" s="3388"/>
      <c r="T35" s="3388">
        <f>G35</f>
        <v>0</v>
      </c>
      <c r="U35" s="3388"/>
      <c r="V35" s="3388">
        <f>I35</f>
        <v>0</v>
      </c>
      <c r="W35" s="3388"/>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84" t="str">
        <f>A37</f>
        <v>估价对象XX用房的比较价值（楼面单价，元/平方米）</v>
      </c>
      <c r="Q37" s="3385"/>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2485"/>
      <c r="M5" s="2486"/>
      <c r="N5" s="2486"/>
      <c r="O5" s="2486"/>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2485"/>
      <c r="M6" s="2486"/>
      <c r="N6" s="2486"/>
      <c r="O6" s="2486"/>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45721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22" t="s">
        <v>1683</v>
      </c>
      <c r="Q8" s="3423"/>
      <c r="R8" s="664" t="s">
        <v>14</v>
      </c>
      <c r="S8" s="665">
        <f t="shared" si="0"/>
        <v>0</v>
      </c>
      <c r="T8" s="664" t="s">
        <v>14</v>
      </c>
      <c r="U8" s="665">
        <f t="shared" si="1"/>
        <v>0</v>
      </c>
      <c r="V8" s="664" t="s">
        <v>14</v>
      </c>
      <c r="W8" s="665">
        <f t="shared" si="2"/>
        <v>0</v>
      </c>
      <c r="X8" s="666"/>
      <c r="Y8" s="3422" t="s">
        <v>1683</v>
      </c>
      <c r="Z8" s="342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105</v>
      </c>
      <c r="G10" s="402"/>
      <c r="H10" s="119">
        <f>ROUND(100/'数据-取费表'!G16,0)</f>
        <v>105</v>
      </c>
      <c r="I10" s="402"/>
      <c r="J10" s="119">
        <f>ROUND(100/'数据-取费表'!G16,0)</f>
        <v>105</v>
      </c>
      <c r="K10" s="592"/>
      <c r="L10" s="2488"/>
      <c r="M10" s="2489"/>
      <c r="N10" s="2489"/>
      <c r="O10" s="2540"/>
      <c r="P10" s="3387"/>
      <c r="Q10" s="530" t="str">
        <f t="shared" si="6"/>
        <v>土地使用年限（年）</v>
      </c>
      <c r="R10" s="664" t="s">
        <v>14</v>
      </c>
      <c r="S10" s="665">
        <f t="shared" si="0"/>
        <v>105</v>
      </c>
      <c r="T10" s="664" t="s">
        <v>14</v>
      </c>
      <c r="U10" s="665">
        <f t="shared" si="1"/>
        <v>105</v>
      </c>
      <c r="V10" s="664" t="s">
        <v>14</v>
      </c>
      <c r="W10" s="665">
        <f t="shared" si="2"/>
        <v>105</v>
      </c>
      <c r="X10" s="666"/>
      <c r="Y10" s="3262"/>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7"/>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7"/>
      <c r="Q12" s="530" t="str">
        <f t="shared" si="6"/>
        <v>配建</v>
      </c>
      <c r="R12" s="664" t="s">
        <v>14</v>
      </c>
      <c r="S12" s="665">
        <f t="shared" si="0"/>
        <v>100</v>
      </c>
      <c r="T12" s="664" t="s">
        <v>14</v>
      </c>
      <c r="U12" s="665">
        <f t="shared" si="1"/>
        <v>100</v>
      </c>
      <c r="V12" s="664" t="s">
        <v>14</v>
      </c>
      <c r="W12" s="665">
        <f t="shared" si="2"/>
        <v>100</v>
      </c>
      <c r="X12" s="666"/>
      <c r="Y12" s="326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9" t="s">
        <v>1691</v>
      </c>
      <c r="Q15" s="1263" t="str">
        <f t="shared" si="6"/>
        <v>居住社区成熟度</v>
      </c>
      <c r="R15" s="667" t="s">
        <v>14</v>
      </c>
      <c r="S15" s="668">
        <f t="shared" si="0"/>
        <v>100</v>
      </c>
      <c r="T15" s="667" t="s">
        <v>14</v>
      </c>
      <c r="U15" s="668">
        <f t="shared" si="1"/>
        <v>100</v>
      </c>
      <c r="V15" s="667" t="s">
        <v>14</v>
      </c>
      <c r="W15" s="668">
        <f t="shared" si="2"/>
        <v>100</v>
      </c>
      <c r="X15" s="1265"/>
      <c r="Y15" s="338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90"/>
      <c r="Q16" s="1263"/>
      <c r="R16" s="667"/>
      <c r="S16" s="668"/>
      <c r="T16" s="667"/>
      <c r="U16" s="668"/>
      <c r="V16" s="667"/>
      <c r="W16" s="668"/>
      <c r="X16" s="1265"/>
      <c r="Y16" s="339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0"/>
      <c r="Q17" s="1263" t="str">
        <f>B17</f>
        <v>商业繁华度</v>
      </c>
      <c r="R17" s="667" t="s">
        <v>14</v>
      </c>
      <c r="S17" s="668">
        <f>F17</f>
        <v>100</v>
      </c>
      <c r="T17" s="667" t="s">
        <v>14</v>
      </c>
      <c r="U17" s="668">
        <f>H17</f>
        <v>100</v>
      </c>
      <c r="V17" s="667" t="s">
        <v>14</v>
      </c>
      <c r="W17" s="668">
        <f>J17</f>
        <v>100</v>
      </c>
      <c r="X17" s="1265"/>
      <c r="Y17" s="339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90"/>
      <c r="Q18" s="1263"/>
      <c r="R18" s="667"/>
      <c r="S18" s="668"/>
      <c r="T18" s="667"/>
      <c r="U18" s="668"/>
      <c r="V18" s="667"/>
      <c r="W18" s="668"/>
      <c r="X18" s="1265"/>
      <c r="Y18" s="339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0"/>
      <c r="Q19" s="1263" t="str">
        <f>B19</f>
        <v>办公集聚程度</v>
      </c>
      <c r="R19" s="667" t="s">
        <v>14</v>
      </c>
      <c r="S19" s="668">
        <f>F19</f>
        <v>100</v>
      </c>
      <c r="T19" s="667" t="s">
        <v>14</v>
      </c>
      <c r="U19" s="668">
        <f>H19</f>
        <v>100</v>
      </c>
      <c r="V19" s="667" t="s">
        <v>14</v>
      </c>
      <c r="W19" s="668">
        <f>J19</f>
        <v>100</v>
      </c>
      <c r="X19" s="1265"/>
      <c r="Y19" s="339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90"/>
      <c r="Q20" s="1263"/>
      <c r="R20" s="667"/>
      <c r="S20" s="668"/>
      <c r="T20" s="667"/>
      <c r="U20" s="668"/>
      <c r="V20" s="667"/>
      <c r="W20" s="668"/>
      <c r="X20" s="1265"/>
      <c r="Y20" s="339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0"/>
      <c r="Q21" s="1263" t="str">
        <f>B21</f>
        <v>交通便捷度</v>
      </c>
      <c r="R21" s="667" t="s">
        <v>14</v>
      </c>
      <c r="S21" s="668">
        <f>F21</f>
        <v>100</v>
      </c>
      <c r="T21" s="667" t="s">
        <v>14</v>
      </c>
      <c r="U21" s="668">
        <f>H21</f>
        <v>100</v>
      </c>
      <c r="V21" s="667" t="s">
        <v>14</v>
      </c>
      <c r="W21" s="668">
        <f>J21</f>
        <v>100</v>
      </c>
      <c r="X21" s="1265"/>
      <c r="Y21" s="339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90"/>
      <c r="Q22" s="1263"/>
      <c r="R22" s="667"/>
      <c r="S22" s="668"/>
      <c r="T22" s="667"/>
      <c r="U22" s="668"/>
      <c r="V22" s="667"/>
      <c r="W22" s="668"/>
      <c r="X22" s="1265"/>
      <c r="Y22" s="339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0"/>
      <c r="Q23" s="1263" t="str">
        <f t="shared" ref="Q23:Q37" si="8">B23</f>
        <v>区域土地利用方向</v>
      </c>
      <c r="R23" s="667" t="s">
        <v>14</v>
      </c>
      <c r="S23" s="668">
        <f>F23</f>
        <v>100</v>
      </c>
      <c r="T23" s="667" t="s">
        <v>14</v>
      </c>
      <c r="U23" s="668">
        <f>H23</f>
        <v>100</v>
      </c>
      <c r="V23" s="667" t="s">
        <v>14</v>
      </c>
      <c r="W23" s="668">
        <f>J23</f>
        <v>100</v>
      </c>
      <c r="X23" s="1265"/>
      <c r="Y23" s="339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90"/>
      <c r="Q24" s="1263"/>
      <c r="R24" s="667"/>
      <c r="S24" s="668"/>
      <c r="T24" s="667"/>
      <c r="U24" s="668"/>
      <c r="V24" s="667"/>
      <c r="W24" s="668"/>
      <c r="X24" s="1265"/>
      <c r="Y24" s="339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0"/>
      <c r="Q25" s="1263" t="str">
        <f t="shared" si="8"/>
        <v>自然及人文环境状况</v>
      </c>
      <c r="R25" s="667" t="s">
        <v>14</v>
      </c>
      <c r="S25" s="668">
        <f>F25</f>
        <v>100</v>
      </c>
      <c r="T25" s="667" t="s">
        <v>14</v>
      </c>
      <c r="U25" s="668">
        <f>H25</f>
        <v>100</v>
      </c>
      <c r="V25" s="667" t="s">
        <v>14</v>
      </c>
      <c r="W25" s="668">
        <f>J25</f>
        <v>100</v>
      </c>
      <c r="X25" s="1265"/>
      <c r="Y25" s="339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90"/>
      <c r="Q26" s="1263"/>
      <c r="R26" s="667"/>
      <c r="S26" s="668"/>
      <c r="T26" s="667"/>
      <c r="U26" s="668"/>
      <c r="V26" s="667"/>
      <c r="W26" s="668"/>
      <c r="X26" s="1265"/>
      <c r="Y26" s="339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90"/>
      <c r="Q27" s="530" t="str">
        <f t="shared" si="8"/>
        <v>公共配套设施</v>
      </c>
      <c r="R27" s="664" t="s">
        <v>14</v>
      </c>
      <c r="S27" s="665">
        <f>F27</f>
        <v>100</v>
      </c>
      <c r="T27" s="664" t="s">
        <v>14</v>
      </c>
      <c r="U27" s="665">
        <f>H27</f>
        <v>100</v>
      </c>
      <c r="V27" s="664" t="s">
        <v>14</v>
      </c>
      <c r="W27" s="665">
        <f>J27</f>
        <v>100</v>
      </c>
      <c r="X27" s="666"/>
      <c r="Y27" s="339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90"/>
      <c r="Q28" s="530"/>
      <c r="R28" s="664"/>
      <c r="S28" s="665"/>
      <c r="T28" s="664"/>
      <c r="U28" s="665"/>
      <c r="V28" s="664"/>
      <c r="W28" s="665"/>
      <c r="X28" s="666"/>
      <c r="Y28" s="339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90"/>
      <c r="Q29" s="530" t="str">
        <f t="shared" ref="Q29" si="9">B29</f>
        <v>基础设施水平</v>
      </c>
      <c r="R29" s="664" t="s">
        <v>14</v>
      </c>
      <c r="S29" s="665">
        <f>F29</f>
        <v>100</v>
      </c>
      <c r="T29" s="664" t="s">
        <v>14</v>
      </c>
      <c r="U29" s="665">
        <f>H29</f>
        <v>100</v>
      </c>
      <c r="V29" s="664" t="s">
        <v>14</v>
      </c>
      <c r="W29" s="665">
        <f>J29</f>
        <v>100</v>
      </c>
      <c r="X29" s="666"/>
      <c r="Y29" s="339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90"/>
      <c r="Q30" s="530"/>
      <c r="R30" s="664"/>
      <c r="S30" s="665"/>
      <c r="T30" s="664"/>
      <c r="U30" s="665"/>
      <c r="V30" s="664"/>
      <c r="W30" s="665"/>
      <c r="X30" s="666"/>
      <c r="Y30" s="339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0"/>
      <c r="Q32" s="1263" t="str">
        <f t="shared" si="8"/>
        <v>毗邻道路的类型与等级</v>
      </c>
      <c r="R32" s="667" t="s">
        <v>14</v>
      </c>
      <c r="S32" s="668">
        <f t="shared" si="10"/>
        <v>100</v>
      </c>
      <c r="T32" s="667" t="s">
        <v>14</v>
      </c>
      <c r="U32" s="668">
        <f t="shared" si="11"/>
        <v>100</v>
      </c>
      <c r="V32" s="667" t="s">
        <v>14</v>
      </c>
      <c r="W32" s="668">
        <f t="shared" si="12"/>
        <v>100</v>
      </c>
      <c r="X32" s="1265"/>
      <c r="Y32" s="339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90"/>
      <c r="Q33" s="1263"/>
      <c r="R33" s="667"/>
      <c r="S33" s="668"/>
      <c r="T33" s="667"/>
      <c r="U33" s="668"/>
      <c r="V33" s="667"/>
      <c r="W33" s="668"/>
      <c r="X33" s="1265"/>
      <c r="Y33" s="339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0"/>
      <c r="Q34" s="1263" t="str">
        <f t="shared" si="8"/>
        <v>土地级别</v>
      </c>
      <c r="R34" s="667" t="s">
        <v>14</v>
      </c>
      <c r="S34" s="668">
        <f t="shared" si="10"/>
        <v>100</v>
      </c>
      <c r="T34" s="667" t="s">
        <v>14</v>
      </c>
      <c r="U34" s="668">
        <f t="shared" si="11"/>
        <v>100</v>
      </c>
      <c r="V34" s="667" t="s">
        <v>14</v>
      </c>
      <c r="W34" s="668">
        <f t="shared" si="12"/>
        <v>100</v>
      </c>
      <c r="X34" s="1265"/>
      <c r="Y34" s="339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0"/>
      <c r="Q35" s="1263">
        <f t="shared" si="8"/>
        <v>111</v>
      </c>
      <c r="R35" s="667" t="s">
        <v>14</v>
      </c>
      <c r="S35" s="668">
        <f t="shared" si="10"/>
        <v>100</v>
      </c>
      <c r="T35" s="667" t="s">
        <v>14</v>
      </c>
      <c r="U35" s="668">
        <f t="shared" si="11"/>
        <v>100</v>
      </c>
      <c r="V35" s="667" t="s">
        <v>14</v>
      </c>
      <c r="W35" s="668">
        <f t="shared" si="12"/>
        <v>100</v>
      </c>
      <c r="X35" s="1265"/>
      <c r="Y35" s="339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4" t="s">
        <v>1696</v>
      </c>
      <c r="Q36" s="1263">
        <f t="shared" si="8"/>
        <v>111</v>
      </c>
      <c r="R36" s="667" t="s">
        <v>14</v>
      </c>
      <c r="S36" s="668">
        <f t="shared" si="10"/>
        <v>100</v>
      </c>
      <c r="T36" s="667" t="s">
        <v>14</v>
      </c>
      <c r="U36" s="668">
        <f t="shared" si="11"/>
        <v>100</v>
      </c>
      <c r="V36" s="667" t="s">
        <v>14</v>
      </c>
      <c r="W36" s="668">
        <f t="shared" si="12"/>
        <v>100</v>
      </c>
      <c r="X36" s="1265"/>
      <c r="Y36" s="339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4"/>
      <c r="Q37" s="1263">
        <f t="shared" si="8"/>
        <v>111</v>
      </c>
      <c r="R37" s="669" t="s">
        <v>14</v>
      </c>
      <c r="S37" s="670">
        <f t="shared" si="10"/>
        <v>100</v>
      </c>
      <c r="T37" s="669" t="s">
        <v>14</v>
      </c>
      <c r="U37" s="670">
        <f t="shared" si="11"/>
        <v>100</v>
      </c>
      <c r="V37" s="669" t="s">
        <v>14</v>
      </c>
      <c r="W37" s="670">
        <f t="shared" si="12"/>
        <v>100</v>
      </c>
      <c r="X37" s="671"/>
      <c r="Y37" s="339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4"/>
      <c r="Q38" s="1263" t="str">
        <f>B38</f>
        <v>宗地面积</v>
      </c>
      <c r="R38" s="667" t="s">
        <v>14</v>
      </c>
      <c r="S38" s="668" t="e">
        <f t="shared" si="10"/>
        <v>#N/A</v>
      </c>
      <c r="T38" s="667" t="s">
        <v>14</v>
      </c>
      <c r="U38" s="668" t="e">
        <f t="shared" si="11"/>
        <v>#N/A</v>
      </c>
      <c r="V38" s="667" t="s">
        <v>14</v>
      </c>
      <c r="W38" s="668" t="e">
        <f t="shared" si="12"/>
        <v>#N/A</v>
      </c>
      <c r="X38" s="1265"/>
      <c r="Y38" s="339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4"/>
      <c r="Q39" s="1263" t="str">
        <f t="shared" ref="Q39:Q45" si="14">B39</f>
        <v>宗地形状</v>
      </c>
      <c r="R39" s="667" t="s">
        <v>14</v>
      </c>
      <c r="S39" s="668">
        <f t="shared" si="10"/>
        <v>100</v>
      </c>
      <c r="T39" s="667" t="s">
        <v>14</v>
      </c>
      <c r="U39" s="668">
        <f t="shared" si="11"/>
        <v>100</v>
      </c>
      <c r="V39" s="667" t="s">
        <v>14</v>
      </c>
      <c r="W39" s="668">
        <f t="shared" si="12"/>
        <v>100</v>
      </c>
      <c r="X39" s="1265"/>
      <c r="Y39" s="339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4"/>
      <c r="Q40" s="1263" t="str">
        <f t="shared" si="14"/>
        <v>临街宽度及深度</v>
      </c>
      <c r="R40" s="667" t="s">
        <v>14</v>
      </c>
      <c r="S40" s="668">
        <f t="shared" si="10"/>
        <v>100</v>
      </c>
      <c r="T40" s="667" t="s">
        <v>14</v>
      </c>
      <c r="U40" s="668">
        <f t="shared" si="11"/>
        <v>100</v>
      </c>
      <c r="V40" s="667" t="s">
        <v>14</v>
      </c>
      <c r="W40" s="668">
        <f t="shared" si="12"/>
        <v>100</v>
      </c>
      <c r="X40" s="1265"/>
      <c r="Y40" s="339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94"/>
      <c r="Q41" s="1263" t="str">
        <f t="shared" si="14"/>
        <v>宗地开发程度</v>
      </c>
      <c r="R41" s="664" t="s">
        <v>14</v>
      </c>
      <c r="S41" s="665">
        <f t="shared" si="10"/>
        <v>100</v>
      </c>
      <c r="T41" s="664" t="s">
        <v>14</v>
      </c>
      <c r="U41" s="665">
        <f t="shared" si="11"/>
        <v>100</v>
      </c>
      <c r="V41" s="664" t="s">
        <v>14</v>
      </c>
      <c r="W41" s="665">
        <f t="shared" si="12"/>
        <v>100</v>
      </c>
      <c r="X41" s="666"/>
      <c r="Y41" s="339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4" t="s">
        <v>1696</v>
      </c>
      <c r="Q42" s="1263" t="str">
        <f t="shared" si="14"/>
        <v>工程地质条件</v>
      </c>
      <c r="R42" s="667" t="s">
        <v>14</v>
      </c>
      <c r="S42" s="668">
        <f t="shared" si="10"/>
        <v>100</v>
      </c>
      <c r="T42" s="667" t="s">
        <v>14</v>
      </c>
      <c r="U42" s="668">
        <f t="shared" si="11"/>
        <v>100</v>
      </c>
      <c r="V42" s="667" t="s">
        <v>14</v>
      </c>
      <c r="W42" s="668">
        <f t="shared" si="12"/>
        <v>100</v>
      </c>
      <c r="X42" s="1265"/>
      <c r="Y42" s="339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4"/>
      <c r="Q43" s="1263">
        <f t="shared" si="14"/>
        <v>111</v>
      </c>
      <c r="R43" s="667" t="s">
        <v>14</v>
      </c>
      <c r="S43" s="668">
        <f t="shared" si="10"/>
        <v>100</v>
      </c>
      <c r="T43" s="667" t="s">
        <v>14</v>
      </c>
      <c r="U43" s="668">
        <f t="shared" si="11"/>
        <v>100</v>
      </c>
      <c r="V43" s="667" t="s">
        <v>14</v>
      </c>
      <c r="W43" s="668">
        <f t="shared" si="12"/>
        <v>100</v>
      </c>
      <c r="X43" s="1265"/>
      <c r="Y43" s="339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4"/>
      <c r="Q44" s="1263">
        <f t="shared" si="14"/>
        <v>111</v>
      </c>
      <c r="R44" s="667" t="s">
        <v>14</v>
      </c>
      <c r="S44" s="668">
        <f t="shared" si="10"/>
        <v>100</v>
      </c>
      <c r="T44" s="667" t="s">
        <v>14</v>
      </c>
      <c r="U44" s="668">
        <f t="shared" si="11"/>
        <v>100</v>
      </c>
      <c r="V44" s="667" t="s">
        <v>14</v>
      </c>
      <c r="W44" s="668">
        <f t="shared" si="12"/>
        <v>100</v>
      </c>
      <c r="X44" s="1265"/>
      <c r="Y44" s="339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4"/>
      <c r="Q45" s="1263">
        <f t="shared" si="14"/>
        <v>111</v>
      </c>
      <c r="R45" s="669" t="s">
        <v>14</v>
      </c>
      <c r="S45" s="670">
        <f t="shared" si="10"/>
        <v>100</v>
      </c>
      <c r="T45" s="669" t="s">
        <v>14</v>
      </c>
      <c r="U45" s="670">
        <f t="shared" si="11"/>
        <v>100</v>
      </c>
      <c r="V45" s="669" t="s">
        <v>14</v>
      </c>
      <c r="W45" s="670">
        <f t="shared" si="12"/>
        <v>100</v>
      </c>
      <c r="X45" s="671"/>
      <c r="Y45" s="339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387" t="str">
        <f>A46</f>
        <v>成交单价</v>
      </c>
      <c r="Q46" s="3387"/>
      <c r="R46" s="3388">
        <f>E46</f>
        <v>0</v>
      </c>
      <c r="S46" s="3388"/>
      <c r="T46" s="3388">
        <f>G46</f>
        <v>0</v>
      </c>
      <c r="U46" s="3388"/>
      <c r="V46" s="3388">
        <f>I46</f>
        <v>0</v>
      </c>
      <c r="W46" s="3388"/>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387" t="str">
        <f>A47</f>
        <v>比较价值（元/平方米）</v>
      </c>
      <c r="Q47" s="3387"/>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84" t="str">
        <f>A48</f>
        <v>估价对象XX用房的比较价值（楼面单价，元/平方米）</v>
      </c>
      <c r="Q48" s="3385"/>
      <c r="R48" s="3447" t="e">
        <f>ROUND(IF(D47="简单平均",AVERAGE(R47:W47),R47*F47+T47*H47+V47*J47),0)</f>
        <v>#DIV/0!</v>
      </c>
      <c r="S48" s="3447"/>
      <c r="T48" s="3447"/>
      <c r="U48" s="3447"/>
      <c r="V48" s="3447"/>
      <c r="W48" s="344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2" t="s">
        <v>1887</v>
      </c>
      <c r="H55" s="3448"/>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67261.53</v>
      </c>
      <c r="F56" s="833" t="e">
        <f t="shared" ref="F56:F64" si="15">ROUND(B56*E56/10000,0)</f>
        <v>#DIV/0!</v>
      </c>
      <c r="G56" s="3398"/>
      <c r="H56" s="3387"/>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67261.53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28" zoomScale="80" zoomScaleNormal="60" zoomScaleSheetLayoutView="80" workbookViewId="0">
      <selection activeCell="K12" sqref="K1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F61</f>
        <v>3990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593</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tr">
        <f>中指!A6</f>
        <v>廊坊经济技术开发区纬五道北侧、廊坊华安盛翔汽车科技有限公司东侧</v>
      </c>
      <c r="F5" s="3428"/>
      <c r="G5" s="3420" t="str">
        <f>中指!A22</f>
        <v>创业路东侧、中电新源(廊坊)模块化电器有限公司</v>
      </c>
      <c r="H5" s="3421"/>
      <c r="I5" s="3420" t="str">
        <f>中指!A27</f>
        <v>廊坊查普曼智能家居有限公司南侧、纬五道北侧、经六路东侧</v>
      </c>
      <c r="J5" s="3421"/>
      <c r="K5" s="537"/>
      <c r="L5" s="2485"/>
      <c r="M5" s="2486"/>
      <c r="N5" s="2486"/>
      <c r="O5" s="2486"/>
      <c r="P5" s="3408"/>
      <c r="Q5" s="3409"/>
      <c r="R5" s="3414"/>
      <c r="S5" s="3415"/>
      <c r="T5" s="3414"/>
      <c r="U5" s="3415"/>
      <c r="V5" s="3388"/>
      <c r="W5" s="3388"/>
      <c r="X5" s="1265"/>
      <c r="Y5" s="3414"/>
      <c r="Z5" s="3415"/>
      <c r="AA5" s="3400"/>
      <c r="AB5" s="3400"/>
      <c r="AC5" s="3400"/>
    </row>
    <row r="6" spans="1:29" ht="15.75" thickBot="1">
      <c r="A6" s="350"/>
      <c r="B6" s="351"/>
      <c r="C6" s="3449" t="s">
        <v>1919</v>
      </c>
      <c r="D6" s="3450"/>
      <c r="E6" s="3451"/>
      <c r="F6" s="3452"/>
      <c r="G6" s="3449" t="s">
        <v>1919</v>
      </c>
      <c r="H6" s="3450"/>
      <c r="I6" s="3449" t="s">
        <v>1919</v>
      </c>
      <c r="J6" s="3450"/>
      <c r="K6" s="537" t="s">
        <v>1678</v>
      </c>
      <c r="L6" s="2485"/>
      <c r="M6" s="2486"/>
      <c r="N6" s="2486"/>
      <c r="O6" s="2486"/>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45721</v>
      </c>
      <c r="D7" s="355">
        <v>100</v>
      </c>
      <c r="E7" s="356" t="str">
        <f>中指!M6</f>
        <v>2024-03-01</v>
      </c>
      <c r="F7" s="357">
        <f>SUMIF(65:65,YEAR(E7)&amp;"-"&amp;INT((MONTH(E7)+2)/3),66:66)</f>
        <v>100</v>
      </c>
      <c r="G7" s="1822" t="str">
        <f>中指!M22</f>
        <v>2023-06-30</v>
      </c>
      <c r="H7" s="355">
        <f>SUMIF(65:65,YEAR(G7)&amp;"-"&amp;INT((MONTH(G7)+2)/3),66:66)</f>
        <v>100</v>
      </c>
      <c r="I7" s="1822" t="str">
        <f>中指!M27</f>
        <v>2023-03-30</v>
      </c>
      <c r="J7" s="355">
        <f>SUMIF(65:65,YEAR(I7)&amp;"-"&amp;INT((MONTH(I7)+2)/3),66:66)</f>
        <v>100</v>
      </c>
      <c r="K7" s="38"/>
      <c r="L7" s="2487"/>
      <c r="M7" s="2439"/>
      <c r="N7" s="2439"/>
      <c r="O7" s="2439"/>
      <c r="P7" s="3422" t="s">
        <v>1680</v>
      </c>
      <c r="Q7" s="3424"/>
      <c r="R7" s="664" t="s">
        <v>14</v>
      </c>
      <c r="S7" s="665">
        <f t="shared" ref="S7:S15" si="0">F7</f>
        <v>100</v>
      </c>
      <c r="T7" s="664" t="s">
        <v>14</v>
      </c>
      <c r="U7" s="665">
        <f t="shared" ref="U7:U15" si="1">H7</f>
        <v>100</v>
      </c>
      <c r="V7" s="664" t="s">
        <v>14</v>
      </c>
      <c r="W7" s="665">
        <f t="shared" ref="W7:W15" si="2">J7</f>
        <v>100</v>
      </c>
      <c r="X7" s="666"/>
      <c r="Y7" s="3422" t="s">
        <v>1680</v>
      </c>
      <c r="Z7" s="3423"/>
      <c r="AA7" s="50">
        <f>D7/F7</f>
        <v>1</v>
      </c>
      <c r="AB7" s="50">
        <f>D7/H7</f>
        <v>1</v>
      </c>
      <c r="AC7" s="50">
        <f>D7/J7</f>
        <v>1</v>
      </c>
    </row>
    <row r="8" spans="1:29" s="102" customFormat="1" ht="15.75" thickBot="1">
      <c r="A8" s="352" t="s">
        <v>1681</v>
      </c>
      <c r="B8" s="353"/>
      <c r="C8" s="358" t="s">
        <v>1682</v>
      </c>
      <c r="D8" s="355">
        <v>100</v>
      </c>
      <c r="E8" s="3160" t="s">
        <v>3474</v>
      </c>
      <c r="F8" s="357">
        <f>SUMIF(68:68,E8,69:69)-SUMIF(68:68,C8,69:69)+100</f>
        <v>100</v>
      </c>
      <c r="G8" s="3160" t="s">
        <v>3474</v>
      </c>
      <c r="H8" s="355">
        <f>SUMIF(68:68,G8,69:69)-SUMIF(68:68,C8,69:69)+100</f>
        <v>100</v>
      </c>
      <c r="I8" s="3160" t="s">
        <v>3474</v>
      </c>
      <c r="J8" s="355">
        <f>SUMIF(68:68,I8,69:69)-SUMIF(68:68,C8,69:69)+100</f>
        <v>100</v>
      </c>
      <c r="K8" s="38"/>
      <c r="L8" s="2487"/>
      <c r="M8" s="2439"/>
      <c r="N8" s="2439"/>
      <c r="O8" s="2439"/>
      <c r="P8" s="3422" t="s">
        <v>1683</v>
      </c>
      <c r="Q8" s="3423"/>
      <c r="R8" s="664" t="s">
        <v>14</v>
      </c>
      <c r="S8" s="665">
        <f t="shared" si="0"/>
        <v>100</v>
      </c>
      <c r="T8" s="664" t="s">
        <v>14</v>
      </c>
      <c r="U8" s="665">
        <f t="shared" si="1"/>
        <v>100</v>
      </c>
      <c r="V8" s="664" t="s">
        <v>14</v>
      </c>
      <c r="W8" s="665">
        <f t="shared" si="2"/>
        <v>100</v>
      </c>
      <c r="X8" s="666"/>
      <c r="Y8" s="3422" t="s">
        <v>1683</v>
      </c>
      <c r="Z8" s="3423"/>
      <c r="AA8" s="50">
        <f t="shared" ref="AA8:AA40" si="3">D8/F8</f>
        <v>1</v>
      </c>
      <c r="AB8" s="50">
        <f t="shared" ref="AB8:AB40" si="4">D8/H8</f>
        <v>1</v>
      </c>
      <c r="AC8" s="50">
        <f t="shared" ref="AC8:AC40" si="5">D8/J8</f>
        <v>1</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71">
        <f>项目基本情况!H15</f>
        <v>41.82</v>
      </c>
      <c r="D10" s="119">
        <v>100</v>
      </c>
      <c r="E10" s="371">
        <v>50</v>
      </c>
      <c r="F10" s="3165">
        <v>100</v>
      </c>
      <c r="G10" s="371">
        <v>50</v>
      </c>
      <c r="H10" s="3165">
        <v>100</v>
      </c>
      <c r="I10" s="371">
        <v>50</v>
      </c>
      <c r="J10" s="3165">
        <v>100</v>
      </c>
      <c r="K10" s="592"/>
      <c r="L10" s="2488"/>
      <c r="M10" s="2489"/>
      <c r="N10" s="2489"/>
      <c r="O10" s="2540"/>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f>'数据-汇总表'!I4</f>
        <v>1.1399999999999999</v>
      </c>
      <c r="D11" s="119">
        <v>100</v>
      </c>
      <c r="E11" s="368">
        <v>1</v>
      </c>
      <c r="F11" s="119">
        <f>LOOKUP(E11,75:75,76:76)-LOOKUP(C11,75:75,76:76)+100</f>
        <v>100</v>
      </c>
      <c r="G11" s="369">
        <v>1</v>
      </c>
      <c r="H11" s="119">
        <f>LOOKUP(G11,75:75,76:76)-LOOKUP(C11,75:75,76:76)+100</f>
        <v>100</v>
      </c>
      <c r="I11" s="368">
        <v>1</v>
      </c>
      <c r="J11" s="119">
        <f>LOOKUP(I11,75:75,76:76)-LOOKUP(C11,75:75,76:76)+100</f>
        <v>100</v>
      </c>
      <c r="K11" s="593">
        <v>1</v>
      </c>
      <c r="L11" s="2490"/>
      <c r="M11" s="2486"/>
      <c r="N11" s="2486"/>
      <c r="O11" s="2541"/>
      <c r="P11" s="3387"/>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50">
        <f t="shared" si="5"/>
        <v>1</v>
      </c>
    </row>
    <row r="12" spans="1:29" s="102" customFormat="1" ht="15">
      <c r="A12" s="370"/>
      <c r="B12" s="3161" t="s">
        <v>3475</v>
      </c>
      <c r="C12" s="3162" t="s">
        <v>3476</v>
      </c>
      <c r="D12" s="372">
        <v>100</v>
      </c>
      <c r="E12" s="3163" t="s">
        <v>3473</v>
      </c>
      <c r="F12" s="119">
        <f>SUMIF(77:77,E12,78:78)-SUMIF(77:77,C12,78:78)+100</f>
        <v>101</v>
      </c>
      <c r="G12" s="3163" t="s">
        <v>3473</v>
      </c>
      <c r="H12" s="119">
        <f>SUMIF(77:77,G12,78:78)-SUMIF(77:77,C12,78:78)+100</f>
        <v>101</v>
      </c>
      <c r="I12" s="3163" t="s">
        <v>3473</v>
      </c>
      <c r="J12" s="119">
        <f>SUMIF(77:77,I12,78:78)-SUMIF(77:77,C12,78:78)+100</f>
        <v>101</v>
      </c>
      <c r="K12" s="592"/>
      <c r="L12" s="2487"/>
      <c r="M12" s="2439"/>
      <c r="N12" s="2439"/>
      <c r="O12" s="2539"/>
      <c r="P12" s="3387"/>
      <c r="Q12" s="530" t="str">
        <f t="shared" si="6"/>
        <v>交易方式</v>
      </c>
      <c r="R12" s="664" t="s">
        <v>14</v>
      </c>
      <c r="S12" s="665">
        <f t="shared" si="0"/>
        <v>101</v>
      </c>
      <c r="T12" s="664" t="s">
        <v>14</v>
      </c>
      <c r="U12" s="665">
        <f t="shared" si="1"/>
        <v>101</v>
      </c>
      <c r="V12" s="664" t="s">
        <v>14</v>
      </c>
      <c r="W12" s="665">
        <f t="shared" si="2"/>
        <v>101</v>
      </c>
      <c r="X12" s="666"/>
      <c r="Y12" s="3262"/>
      <c r="Z12" s="50" t="str">
        <f t="shared" si="7"/>
        <v>交易方式</v>
      </c>
      <c r="AA12" s="50">
        <f>D12/F12</f>
        <v>0.99009900990099009</v>
      </c>
      <c r="AB12" s="50">
        <f>D12/H12</f>
        <v>0.99009900990099009</v>
      </c>
      <c r="AC12" s="50">
        <f>D12/J12</f>
        <v>0.99009900990099009</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v>3</v>
      </c>
      <c r="L15" s="2491"/>
      <c r="M15" s="2486"/>
      <c r="N15" s="2486"/>
      <c r="O15" s="2541"/>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
      <c r="A16" s="367"/>
      <c r="B16" s="555"/>
      <c r="C16" s="386" t="s">
        <v>3477</v>
      </c>
      <c r="D16" s="387"/>
      <c r="E16" s="386" t="s">
        <v>3477</v>
      </c>
      <c r="F16" s="387"/>
      <c r="G16" s="386" t="s">
        <v>3477</v>
      </c>
      <c r="H16" s="389"/>
      <c r="I16" s="386" t="s">
        <v>3477</v>
      </c>
      <c r="J16" s="387"/>
      <c r="K16" s="592"/>
      <c r="L16" s="2491"/>
      <c r="M16" s="2486"/>
      <c r="N16" s="2486"/>
      <c r="O16" s="2541"/>
      <c r="P16" s="3390"/>
      <c r="Q16" s="1263"/>
      <c r="R16" s="667"/>
      <c r="S16" s="668"/>
      <c r="T16" s="667"/>
      <c r="U16" s="668"/>
      <c r="V16" s="667"/>
      <c r="W16" s="668"/>
      <c r="X16" s="1265"/>
      <c r="Y16" s="339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98</v>
      </c>
      <c r="K17" s="593">
        <v>2</v>
      </c>
      <c r="L17" s="2491"/>
      <c r="M17" s="2486"/>
      <c r="N17" s="2486"/>
      <c r="O17" s="2541"/>
      <c r="P17" s="3390"/>
      <c r="Q17" s="1263" t="str">
        <f>B17</f>
        <v>交通便捷度</v>
      </c>
      <c r="R17" s="667" t="s">
        <v>14</v>
      </c>
      <c r="S17" s="668">
        <f>F17</f>
        <v>100</v>
      </c>
      <c r="T17" s="667" t="s">
        <v>14</v>
      </c>
      <c r="U17" s="668">
        <f>H17</f>
        <v>100</v>
      </c>
      <c r="V17" s="667" t="s">
        <v>14</v>
      </c>
      <c r="W17" s="668">
        <f>J17</f>
        <v>98</v>
      </c>
      <c r="X17" s="1265"/>
      <c r="Y17" s="3390"/>
      <c r="Z17" s="1264" t="str">
        <f>Q17</f>
        <v>交通便捷度</v>
      </c>
      <c r="AA17" s="1264">
        <f t="shared" si="3"/>
        <v>1</v>
      </c>
      <c r="AB17" s="1264">
        <f t="shared" si="4"/>
        <v>1</v>
      </c>
      <c r="AC17" s="1264">
        <f t="shared" si="5"/>
        <v>1.0204081632653061</v>
      </c>
    </row>
    <row r="18" spans="1:29" ht="15">
      <c r="A18" s="367"/>
      <c r="B18" s="401"/>
      <c r="C18" s="386" t="s">
        <v>3477</v>
      </c>
      <c r="D18" s="387"/>
      <c r="E18" s="386" t="s">
        <v>3477</v>
      </c>
      <c r="F18" s="387"/>
      <c r="G18" s="386" t="s">
        <v>3477</v>
      </c>
      <c r="H18" s="387"/>
      <c r="I18" s="1751" t="s">
        <v>3478</v>
      </c>
      <c r="J18" s="387"/>
      <c r="K18" s="592"/>
      <c r="L18" s="2491"/>
      <c r="M18" s="2486"/>
      <c r="N18" s="2486"/>
      <c r="O18" s="2541"/>
      <c r="P18" s="3390"/>
      <c r="Q18" s="1263"/>
      <c r="R18" s="667"/>
      <c r="S18" s="668"/>
      <c r="T18" s="667"/>
      <c r="U18" s="668"/>
      <c r="V18" s="667"/>
      <c r="W18" s="668"/>
      <c r="X18" s="1265"/>
      <c r="Y18" s="339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91"/>
      <c r="M19" s="2486"/>
      <c r="N19" s="2486"/>
      <c r="O19" s="2541"/>
      <c r="P19" s="3390"/>
      <c r="Q19" s="1263" t="str">
        <f t="shared" ref="Q19:Q33" si="8">B19</f>
        <v>区域土地利用方向</v>
      </c>
      <c r="R19" s="667" t="s">
        <v>14</v>
      </c>
      <c r="S19" s="668">
        <f>F19</f>
        <v>100</v>
      </c>
      <c r="T19" s="667" t="s">
        <v>14</v>
      </c>
      <c r="U19" s="668">
        <f>H19</f>
        <v>100</v>
      </c>
      <c r="V19" s="667" t="s">
        <v>14</v>
      </c>
      <c r="W19" s="668">
        <f>J19</f>
        <v>100</v>
      </c>
      <c r="X19" s="1265"/>
      <c r="Y19" s="3390"/>
      <c r="Z19" s="1264" t="str">
        <f>Q19</f>
        <v>区域土地利用方向</v>
      </c>
      <c r="AA19" s="1264">
        <f t="shared" si="3"/>
        <v>1</v>
      </c>
      <c r="AB19" s="1264">
        <f t="shared" si="4"/>
        <v>1</v>
      </c>
      <c r="AC19" s="1264">
        <f t="shared" si="5"/>
        <v>1</v>
      </c>
    </row>
    <row r="20" spans="1:29" ht="15">
      <c r="A20" s="348"/>
      <c r="B20" s="401"/>
      <c r="C20" s="386" t="s">
        <v>3477</v>
      </c>
      <c r="D20" s="387"/>
      <c r="E20" s="386" t="s">
        <v>3477</v>
      </c>
      <c r="F20" s="387"/>
      <c r="G20" s="386" t="s">
        <v>3477</v>
      </c>
      <c r="H20" s="387"/>
      <c r="I20" s="386" t="s">
        <v>3477</v>
      </c>
      <c r="J20" s="387"/>
      <c r="K20" s="698"/>
      <c r="L20" s="2491"/>
      <c r="M20" s="2486"/>
      <c r="N20" s="2486"/>
      <c r="O20" s="2541"/>
      <c r="P20" s="3390"/>
      <c r="Q20" s="1263"/>
      <c r="R20" s="667"/>
      <c r="S20" s="668"/>
      <c r="T20" s="667"/>
      <c r="U20" s="668"/>
      <c r="V20" s="667"/>
      <c r="W20" s="668"/>
      <c r="X20" s="1265"/>
      <c r="Y20" s="339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v>2</v>
      </c>
      <c r="L21" s="2491"/>
      <c r="M21" s="2486"/>
      <c r="N21" s="2486"/>
      <c r="O21" s="2541"/>
      <c r="P21" s="3390"/>
      <c r="Q21" s="1263" t="str">
        <f t="shared" si="8"/>
        <v>环境状况</v>
      </c>
      <c r="R21" s="667" t="s">
        <v>14</v>
      </c>
      <c r="S21" s="668">
        <f>F21</f>
        <v>100</v>
      </c>
      <c r="T21" s="667" t="s">
        <v>14</v>
      </c>
      <c r="U21" s="668">
        <f>H21</f>
        <v>100</v>
      </c>
      <c r="V21" s="667" t="s">
        <v>14</v>
      </c>
      <c r="W21" s="668">
        <f>J21</f>
        <v>100</v>
      </c>
      <c r="X21" s="1265"/>
      <c r="Y21" s="3390"/>
      <c r="Z21" s="1264" t="str">
        <f>Q21</f>
        <v>环境状况</v>
      </c>
      <c r="AA21" s="1264">
        <f t="shared" si="3"/>
        <v>1</v>
      </c>
      <c r="AB21" s="1264">
        <f t="shared" si="4"/>
        <v>1</v>
      </c>
      <c r="AC21" s="1264">
        <f t="shared" si="5"/>
        <v>1</v>
      </c>
    </row>
    <row r="22" spans="1:29" ht="15">
      <c r="A22" s="348"/>
      <c r="B22" s="401"/>
      <c r="C22" s="386" t="s">
        <v>3477</v>
      </c>
      <c r="D22" s="387"/>
      <c r="E22" s="386" t="s">
        <v>3477</v>
      </c>
      <c r="F22" s="387"/>
      <c r="G22" s="386" t="s">
        <v>3477</v>
      </c>
      <c r="H22" s="387"/>
      <c r="I22" s="386" t="s">
        <v>3477</v>
      </c>
      <c r="J22" s="387"/>
      <c r="K22" s="592"/>
      <c r="L22" s="2491"/>
      <c r="M22" s="2486"/>
      <c r="N22" s="2486"/>
      <c r="O22" s="2541"/>
      <c r="P22" s="3390"/>
      <c r="Q22" s="1263"/>
      <c r="R22" s="667"/>
      <c r="S22" s="668"/>
      <c r="T22" s="667"/>
      <c r="U22" s="668"/>
      <c r="V22" s="667"/>
      <c r="W22" s="668"/>
      <c r="X22" s="1265"/>
      <c r="Y22" s="339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v>2</v>
      </c>
      <c r="L23" s="2487"/>
      <c r="M23" s="2439"/>
      <c r="N23" s="2439"/>
      <c r="O23" s="2539"/>
      <c r="P23" s="3390"/>
      <c r="Q23" s="530" t="str">
        <f t="shared" si="8"/>
        <v>公共配套设施</v>
      </c>
      <c r="R23" s="664" t="s">
        <v>14</v>
      </c>
      <c r="S23" s="665">
        <f>F23</f>
        <v>100</v>
      </c>
      <c r="T23" s="664" t="s">
        <v>14</v>
      </c>
      <c r="U23" s="665">
        <f>H23</f>
        <v>100</v>
      </c>
      <c r="V23" s="664" t="s">
        <v>14</v>
      </c>
      <c r="W23" s="665">
        <f>J23</f>
        <v>100</v>
      </c>
      <c r="X23" s="666"/>
      <c r="Y23" s="3390"/>
      <c r="Z23" s="50" t="str">
        <f>Q23</f>
        <v>公共配套设施</v>
      </c>
      <c r="AA23" s="1264">
        <f>D23/F23</f>
        <v>1</v>
      </c>
      <c r="AB23" s="1264">
        <f>D23/H23</f>
        <v>1</v>
      </c>
      <c r="AC23" s="1264">
        <f>D23/J23</f>
        <v>1</v>
      </c>
    </row>
    <row r="24" spans="1:29" s="102" customFormat="1" ht="15">
      <c r="A24" s="443"/>
      <c r="B24" s="401"/>
      <c r="C24" s="1826" t="s">
        <v>3479</v>
      </c>
      <c r="D24" s="387"/>
      <c r="E24" s="1826" t="s">
        <v>3479</v>
      </c>
      <c r="F24" s="387"/>
      <c r="G24" s="1826" t="s">
        <v>3479</v>
      </c>
      <c r="H24" s="387"/>
      <c r="I24" s="1826" t="s">
        <v>3479</v>
      </c>
      <c r="J24" s="387"/>
      <c r="K24" s="592"/>
      <c r="L24" s="2487"/>
      <c r="M24" s="2439"/>
      <c r="N24" s="2439"/>
      <c r="O24" s="2539"/>
      <c r="P24" s="3390"/>
      <c r="Q24" s="530"/>
      <c r="R24" s="664"/>
      <c r="S24" s="665"/>
      <c r="T24" s="664"/>
      <c r="U24" s="665"/>
      <c r="V24" s="664"/>
      <c r="W24" s="665"/>
      <c r="X24" s="666"/>
      <c r="Y24" s="339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v>1</v>
      </c>
      <c r="L25" s="2487"/>
      <c r="M25" s="2439"/>
      <c r="N25" s="2439"/>
      <c r="O25" s="2539"/>
      <c r="P25" s="3390"/>
      <c r="Q25" s="530" t="str">
        <f t="shared" ref="Q25" si="9">B25</f>
        <v>基础设施水平</v>
      </c>
      <c r="R25" s="664" t="s">
        <v>14</v>
      </c>
      <c r="S25" s="665">
        <f>F25</f>
        <v>100</v>
      </c>
      <c r="T25" s="664" t="s">
        <v>14</v>
      </c>
      <c r="U25" s="665">
        <f>H25</f>
        <v>100</v>
      </c>
      <c r="V25" s="664" t="s">
        <v>14</v>
      </c>
      <c r="W25" s="665">
        <f>J25</f>
        <v>100</v>
      </c>
      <c r="X25" s="666"/>
      <c r="Y25" s="3390"/>
      <c r="Z25" s="50" t="str">
        <f>Q25</f>
        <v>基础设施水平</v>
      </c>
      <c r="AA25" s="1264">
        <f>D25/F25</f>
        <v>1</v>
      </c>
      <c r="AB25" s="1264">
        <f>D25/H25</f>
        <v>1</v>
      </c>
      <c r="AC25" s="1264">
        <f>D25/J25</f>
        <v>1</v>
      </c>
    </row>
    <row r="26" spans="1:29" s="102" customFormat="1" ht="15">
      <c r="A26" s="443"/>
      <c r="B26" s="401"/>
      <c r="C26" s="1826" t="s">
        <v>3480</v>
      </c>
      <c r="D26" s="387"/>
      <c r="E26" s="1826" t="s">
        <v>3480</v>
      </c>
      <c r="F26" s="387"/>
      <c r="G26" s="1826" t="s">
        <v>3480</v>
      </c>
      <c r="H26" s="387"/>
      <c r="I26" s="1826" t="s">
        <v>3480</v>
      </c>
      <c r="J26" s="387"/>
      <c r="K26" s="592"/>
      <c r="L26" s="2487"/>
      <c r="M26" s="2439"/>
      <c r="N26" s="2439"/>
      <c r="O26" s="2539"/>
      <c r="P26" s="3390"/>
      <c r="Q26" s="530"/>
      <c r="R26" s="664"/>
      <c r="S26" s="665"/>
      <c r="T26" s="664"/>
      <c r="U26" s="665"/>
      <c r="V26" s="664"/>
      <c r="W26" s="665"/>
      <c r="X26" s="666"/>
      <c r="Y26" s="339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0"/>
      <c r="Q28" s="1263" t="str">
        <f t="shared" si="8"/>
        <v>毗邻道路的类型与等级</v>
      </c>
      <c r="R28" s="667" t="s">
        <v>14</v>
      </c>
      <c r="S28" s="668">
        <f t="shared" si="10"/>
        <v>100</v>
      </c>
      <c r="T28" s="667" t="s">
        <v>14</v>
      </c>
      <c r="U28" s="668">
        <f t="shared" si="11"/>
        <v>100</v>
      </c>
      <c r="V28" s="667" t="s">
        <v>14</v>
      </c>
      <c r="W28" s="668">
        <f t="shared" si="12"/>
        <v>100</v>
      </c>
      <c r="X28" s="1265"/>
      <c r="Y28" s="339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90"/>
      <c r="Q29" s="1263"/>
      <c r="R29" s="667"/>
      <c r="S29" s="668"/>
      <c r="T29" s="667"/>
      <c r="U29" s="668"/>
      <c r="V29" s="667"/>
      <c r="W29" s="668"/>
      <c r="X29" s="1265"/>
      <c r="Y29" s="339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0"/>
      <c r="Q30" s="1263" t="str">
        <f t="shared" si="8"/>
        <v>土地级别</v>
      </c>
      <c r="R30" s="667" t="s">
        <v>14</v>
      </c>
      <c r="S30" s="668">
        <f t="shared" si="10"/>
        <v>100</v>
      </c>
      <c r="T30" s="667" t="s">
        <v>14</v>
      </c>
      <c r="U30" s="668">
        <f t="shared" si="11"/>
        <v>100</v>
      </c>
      <c r="V30" s="667" t="s">
        <v>14</v>
      </c>
      <c r="W30" s="668">
        <f t="shared" si="12"/>
        <v>100</v>
      </c>
      <c r="X30" s="1265"/>
      <c r="Y30" s="339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0"/>
      <c r="Q31" s="1263">
        <f t="shared" si="8"/>
        <v>111</v>
      </c>
      <c r="R31" s="667" t="s">
        <v>14</v>
      </c>
      <c r="S31" s="668">
        <f t="shared" si="10"/>
        <v>100</v>
      </c>
      <c r="T31" s="667" t="s">
        <v>14</v>
      </c>
      <c r="U31" s="668">
        <f t="shared" si="11"/>
        <v>100</v>
      </c>
      <c r="V31" s="667" t="s">
        <v>14</v>
      </c>
      <c r="W31" s="668">
        <f t="shared" si="12"/>
        <v>100</v>
      </c>
      <c r="X31" s="1265"/>
      <c r="Y31" s="339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4" t="s">
        <v>1696</v>
      </c>
      <c r="Q32" s="1263">
        <f t="shared" si="8"/>
        <v>111</v>
      </c>
      <c r="R32" s="667" t="s">
        <v>14</v>
      </c>
      <c r="S32" s="668">
        <f t="shared" si="10"/>
        <v>100</v>
      </c>
      <c r="T32" s="667" t="s">
        <v>14</v>
      </c>
      <c r="U32" s="668">
        <f t="shared" si="11"/>
        <v>100</v>
      </c>
      <c r="V32" s="667" t="s">
        <v>14</v>
      </c>
      <c r="W32" s="668">
        <f t="shared" si="12"/>
        <v>100</v>
      </c>
      <c r="X32" s="1265"/>
      <c r="Y32" s="339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4"/>
      <c r="Q33" s="1263">
        <f t="shared" si="8"/>
        <v>111</v>
      </c>
      <c r="R33" s="669" t="s">
        <v>14</v>
      </c>
      <c r="S33" s="670">
        <f t="shared" si="10"/>
        <v>100</v>
      </c>
      <c r="T33" s="669" t="s">
        <v>14</v>
      </c>
      <c r="U33" s="670">
        <f t="shared" si="11"/>
        <v>100</v>
      </c>
      <c r="V33" s="669" t="s">
        <v>14</v>
      </c>
      <c r="W33" s="670">
        <f t="shared" si="12"/>
        <v>100</v>
      </c>
      <c r="X33" s="671"/>
      <c r="Y33" s="3394"/>
      <c r="Z33" s="672">
        <f t="shared" si="13"/>
        <v>111</v>
      </c>
      <c r="AA33" s="1264">
        <f t="shared" si="3"/>
        <v>1</v>
      </c>
      <c r="AB33" s="1264">
        <f t="shared" si="4"/>
        <v>1</v>
      </c>
      <c r="AC33" s="1264">
        <f t="shared" si="5"/>
        <v>1</v>
      </c>
    </row>
    <row r="34" spans="1:31" ht="15">
      <c r="A34" s="379" t="s">
        <v>1694</v>
      </c>
      <c r="B34" s="395" t="s">
        <v>1874</v>
      </c>
      <c r="C34" s="599">
        <f>'数据-汇总表'!E19</f>
        <v>67261.53</v>
      </c>
      <c r="D34" s="405">
        <v>100</v>
      </c>
      <c r="E34" s="599">
        <f>中指!G6</f>
        <v>10686.89</v>
      </c>
      <c r="F34" s="405">
        <f>LOOKUP(E34,108:108,109:109)-LOOKUP(C34,108:108,109:109)+100</f>
        <v>103</v>
      </c>
      <c r="G34" s="599">
        <f>中指!G22</f>
        <v>29986.53</v>
      </c>
      <c r="H34" s="405">
        <f>LOOKUP(G34,108:108,109:109)-LOOKUP(C34,108:108,109:109)+100</f>
        <v>102</v>
      </c>
      <c r="I34" s="462">
        <f>中指!G27</f>
        <v>22790.15</v>
      </c>
      <c r="J34" s="405">
        <f>LOOKUP(I34,108:108,109:109)-LOOKUP(C34,108:108,109:109)+100</f>
        <v>102</v>
      </c>
      <c r="K34" s="539"/>
      <c r="L34" s="2491"/>
      <c r="M34" s="2486"/>
      <c r="N34" s="2486"/>
      <c r="O34" s="2541"/>
      <c r="P34" s="3394"/>
      <c r="Q34" s="1263" t="str">
        <f>B34</f>
        <v>宗地面积</v>
      </c>
      <c r="R34" s="667" t="s">
        <v>14</v>
      </c>
      <c r="S34" s="668">
        <f t="shared" si="10"/>
        <v>103</v>
      </c>
      <c r="T34" s="667" t="s">
        <v>14</v>
      </c>
      <c r="U34" s="668">
        <f t="shared" si="11"/>
        <v>102</v>
      </c>
      <c r="V34" s="667" t="s">
        <v>14</v>
      </c>
      <c r="W34" s="668">
        <f t="shared" si="12"/>
        <v>102</v>
      </c>
      <c r="X34" s="1265"/>
      <c r="Y34" s="3394"/>
      <c r="Z34" s="1264" t="str">
        <f t="shared" si="13"/>
        <v>宗地面积</v>
      </c>
      <c r="AA34" s="1264">
        <f t="shared" si="3"/>
        <v>0.970873786407767</v>
      </c>
      <c r="AB34" s="1264">
        <f t="shared" si="4"/>
        <v>0.98039215686274506</v>
      </c>
      <c r="AC34" s="1264">
        <f t="shared" si="5"/>
        <v>0.98039215686274506</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4"/>
      <c r="Q35" s="1263" t="str">
        <f t="shared" ref="Q35:Q40" si="14">B35</f>
        <v>宗地形状</v>
      </c>
      <c r="R35" s="667" t="s">
        <v>14</v>
      </c>
      <c r="S35" s="668">
        <f t="shared" si="10"/>
        <v>100</v>
      </c>
      <c r="T35" s="667" t="s">
        <v>14</v>
      </c>
      <c r="U35" s="668">
        <f t="shared" si="11"/>
        <v>100</v>
      </c>
      <c r="V35" s="667" t="s">
        <v>14</v>
      </c>
      <c r="W35" s="668">
        <f t="shared" si="12"/>
        <v>100</v>
      </c>
      <c r="X35" s="1265"/>
      <c r="Y35" s="339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94"/>
      <c r="Q36" s="1263" t="str">
        <f t="shared" si="14"/>
        <v>宗地开发程度</v>
      </c>
      <c r="R36" s="664" t="s">
        <v>14</v>
      </c>
      <c r="S36" s="665">
        <f t="shared" si="10"/>
        <v>100</v>
      </c>
      <c r="T36" s="664" t="s">
        <v>14</v>
      </c>
      <c r="U36" s="665">
        <f t="shared" si="11"/>
        <v>100</v>
      </c>
      <c r="V36" s="664" t="s">
        <v>14</v>
      </c>
      <c r="W36" s="665">
        <f t="shared" si="12"/>
        <v>100</v>
      </c>
      <c r="X36" s="666"/>
      <c r="Y36" s="339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4" t="s">
        <v>1696</v>
      </c>
      <c r="Q37" s="1263" t="str">
        <f t="shared" si="14"/>
        <v>工程地质条件</v>
      </c>
      <c r="R37" s="667" t="s">
        <v>14</v>
      </c>
      <c r="S37" s="668">
        <f t="shared" si="10"/>
        <v>100</v>
      </c>
      <c r="T37" s="667" t="s">
        <v>14</v>
      </c>
      <c r="U37" s="668">
        <f t="shared" si="11"/>
        <v>100</v>
      </c>
      <c r="V37" s="667" t="s">
        <v>14</v>
      </c>
      <c r="W37" s="668">
        <f t="shared" si="12"/>
        <v>100</v>
      </c>
      <c r="X37" s="1265"/>
      <c r="Y37" s="339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4"/>
      <c r="Q38" s="1263">
        <f t="shared" si="14"/>
        <v>111</v>
      </c>
      <c r="R38" s="667" t="s">
        <v>14</v>
      </c>
      <c r="S38" s="668">
        <f t="shared" si="10"/>
        <v>100</v>
      </c>
      <c r="T38" s="667" t="s">
        <v>14</v>
      </c>
      <c r="U38" s="668">
        <f t="shared" si="11"/>
        <v>100</v>
      </c>
      <c r="V38" s="667" t="s">
        <v>14</v>
      </c>
      <c r="W38" s="668">
        <f t="shared" si="12"/>
        <v>100</v>
      </c>
      <c r="X38" s="1265"/>
      <c r="Y38" s="339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4"/>
      <c r="Q39" s="1263">
        <f t="shared" si="14"/>
        <v>111</v>
      </c>
      <c r="R39" s="667" t="s">
        <v>14</v>
      </c>
      <c r="S39" s="668">
        <f t="shared" si="10"/>
        <v>100</v>
      </c>
      <c r="T39" s="667" t="s">
        <v>14</v>
      </c>
      <c r="U39" s="668">
        <f t="shared" si="11"/>
        <v>100</v>
      </c>
      <c r="V39" s="667" t="s">
        <v>14</v>
      </c>
      <c r="W39" s="668">
        <f t="shared" si="12"/>
        <v>100</v>
      </c>
      <c r="X39" s="1265"/>
      <c r="Y39" s="339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4"/>
      <c r="Q40" s="1263">
        <f t="shared" si="14"/>
        <v>111</v>
      </c>
      <c r="R40" s="669" t="s">
        <v>14</v>
      </c>
      <c r="S40" s="670">
        <f t="shared" si="10"/>
        <v>100</v>
      </c>
      <c r="T40" s="669" t="s">
        <v>14</v>
      </c>
      <c r="U40" s="670">
        <f t="shared" si="11"/>
        <v>100</v>
      </c>
      <c r="V40" s="669" t="s">
        <v>14</v>
      </c>
      <c r="W40" s="670">
        <f t="shared" si="12"/>
        <v>100</v>
      </c>
      <c r="X40" s="671"/>
      <c r="Y40" s="3394"/>
      <c r="Z40" s="672">
        <f t="shared" si="13"/>
        <v>111</v>
      </c>
      <c r="AA40" s="1264">
        <f t="shared" si="3"/>
        <v>1</v>
      </c>
      <c r="AB40" s="1264">
        <f t="shared" si="4"/>
        <v>1</v>
      </c>
      <c r="AC40" s="1264">
        <f t="shared" si="5"/>
        <v>1</v>
      </c>
    </row>
    <row r="41" spans="1:31" ht="15">
      <c r="A41" s="416" t="s">
        <v>1844</v>
      </c>
      <c r="B41" s="1830" t="s">
        <v>3667</v>
      </c>
      <c r="C41" s="602" t="s">
        <v>0</v>
      </c>
      <c r="D41" s="418"/>
      <c r="E41" s="419">
        <f>中指!T6</f>
        <v>700</v>
      </c>
      <c r="F41" s="420"/>
      <c r="G41" s="421">
        <f>中指!R22</f>
        <v>694</v>
      </c>
      <c r="H41" s="422"/>
      <c r="I41" s="419">
        <f>中指!R27</f>
        <v>695</v>
      </c>
      <c r="J41" s="422"/>
      <c r="K41" s="674"/>
      <c r="L41" s="2493"/>
      <c r="M41" s="2486"/>
      <c r="N41" s="2486"/>
      <c r="O41" s="2486"/>
      <c r="P41" s="3387" t="str">
        <f>A41</f>
        <v>成交单价</v>
      </c>
      <c r="Q41" s="3387"/>
      <c r="R41" s="3388">
        <f>E41</f>
        <v>700</v>
      </c>
      <c r="S41" s="3388"/>
      <c r="T41" s="3388">
        <f>G41</f>
        <v>694</v>
      </c>
      <c r="U41" s="3388"/>
      <c r="V41" s="3388">
        <f>I41</f>
        <v>695</v>
      </c>
      <c r="W41" s="3388"/>
      <c r="X41" s="385"/>
      <c r="Y41" s="673"/>
      <c r="Z41" s="385"/>
      <c r="AA41" s="385"/>
      <c r="AB41" s="385"/>
      <c r="AC41" s="385"/>
    </row>
    <row r="42" spans="1:31" ht="15.75" thickBot="1">
      <c r="A42" s="423" t="s">
        <v>1793</v>
      </c>
      <c r="B42" s="603"/>
      <c r="C42" s="426">
        <f>R43</f>
        <v>678</v>
      </c>
      <c r="D42" s="2141" t="s">
        <v>2137</v>
      </c>
      <c r="E42" s="426">
        <f>R42</f>
        <v>673</v>
      </c>
      <c r="F42" s="2142"/>
      <c r="G42" s="425">
        <f>T42</f>
        <v>674</v>
      </c>
      <c r="H42" s="2142"/>
      <c r="I42" s="426">
        <f>V42</f>
        <v>688</v>
      </c>
      <c r="J42" s="2142"/>
      <c r="K42" s="2144">
        <f>F42+H42+J42</f>
        <v>0</v>
      </c>
      <c r="L42" s="2493"/>
      <c r="M42" s="2486"/>
      <c r="N42" s="2486"/>
      <c r="O42" s="2486"/>
      <c r="P42" s="3387" t="str">
        <f>A42</f>
        <v>比较价值（元/平方米）</v>
      </c>
      <c r="Q42" s="3387"/>
      <c r="R42" s="3446">
        <f>ROUND(PRODUCT(R41,AA7:AA40),0)</f>
        <v>673</v>
      </c>
      <c r="S42" s="3446"/>
      <c r="T42" s="3446">
        <f>ROUND(PRODUCT(T41,AB7:AB40),0)</f>
        <v>674</v>
      </c>
      <c r="U42" s="3446"/>
      <c r="V42" s="3446">
        <f>ROUND(PRODUCT(V41,AC7:AC40),0)</f>
        <v>688</v>
      </c>
      <c r="W42" s="3446"/>
      <c r="X42" s="385"/>
      <c r="Y42" s="385"/>
      <c r="Z42" s="385"/>
      <c r="AA42" s="385"/>
      <c r="AB42" s="385"/>
      <c r="AC42" s="385"/>
    </row>
    <row r="43" spans="1:31" ht="15.75" thickBot="1">
      <c r="A43" s="427" t="s">
        <v>1794</v>
      </c>
      <c r="B43" s="428"/>
      <c r="C43" s="429">
        <f>R43</f>
        <v>678</v>
      </c>
      <c r="D43" s="429"/>
      <c r="E43" s="429"/>
      <c r="F43" s="429"/>
      <c r="G43" s="429"/>
      <c r="H43" s="429"/>
      <c r="I43" s="429"/>
      <c r="J43" s="429"/>
      <c r="K43" s="675"/>
      <c r="L43" s="2493"/>
      <c r="M43" s="2486"/>
      <c r="N43" s="2486"/>
      <c r="O43" s="2486"/>
      <c r="P43" s="3384" t="str">
        <f>A43</f>
        <v>估价对象XX用房的比较价值（楼面单价，元/平方米）</v>
      </c>
      <c r="Q43" s="3385"/>
      <c r="R43" s="3447">
        <f>ROUND(IF(D42="简单平均",AVERAGE(R42:W42),R42*F42+T42*H42+V42*J42),0)</f>
        <v>678</v>
      </c>
      <c r="S43" s="3447"/>
      <c r="T43" s="3447"/>
      <c r="U43" s="3447"/>
      <c r="V43" s="3447"/>
      <c r="W43" s="344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f>IF(E41&lt;E42,E42/E41-1,E41/E42-1)</f>
        <v>4.0118870728083289E-2</v>
      </c>
      <c r="F46" s="435" t="str">
        <f>IF(OR(E46&gt;=0.3,E46&lt;=-0.3),"超过30%","")</f>
        <v/>
      </c>
      <c r="G46" s="434">
        <f>IF(G41&lt;G42,G42/G41-1,G41/G42-1)</f>
        <v>2.9673590504450953E-2</v>
      </c>
      <c r="H46" s="435" t="str">
        <f>IF(OR(G46&gt;=0.3,G46&lt;=-0.3),"超过30%","")</f>
        <v/>
      </c>
      <c r="I46" s="434">
        <f>IF(I41&lt;I42,I42/I41-1,I41/I42-1)</f>
        <v>1.017441860465107E-2</v>
      </c>
      <c r="J46" s="435" t="str">
        <f>IF(OR(I46&gt;=0.3,I46&lt;=-0.3),"超过30%","")</f>
        <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f>IF(E42&lt;G42,G42/E42-1,E42/G42-1)</f>
        <v>1.4858841010401136E-3</v>
      </c>
      <c r="F47" s="435" t="str">
        <f>IF(OR(E47&gt;=0.2,E47&lt;=-0.2),"超过20%","")</f>
        <v/>
      </c>
      <c r="G47" s="434">
        <f>IF(G42&lt;I42,I42/G42-1,G42/I42-1)</f>
        <v>2.0771513353115667E-2</v>
      </c>
      <c r="H47" s="435" t="str">
        <f>IF(OR(G47&gt;=0.2,G47&lt;=-0.2),"超过20%","")</f>
        <v/>
      </c>
      <c r="I47" s="434">
        <f>IF(I42&lt;E42,E42/I42-1,I42/E42-1)</f>
        <v>2.2288261515601704E-2</v>
      </c>
      <c r="J47" s="435" t="str">
        <f>IF(OR(I47&gt;=0.2,I47&lt;=-0.2),"超过20%","")</f>
        <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f>IF(E41&lt;G41,G41/E41-1,E41/G41-1)</f>
        <v>8.6455331412103043E-3</v>
      </c>
      <c r="F48" s="435" t="str">
        <f>IF(OR(E48&gt;=0.3,E48&lt;=-0.3),"超过30%","")</f>
        <v/>
      </c>
      <c r="G48" s="434">
        <f>IF(G41&lt;I41,I41/G41-1,G41/I41-1)</f>
        <v>1.4409221902016434E-3</v>
      </c>
      <c r="H48" s="435" t="str">
        <f>IF(OR(G48&gt;=0.3,G48&lt;=-0.3),"超过30%","")</f>
        <v/>
      </c>
      <c r="I48" s="434">
        <f>IF(I41&lt;E41,E41/I41-1,I41/E41-1)</f>
        <v>7.194244604316502E-3</v>
      </c>
      <c r="J48" s="435" t="str">
        <f>IF(OR(I48&gt;=0.3,I48&lt;=-0.3),"超过30%","")</f>
        <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402" t="s">
        <v>1887</v>
      </c>
      <c r="H50" s="3448"/>
      <c r="I50" s="1264" t="s">
        <v>1922</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f>C43</f>
        <v>678</v>
      </c>
      <c r="C51" s="610">
        <v>1</v>
      </c>
      <c r="D51" s="890">
        <v>1</v>
      </c>
      <c r="E51" s="610">
        <f>'数据-汇总表'!E8+'数据-汇总表'!E9</f>
        <v>67261.53</v>
      </c>
      <c r="F51" s="611">
        <f t="shared" ref="F51:F60" si="15">ROUND(B51*E51/10000,0)</f>
        <v>4560</v>
      </c>
      <c r="G51" s="3398"/>
      <c r="H51" s="3387"/>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f>ROUND($C$43*C52*D52,0)</f>
        <v>0</v>
      </c>
      <c r="C52" s="163">
        <f t="shared" ref="C52:C60" si="16">IF($C$50="北京市系数",I52,J52)</f>
        <v>0</v>
      </c>
      <c r="D52" s="891">
        <v>0.25</v>
      </c>
      <c r="E52" s="614"/>
      <c r="F52" s="611">
        <f t="shared" si="15"/>
        <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f t="shared" ref="B53:B60" si="17">ROUND($C$43*C53*D53,0)</f>
        <v>0</v>
      </c>
      <c r="C53" s="163">
        <f t="shared" si="16"/>
        <v>0</v>
      </c>
      <c r="D53" s="891">
        <v>0.25</v>
      </c>
      <c r="E53" s="614"/>
      <c r="F53" s="611">
        <f t="shared" si="15"/>
        <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f t="shared" si="17"/>
        <v>0</v>
      </c>
      <c r="C54" s="163">
        <f t="shared" si="16"/>
        <v>0</v>
      </c>
      <c r="D54" s="891">
        <v>0.25</v>
      </c>
      <c r="E54" s="614"/>
      <c r="F54" s="611">
        <f t="shared" si="15"/>
        <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f t="shared" si="17"/>
        <v>0</v>
      </c>
      <c r="C56" s="163">
        <f t="shared" si="16"/>
        <v>0</v>
      </c>
      <c r="D56" s="891">
        <v>0.25</v>
      </c>
      <c r="E56" s="209">
        <f>'数据-汇总表'!E11</f>
        <v>0</v>
      </c>
      <c r="F56" s="611">
        <f t="shared" si="15"/>
        <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f t="shared" si="17"/>
        <v>0</v>
      </c>
      <c r="C57" s="163">
        <f t="shared" si="16"/>
        <v>0</v>
      </c>
      <c r="D57" s="891">
        <v>0.25</v>
      </c>
      <c r="E57" s="209">
        <f>'数据-汇总表'!E12</f>
        <v>0</v>
      </c>
      <c r="F57" s="611">
        <f t="shared" si="15"/>
        <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f t="shared" si="17"/>
        <v>0</v>
      </c>
      <c r="C58" s="163">
        <f t="shared" si="16"/>
        <v>0</v>
      </c>
      <c r="D58" s="891">
        <v>0.25</v>
      </c>
      <c r="E58" s="209">
        <f>'数据-汇总表'!E13</f>
        <v>0</v>
      </c>
      <c r="F58" s="611">
        <f t="shared" si="15"/>
        <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f t="shared" si="17"/>
        <v>0</v>
      </c>
      <c r="C59" s="163">
        <f t="shared" si="16"/>
        <v>0</v>
      </c>
      <c r="D59" s="891">
        <v>0.25</v>
      </c>
      <c r="E59" s="209">
        <f>'数据-汇总表'!E14</f>
        <v>0</v>
      </c>
      <c r="F59" s="611">
        <f t="shared" si="15"/>
        <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f t="shared" si="17"/>
        <v>0</v>
      </c>
      <c r="C60" s="163">
        <f t="shared" si="16"/>
        <v>0</v>
      </c>
      <c r="D60" s="891">
        <v>0.25</v>
      </c>
      <c r="E60" s="209">
        <f>'数据-汇总表'!E15</f>
        <v>0</v>
      </c>
      <c r="F60" s="611">
        <f t="shared" si="15"/>
        <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58848.03</v>
      </c>
      <c r="F61" s="617">
        <f>IF(B41="楼面地价",SUM(F51:F60),ROUND(C43*E61/10000,0))</f>
        <v>3990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1923</v>
      </c>
      <c r="B66" s="280" t="str">
        <f>"北京市平均增长率"&amp;TEXT(基准地价修正!P28,"0.00%")</f>
        <v>北京市平均增长率0.00%</v>
      </c>
      <c r="C66" s="530">
        <v>100</v>
      </c>
      <c r="D66" s="6">
        <v>100</v>
      </c>
      <c r="E66" s="6">
        <v>100</v>
      </c>
      <c r="F66" s="6">
        <v>100</v>
      </c>
      <c r="G66" s="6">
        <v>100</v>
      </c>
      <c r="H66" s="6">
        <v>100</v>
      </c>
      <c r="I66" s="6">
        <v>100</v>
      </c>
      <c r="J66" s="6">
        <v>100</v>
      </c>
      <c r="K66" s="6">
        <v>100</v>
      </c>
      <c r="L66" s="6">
        <v>100</v>
      </c>
      <c r="M66" s="6">
        <v>100</v>
      </c>
      <c r="N66" s="6">
        <v>100</v>
      </c>
      <c r="O66" s="6">
        <v>100</v>
      </c>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59"/>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3167" t="s">
        <v>3495</v>
      </c>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v>100</v>
      </c>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0（含）-1</v>
      </c>
      <c r="D74" s="478" t="str">
        <f t="shared" ref="D74:L74" si="20">D75&amp;"（含）"&amp;"-"&amp;E75</f>
        <v>1（含）-2</v>
      </c>
      <c r="E74" s="478" t="str">
        <f t="shared" si="20"/>
        <v>2（含）-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v>0</v>
      </c>
      <c r="D75" s="480">
        <v>1</v>
      </c>
      <c r="E75" s="480">
        <v>2</v>
      </c>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101</v>
      </c>
      <c r="E76" s="475">
        <f t="shared" ref="E76:M76" si="21">IF($B$41="单位面积地价",D76+$K11,D76-$K11)</f>
        <v>102</v>
      </c>
      <c r="F76" s="475">
        <f t="shared" si="21"/>
        <v>103</v>
      </c>
      <c r="G76" s="475">
        <f t="shared" si="21"/>
        <v>104</v>
      </c>
      <c r="H76" s="475">
        <f t="shared" si="21"/>
        <v>105</v>
      </c>
      <c r="I76" s="475">
        <f t="shared" si="21"/>
        <v>106</v>
      </c>
      <c r="J76" s="475">
        <f t="shared" si="21"/>
        <v>107</v>
      </c>
      <c r="K76" s="475">
        <f t="shared" si="21"/>
        <v>108</v>
      </c>
      <c r="L76" s="475">
        <f t="shared" si="21"/>
        <v>109</v>
      </c>
      <c r="M76" s="475">
        <f t="shared" si="21"/>
        <v>110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t="str">
        <f>B12</f>
        <v>交易方式</v>
      </c>
      <c r="C77" s="3168" t="s">
        <v>3476</v>
      </c>
      <c r="D77" s="3168" t="s">
        <v>3473</v>
      </c>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v>100</v>
      </c>
      <c r="D78" s="467">
        <v>101</v>
      </c>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97</v>
      </c>
      <c r="E84" s="475">
        <f>D84-$K15</f>
        <v>94</v>
      </c>
      <c r="F84" s="475">
        <f>E84-$K15</f>
        <v>91</v>
      </c>
      <c r="G84" s="475">
        <f>F84-$K15</f>
        <v>88</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98</v>
      </c>
      <c r="E86" s="475">
        <f>D86-$K17</f>
        <v>96</v>
      </c>
      <c r="F86" s="475">
        <f>E86-$K17</f>
        <v>94</v>
      </c>
      <c r="G86" s="475">
        <f>F86-$K17</f>
        <v>92</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98</v>
      </c>
      <c r="E88" s="475">
        <f>D88-$K19</f>
        <v>96</v>
      </c>
      <c r="F88" s="475">
        <f>E88-$K19</f>
        <v>94</v>
      </c>
      <c r="G88" s="475">
        <f>F88-$K19</f>
        <v>92</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98</v>
      </c>
      <c r="E90" s="475">
        <f>D90-$K21</f>
        <v>96</v>
      </c>
      <c r="F90" s="475">
        <f>E90-$K21</f>
        <v>94</v>
      </c>
      <c r="G90" s="475">
        <f>F90-$K21</f>
        <v>92</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98</v>
      </c>
      <c r="E92" s="475">
        <f>D92-$K23</f>
        <v>96</v>
      </c>
      <c r="F92" s="475">
        <f>E92-$K23</f>
        <v>94</v>
      </c>
      <c r="G92" s="475">
        <f>F92-$K23</f>
        <v>92</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99</v>
      </c>
      <c r="E94" s="475">
        <f>D94-$K25</f>
        <v>98</v>
      </c>
      <c r="F94" s="475">
        <f>E94-$K25</f>
        <v>97</v>
      </c>
      <c r="G94" s="475">
        <f>F94-$K25</f>
        <v>96</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28.5">
      <c r="A107" s="379" t="s">
        <v>1694</v>
      </c>
      <c r="B107" s="460" t="s">
        <v>1913</v>
      </c>
      <c r="C107" s="461" t="str">
        <f t="shared" ref="C107:L107" si="25">C108&amp;"(含)"&amp;"-"&amp;D108</f>
        <v>0(含)-10000</v>
      </c>
      <c r="D107" s="461" t="str">
        <f t="shared" si="25"/>
        <v>10000(含)-20000</v>
      </c>
      <c r="E107" s="461" t="str">
        <f t="shared" si="25"/>
        <v>20000(含)-30000</v>
      </c>
      <c r="F107" s="461" t="str">
        <f t="shared" si="25"/>
        <v>30000(含)-40000</v>
      </c>
      <c r="G107" s="461" t="str">
        <f t="shared" si="25"/>
        <v>40000(含)-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v>0</v>
      </c>
      <c r="D108" s="6">
        <v>10000</v>
      </c>
      <c r="E108" s="6">
        <v>20000</v>
      </c>
      <c r="F108" s="6">
        <v>30000</v>
      </c>
      <c r="G108" s="6">
        <v>40000</v>
      </c>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v>100</v>
      </c>
      <c r="D109" s="521">
        <f>C109-1</f>
        <v>99</v>
      </c>
      <c r="E109" s="521">
        <f t="shared" ref="E109:G109" si="26">D109-1</f>
        <v>98</v>
      </c>
      <c r="F109" s="521">
        <f t="shared" si="26"/>
        <v>97</v>
      </c>
      <c r="G109" s="521">
        <f t="shared" si="26"/>
        <v>96</v>
      </c>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7">C111-$K35</f>
        <v>100</v>
      </c>
      <c r="E111" s="475">
        <f t="shared" si="27"/>
        <v>100</v>
      </c>
      <c r="F111" s="475">
        <f t="shared" si="27"/>
        <v>100</v>
      </c>
      <c r="G111" s="475">
        <f t="shared" si="27"/>
        <v>100</v>
      </c>
      <c r="H111" s="475">
        <f t="shared" si="27"/>
        <v>100</v>
      </c>
      <c r="I111" s="475">
        <f t="shared" si="27"/>
        <v>100</v>
      </c>
      <c r="J111" s="475">
        <f t="shared" si="27"/>
        <v>100</v>
      </c>
      <c r="K111" s="475">
        <f t="shared" si="27"/>
        <v>100</v>
      </c>
      <c r="L111" s="475">
        <f t="shared" si="27"/>
        <v>100</v>
      </c>
      <c r="M111" s="476">
        <f t="shared" si="27"/>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8">C113-$K36</f>
        <v>100</v>
      </c>
      <c r="E113" s="475">
        <f t="shared" si="28"/>
        <v>100</v>
      </c>
      <c r="F113" s="475">
        <f t="shared" si="28"/>
        <v>100</v>
      </c>
      <c r="G113" s="475">
        <f t="shared" si="28"/>
        <v>100</v>
      </c>
      <c r="H113" s="475">
        <f t="shared" si="28"/>
        <v>100</v>
      </c>
      <c r="I113" s="475">
        <f t="shared" si="28"/>
        <v>100</v>
      </c>
      <c r="J113" s="475">
        <f t="shared" si="28"/>
        <v>100</v>
      </c>
      <c r="K113" s="475">
        <f t="shared" si="28"/>
        <v>100</v>
      </c>
      <c r="L113" s="475">
        <f t="shared" si="28"/>
        <v>100</v>
      </c>
      <c r="M113" s="476">
        <f t="shared" si="28"/>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9">C115-$K37</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1"/>
  <sheetViews>
    <sheetView workbookViewId="0">
      <selection activeCell="J29" sqref="J29"/>
    </sheetView>
  </sheetViews>
  <sheetFormatPr defaultRowHeight="13.5"/>
  <cols>
    <col min="1" max="1" width="24" customWidth="1"/>
    <col min="3" max="3" width="9.5" bestFit="1" customWidth="1"/>
  </cols>
  <sheetData>
    <row r="1" spans="1:6">
      <c r="A1" s="3166" t="s">
        <v>3489</v>
      </c>
    </row>
    <row r="2" spans="1:6">
      <c r="A2" s="1405" t="s">
        <v>3416</v>
      </c>
      <c r="C2" s="1405" t="s">
        <v>3418</v>
      </c>
      <c r="D2" s="1405" t="s">
        <v>3392</v>
      </c>
      <c r="E2" s="1405" t="s">
        <v>3420</v>
      </c>
    </row>
    <row r="3" spans="1:6">
      <c r="A3">
        <v>48084.41</v>
      </c>
      <c r="B3" s="1405" t="s">
        <v>3417</v>
      </c>
      <c r="C3">
        <v>32800000</v>
      </c>
      <c r="D3">
        <v>682.13</v>
      </c>
      <c r="E3">
        <v>1.2</v>
      </c>
    </row>
    <row r="4" spans="1:6">
      <c r="A4">
        <v>12365.59</v>
      </c>
      <c r="B4" s="1405" t="s">
        <v>3417</v>
      </c>
      <c r="C4">
        <v>8600000</v>
      </c>
      <c r="D4">
        <v>695.47</v>
      </c>
      <c r="E4" s="1405" t="s">
        <v>3421</v>
      </c>
    </row>
    <row r="5" spans="1:6">
      <c r="A5">
        <f>A3+A4</f>
        <v>60450</v>
      </c>
    </row>
    <row r="8" spans="1:6">
      <c r="A8" s="3166" t="s">
        <v>3490</v>
      </c>
    </row>
    <row r="9" spans="1:6">
      <c r="A9" s="1405" t="s">
        <v>3422</v>
      </c>
    </row>
    <row r="10" spans="1:6">
      <c r="A10">
        <v>71213.62</v>
      </c>
    </row>
    <row r="11" spans="1:6">
      <c r="A11" s="1405" t="s">
        <v>3423</v>
      </c>
      <c r="B11" s="1405" t="s">
        <v>3424</v>
      </c>
      <c r="C11" s="1405" t="s">
        <v>3425</v>
      </c>
      <c r="D11" s="1405" t="s">
        <v>2542</v>
      </c>
      <c r="E11" s="1405" t="s">
        <v>3426</v>
      </c>
      <c r="F11" s="1405" t="s">
        <v>3427</v>
      </c>
    </row>
    <row r="12" spans="1:6">
      <c r="A12" s="3156" t="s">
        <v>3428</v>
      </c>
      <c r="B12">
        <v>11258.18</v>
      </c>
      <c r="C12" s="1405" t="s">
        <v>3437</v>
      </c>
      <c r="D12" s="1405" t="s">
        <v>3432</v>
      </c>
      <c r="E12" s="3156" t="s">
        <v>3434</v>
      </c>
      <c r="F12" s="3156" t="s">
        <v>3434</v>
      </c>
    </row>
    <row r="13" spans="1:6">
      <c r="A13" s="3156" t="s">
        <v>3429</v>
      </c>
      <c r="B13">
        <v>17354.36</v>
      </c>
      <c r="C13" s="1405" t="s">
        <v>3437</v>
      </c>
      <c r="D13" s="1405" t="s">
        <v>3433</v>
      </c>
      <c r="E13" s="3156" t="s">
        <v>3435</v>
      </c>
      <c r="F13" s="3156" t="s">
        <v>3435</v>
      </c>
    </row>
    <row r="14" spans="1:6">
      <c r="A14" s="3156" t="s">
        <v>3430</v>
      </c>
      <c r="B14">
        <v>17771.490000000002</v>
      </c>
      <c r="C14" s="1405" t="s">
        <v>3437</v>
      </c>
      <c r="D14" s="1405" t="s">
        <v>3433</v>
      </c>
      <c r="E14" s="3156" t="s">
        <v>3435</v>
      </c>
      <c r="F14" s="3156" t="s">
        <v>3435</v>
      </c>
    </row>
    <row r="15" spans="1:6">
      <c r="A15" s="3156" t="s">
        <v>3431</v>
      </c>
      <c r="B15">
        <v>20877.5</v>
      </c>
      <c r="C15" s="1405" t="s">
        <v>3437</v>
      </c>
      <c r="D15" s="1405" t="s">
        <v>3433</v>
      </c>
      <c r="E15" s="3156" t="s">
        <v>3436</v>
      </c>
      <c r="F15" s="3156" t="s">
        <v>3436</v>
      </c>
    </row>
    <row r="16" spans="1:6">
      <c r="A16" s="3156" t="s">
        <v>2591</v>
      </c>
      <c r="B16" s="1405">
        <f>SUM(B12:B15)</f>
        <v>67261.53</v>
      </c>
    </row>
    <row r="17" spans="1:4">
      <c r="A17" s="3155"/>
    </row>
    <row r="18" spans="1:4">
      <c r="C18" s="1405" t="s">
        <v>3493</v>
      </c>
      <c r="D18" s="1405" t="s">
        <v>3498</v>
      </c>
    </row>
    <row r="19" spans="1:4">
      <c r="A19" s="3155" t="s">
        <v>3491</v>
      </c>
      <c r="B19">
        <f>B16</f>
        <v>67261.53</v>
      </c>
      <c r="C19">
        <f>ROUND(B19/D19,2)</f>
        <v>1.1399999999999999</v>
      </c>
      <c r="D19">
        <f>A10-D20</f>
        <v>58848.03</v>
      </c>
    </row>
    <row r="20" spans="1:4">
      <c r="A20" s="3155" t="s">
        <v>3492</v>
      </c>
      <c r="B20">
        <v>30914</v>
      </c>
      <c r="C20">
        <f>ROUND(B20/A4,2)</f>
        <v>2.5</v>
      </c>
      <c r="D20">
        <f>A4</f>
        <v>12365.59</v>
      </c>
    </row>
    <row r="21" spans="1:4">
      <c r="A21" s="3155" t="s">
        <v>3494</v>
      </c>
      <c r="B21">
        <f>B19+B20</f>
        <v>98175.53</v>
      </c>
    </row>
  </sheetData>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46"/>
  <sheetViews>
    <sheetView workbookViewId="0">
      <selection activeCell="T6" sqref="T6"/>
    </sheetView>
  </sheetViews>
  <sheetFormatPr defaultRowHeight="13.5"/>
  <sheetData>
    <row r="1" spans="1:20">
      <c r="A1" s="1156" t="s">
        <v>3442</v>
      </c>
      <c r="B1" s="1156" t="s">
        <v>3443</v>
      </c>
      <c r="C1" s="1156" t="s">
        <v>3499</v>
      </c>
      <c r="D1" s="1156" t="s">
        <v>3444</v>
      </c>
      <c r="E1" s="1156" t="s">
        <v>3500</v>
      </c>
      <c r="F1" s="1156" t="s">
        <v>3446</v>
      </c>
      <c r="G1" s="1156" t="s">
        <v>3447</v>
      </c>
      <c r="H1" s="1156" t="s">
        <v>3445</v>
      </c>
      <c r="I1" s="1156" t="s">
        <v>3449</v>
      </c>
      <c r="J1" s="1156" t="s">
        <v>3501</v>
      </c>
      <c r="K1" s="1156" t="s">
        <v>3419</v>
      </c>
      <c r="L1" s="1156" t="s">
        <v>3448</v>
      </c>
      <c r="M1" s="1156" t="s">
        <v>3450</v>
      </c>
      <c r="N1" s="1156" t="s">
        <v>3451</v>
      </c>
      <c r="O1" s="1156" t="s">
        <v>3452</v>
      </c>
      <c r="P1" s="1156" t="s">
        <v>3453</v>
      </c>
      <c r="Q1" s="1156" t="s">
        <v>3454</v>
      </c>
      <c r="R1" s="1156" t="s">
        <v>3455</v>
      </c>
      <c r="S1" s="1156" t="s">
        <v>3456</v>
      </c>
      <c r="T1" s="3508" t="s">
        <v>3668</v>
      </c>
    </row>
    <row r="2" spans="1:20">
      <c r="A2" s="1156" t="s">
        <v>3502</v>
      </c>
      <c r="B2" s="1156" t="s">
        <v>3457</v>
      </c>
      <c r="C2" s="1156" t="s">
        <v>3503</v>
      </c>
      <c r="D2" s="1156" t="s">
        <v>3504</v>
      </c>
      <c r="E2" s="1156" t="s">
        <v>3502</v>
      </c>
      <c r="F2" s="1156">
        <v>80000.11</v>
      </c>
      <c r="G2" s="1156">
        <v>80000.11</v>
      </c>
      <c r="H2" s="1156" t="s">
        <v>2478</v>
      </c>
      <c r="I2" s="1156" t="s">
        <v>3505</v>
      </c>
      <c r="J2" s="1156" t="s">
        <v>3506</v>
      </c>
      <c r="K2" s="1156" t="s">
        <v>3463</v>
      </c>
      <c r="L2" s="1156" t="s">
        <v>3459</v>
      </c>
      <c r="M2" s="1156" t="s">
        <v>3518</v>
      </c>
      <c r="N2" s="1156" t="s">
        <v>3460</v>
      </c>
      <c r="O2" s="1156" t="s">
        <v>3519</v>
      </c>
      <c r="P2" s="1156">
        <v>5392</v>
      </c>
      <c r="Q2" s="1156">
        <v>5452</v>
      </c>
      <c r="R2" s="1156">
        <v>682</v>
      </c>
      <c r="S2" s="1156">
        <v>1.1100000000000001</v>
      </c>
      <c r="T2">
        <f>ROUND(Q2*10000/F2,0)</f>
        <v>681</v>
      </c>
    </row>
    <row r="3" spans="1:20">
      <c r="A3" s="1156" t="s">
        <v>3507</v>
      </c>
      <c r="B3" s="1156" t="s">
        <v>3457</v>
      </c>
      <c r="C3" s="1156" t="s">
        <v>3508</v>
      </c>
      <c r="D3" s="1156" t="s">
        <v>3509</v>
      </c>
      <c r="E3" s="1156" t="s">
        <v>3507</v>
      </c>
      <c r="F3" s="1156">
        <v>25901</v>
      </c>
      <c r="G3" s="1156">
        <v>25901</v>
      </c>
      <c r="H3" s="1156" t="s">
        <v>2478</v>
      </c>
      <c r="I3" s="1156" t="s">
        <v>2478</v>
      </c>
      <c r="J3" s="1156" t="s">
        <v>3506</v>
      </c>
      <c r="K3" s="1156" t="s">
        <v>3463</v>
      </c>
      <c r="L3" s="1156" t="s">
        <v>3459</v>
      </c>
      <c r="M3" s="1156" t="s">
        <v>3520</v>
      </c>
      <c r="N3" s="1156" t="s">
        <v>3460</v>
      </c>
      <c r="O3" s="1156" t="s">
        <v>3521</v>
      </c>
      <c r="P3" s="1156">
        <v>1767</v>
      </c>
      <c r="Q3" s="1156">
        <v>1867</v>
      </c>
      <c r="R3" s="1156">
        <v>721</v>
      </c>
      <c r="S3" s="1156">
        <v>5.66</v>
      </c>
      <c r="T3">
        <f t="shared" ref="T3:T46" si="0">ROUND(Q3*10000/F3,0)</f>
        <v>721</v>
      </c>
    </row>
    <row r="4" spans="1:20">
      <c r="A4" s="3158" t="s">
        <v>3510</v>
      </c>
      <c r="B4" s="3158" t="s">
        <v>3457</v>
      </c>
      <c r="C4" s="3158" t="s">
        <v>3503</v>
      </c>
      <c r="D4" s="3158" t="s">
        <v>3511</v>
      </c>
      <c r="E4" s="3158" t="s">
        <v>3510</v>
      </c>
      <c r="F4" s="3158">
        <v>17997.14</v>
      </c>
      <c r="G4" s="3158">
        <v>44992.85</v>
      </c>
      <c r="H4" s="3158" t="s">
        <v>2478</v>
      </c>
      <c r="I4" s="3158" t="s">
        <v>2478</v>
      </c>
      <c r="J4" s="3158" t="s">
        <v>3506</v>
      </c>
      <c r="K4" s="3158" t="s">
        <v>3512</v>
      </c>
      <c r="L4" s="3158" t="s">
        <v>3459</v>
      </c>
      <c r="M4" s="3158" t="s">
        <v>3522</v>
      </c>
      <c r="N4" s="3158" t="s">
        <v>3460</v>
      </c>
      <c r="O4" s="3158" t="s">
        <v>3523</v>
      </c>
      <c r="P4" s="3158">
        <v>1480</v>
      </c>
      <c r="Q4" s="3158">
        <v>1493</v>
      </c>
      <c r="R4" s="3158">
        <v>332</v>
      </c>
      <c r="S4" s="3158">
        <v>0.88</v>
      </c>
      <c r="T4">
        <f t="shared" si="0"/>
        <v>830</v>
      </c>
    </row>
    <row r="5" spans="1:20">
      <c r="A5" s="1156" t="s">
        <v>3513</v>
      </c>
      <c r="B5" s="1156" t="s">
        <v>3457</v>
      </c>
      <c r="C5" s="1156" t="s">
        <v>3503</v>
      </c>
      <c r="D5" s="1156" t="s">
        <v>3514</v>
      </c>
      <c r="E5" s="1156" t="s">
        <v>3513</v>
      </c>
      <c r="F5" s="1156">
        <v>117924.33</v>
      </c>
      <c r="G5" s="1156">
        <v>117924.33</v>
      </c>
      <c r="H5" s="1156" t="s">
        <v>2478</v>
      </c>
      <c r="I5" s="1156" t="s">
        <v>2478</v>
      </c>
      <c r="J5" s="1156" t="s">
        <v>3506</v>
      </c>
      <c r="K5" s="1156" t="s">
        <v>3463</v>
      </c>
      <c r="L5" s="1156" t="s">
        <v>3459</v>
      </c>
      <c r="M5" s="1156" t="s">
        <v>3524</v>
      </c>
      <c r="N5" s="1156" t="s">
        <v>3460</v>
      </c>
      <c r="O5" s="1156" t="s">
        <v>3525</v>
      </c>
      <c r="P5" s="1156">
        <v>8200</v>
      </c>
      <c r="Q5" s="1156">
        <v>8290</v>
      </c>
      <c r="R5" s="1156">
        <v>703</v>
      </c>
      <c r="S5" s="1156">
        <v>1.1000000000000001</v>
      </c>
      <c r="T5">
        <f t="shared" si="0"/>
        <v>703</v>
      </c>
    </row>
    <row r="6" spans="1:20">
      <c r="A6" s="3169" t="s">
        <v>3461</v>
      </c>
      <c r="B6" s="3169" t="s">
        <v>3457</v>
      </c>
      <c r="C6" s="3169" t="s">
        <v>3515</v>
      </c>
      <c r="D6" s="3169" t="s">
        <v>3462</v>
      </c>
      <c r="E6" s="3169" t="s">
        <v>3461</v>
      </c>
      <c r="F6" s="3169">
        <v>10686.89</v>
      </c>
      <c r="G6" s="3169">
        <v>10686.89</v>
      </c>
      <c r="H6" s="3169" t="s">
        <v>2478</v>
      </c>
      <c r="I6" s="3169" t="s">
        <v>2478</v>
      </c>
      <c r="J6" s="3169" t="s">
        <v>3506</v>
      </c>
      <c r="K6" s="3169" t="s">
        <v>3463</v>
      </c>
      <c r="L6" s="3169" t="s">
        <v>3459</v>
      </c>
      <c r="M6" s="3169" t="s">
        <v>3464</v>
      </c>
      <c r="N6" s="3169" t="s">
        <v>3460</v>
      </c>
      <c r="O6" s="3169" t="s">
        <v>3465</v>
      </c>
      <c r="P6" s="3169">
        <v>740</v>
      </c>
      <c r="Q6" s="3169">
        <v>748</v>
      </c>
      <c r="R6" s="3169">
        <v>700</v>
      </c>
      <c r="S6" s="3169">
        <v>1.08</v>
      </c>
      <c r="T6">
        <f t="shared" si="0"/>
        <v>700</v>
      </c>
    </row>
    <row r="7" spans="1:20">
      <c r="A7" s="1156" t="s">
        <v>3516</v>
      </c>
      <c r="B7" s="1156" t="s">
        <v>3457</v>
      </c>
      <c r="C7" s="1156" t="s">
        <v>3503</v>
      </c>
      <c r="D7" s="1156" t="s">
        <v>3517</v>
      </c>
      <c r="E7" s="1156" t="s">
        <v>3516</v>
      </c>
      <c r="F7" s="1156">
        <v>20912.61</v>
      </c>
      <c r="G7" s="1156">
        <v>20912.61</v>
      </c>
      <c r="H7" s="1156" t="s">
        <v>2478</v>
      </c>
      <c r="I7" s="1156" t="s">
        <v>2478</v>
      </c>
      <c r="J7" s="1156" t="s">
        <v>3506</v>
      </c>
      <c r="K7" s="1156" t="s">
        <v>3463</v>
      </c>
      <c r="L7" s="1156" t="s">
        <v>3459</v>
      </c>
      <c r="M7" s="1156" t="s">
        <v>3464</v>
      </c>
      <c r="N7" s="1156" t="s">
        <v>3460</v>
      </c>
      <c r="O7" s="1156" t="s">
        <v>3526</v>
      </c>
      <c r="P7" s="1156">
        <v>1448</v>
      </c>
      <c r="Q7" s="1156">
        <v>1463</v>
      </c>
      <c r="R7" s="1156">
        <v>700</v>
      </c>
      <c r="S7" s="1156">
        <v>1.04</v>
      </c>
      <c r="T7">
        <f t="shared" si="0"/>
        <v>700</v>
      </c>
    </row>
    <row r="8" spans="1:20">
      <c r="A8" s="1156" t="s">
        <v>3527</v>
      </c>
      <c r="B8" s="1156" t="s">
        <v>3457</v>
      </c>
      <c r="C8" s="1156" t="s">
        <v>3503</v>
      </c>
      <c r="D8" s="1156" t="s">
        <v>3528</v>
      </c>
      <c r="E8" s="1156" t="s">
        <v>3527</v>
      </c>
      <c r="F8" s="1156">
        <v>9986.9</v>
      </c>
      <c r="G8" s="1156">
        <v>24967.25</v>
      </c>
      <c r="H8" s="1156" t="s">
        <v>2478</v>
      </c>
      <c r="I8" s="1156" t="s">
        <v>2478</v>
      </c>
      <c r="J8" s="1156" t="s">
        <v>3506</v>
      </c>
      <c r="K8" s="1156" t="s">
        <v>3512</v>
      </c>
      <c r="L8" s="1156" t="s">
        <v>3459</v>
      </c>
      <c r="M8" s="1156" t="s">
        <v>3464</v>
      </c>
      <c r="N8" s="1156" t="s">
        <v>3460</v>
      </c>
      <c r="O8" s="1156" t="s">
        <v>3553</v>
      </c>
      <c r="P8" s="1156">
        <v>822</v>
      </c>
      <c r="Q8" s="1156">
        <v>829</v>
      </c>
      <c r="R8" s="1156">
        <v>332</v>
      </c>
      <c r="S8" s="1156">
        <v>0.85</v>
      </c>
      <c r="T8">
        <f t="shared" si="0"/>
        <v>830</v>
      </c>
    </row>
    <row r="9" spans="1:20">
      <c r="A9" s="1156" t="s">
        <v>3527</v>
      </c>
      <c r="B9" s="1156" t="s">
        <v>3457</v>
      </c>
      <c r="C9" s="1156" t="s">
        <v>3503</v>
      </c>
      <c r="D9" s="1156" t="s">
        <v>3529</v>
      </c>
      <c r="E9" s="1156" t="s">
        <v>3527</v>
      </c>
      <c r="F9" s="1156">
        <v>9997.17</v>
      </c>
      <c r="G9" s="1156">
        <v>24992.93</v>
      </c>
      <c r="H9" s="1156" t="s">
        <v>2478</v>
      </c>
      <c r="I9" s="1156" t="s">
        <v>2478</v>
      </c>
      <c r="J9" s="1156" t="s">
        <v>3506</v>
      </c>
      <c r="K9" s="1156" t="s">
        <v>3512</v>
      </c>
      <c r="L9" s="1156" t="s">
        <v>3459</v>
      </c>
      <c r="M9" s="1156" t="s">
        <v>3464</v>
      </c>
      <c r="N9" s="1156" t="s">
        <v>3460</v>
      </c>
      <c r="O9" s="1156" t="s">
        <v>3554</v>
      </c>
      <c r="P9" s="1156">
        <v>822</v>
      </c>
      <c r="Q9" s="1156">
        <v>829</v>
      </c>
      <c r="R9" s="1156">
        <v>332</v>
      </c>
      <c r="S9" s="1156">
        <v>0.85</v>
      </c>
      <c r="T9">
        <f t="shared" si="0"/>
        <v>829</v>
      </c>
    </row>
    <row r="10" spans="1:20">
      <c r="A10" s="1156" t="s">
        <v>3530</v>
      </c>
      <c r="B10" s="1156" t="s">
        <v>3457</v>
      </c>
      <c r="C10" s="1156" t="s">
        <v>3503</v>
      </c>
      <c r="D10" s="1156" t="s">
        <v>3531</v>
      </c>
      <c r="E10" s="1156" t="s">
        <v>3530</v>
      </c>
      <c r="F10" s="1156">
        <v>59609.120000000003</v>
      </c>
      <c r="G10" s="1156">
        <v>59609.120000000003</v>
      </c>
      <c r="H10" s="1156" t="s">
        <v>2478</v>
      </c>
      <c r="I10" s="1156" t="s">
        <v>2478</v>
      </c>
      <c r="J10" s="1156" t="s">
        <v>3506</v>
      </c>
      <c r="K10" s="1156" t="s">
        <v>3463</v>
      </c>
      <c r="L10" s="1156" t="s">
        <v>3459</v>
      </c>
      <c r="M10" s="1156" t="s">
        <v>3464</v>
      </c>
      <c r="N10" s="1156" t="s">
        <v>3460</v>
      </c>
      <c r="O10" s="1156" t="s">
        <v>3555</v>
      </c>
      <c r="P10" s="1156">
        <v>4116</v>
      </c>
      <c r="Q10" s="1156">
        <v>4161</v>
      </c>
      <c r="R10" s="1156">
        <v>698</v>
      </c>
      <c r="S10" s="1156">
        <v>1.0900000000000001</v>
      </c>
      <c r="T10">
        <f t="shared" si="0"/>
        <v>698</v>
      </c>
    </row>
    <row r="11" spans="1:20">
      <c r="A11" s="1156" t="s">
        <v>3532</v>
      </c>
      <c r="B11" s="1156" t="s">
        <v>3457</v>
      </c>
      <c r="C11" s="1156" t="s">
        <v>3503</v>
      </c>
      <c r="D11" s="1156" t="s">
        <v>3533</v>
      </c>
      <c r="E11" s="1156" t="s">
        <v>3532</v>
      </c>
      <c r="F11" s="1156">
        <v>33076.019999999997</v>
      </c>
      <c r="G11" s="1156">
        <v>33076.019999999997</v>
      </c>
      <c r="H11" s="1156" t="s">
        <v>2478</v>
      </c>
      <c r="I11" s="1156" t="s">
        <v>2478</v>
      </c>
      <c r="J11" s="1156" t="s">
        <v>3506</v>
      </c>
      <c r="K11" s="1156" t="s">
        <v>3463</v>
      </c>
      <c r="L11" s="1156" t="s">
        <v>3459</v>
      </c>
      <c r="M11" s="1156" t="s">
        <v>3464</v>
      </c>
      <c r="N11" s="1156" t="s">
        <v>3460</v>
      </c>
      <c r="O11" s="1156" t="s">
        <v>3556</v>
      </c>
      <c r="P11" s="1156">
        <v>2292</v>
      </c>
      <c r="Q11" s="1156">
        <v>2317</v>
      </c>
      <c r="R11" s="1156">
        <v>701</v>
      </c>
      <c r="S11" s="1156">
        <v>1.0900000000000001</v>
      </c>
      <c r="T11">
        <f t="shared" si="0"/>
        <v>701</v>
      </c>
    </row>
    <row r="12" spans="1:20">
      <c r="A12" s="3158" t="s">
        <v>3534</v>
      </c>
      <c r="B12" s="3158" t="s">
        <v>3457</v>
      </c>
      <c r="C12" s="3158" t="s">
        <v>3508</v>
      </c>
      <c r="D12" s="3158" t="s">
        <v>3535</v>
      </c>
      <c r="E12" s="3158" t="s">
        <v>3534</v>
      </c>
      <c r="F12" s="3158">
        <v>16000</v>
      </c>
      <c r="G12" s="3158">
        <v>40000</v>
      </c>
      <c r="H12" s="3158" t="s">
        <v>2478</v>
      </c>
      <c r="I12" s="3158" t="s">
        <v>2478</v>
      </c>
      <c r="J12" s="3158" t="s">
        <v>3506</v>
      </c>
      <c r="K12" s="3158" t="s">
        <v>3536</v>
      </c>
      <c r="L12" s="3158" t="s">
        <v>3459</v>
      </c>
      <c r="M12" s="3158" t="s">
        <v>3557</v>
      </c>
      <c r="N12" s="3158" t="s">
        <v>3460</v>
      </c>
      <c r="O12" s="3158" t="s">
        <v>3558</v>
      </c>
      <c r="P12" s="3158">
        <v>1072</v>
      </c>
      <c r="Q12" s="3158">
        <v>1092</v>
      </c>
      <c r="R12" s="3158">
        <v>273</v>
      </c>
      <c r="S12" s="3158">
        <v>1.87</v>
      </c>
      <c r="T12">
        <f t="shared" si="0"/>
        <v>683</v>
      </c>
    </row>
    <row r="13" spans="1:20">
      <c r="A13" s="1156" t="s">
        <v>3537</v>
      </c>
      <c r="B13" s="1156" t="s">
        <v>3457</v>
      </c>
      <c r="C13" s="1156" t="s">
        <v>3503</v>
      </c>
      <c r="D13" s="1156" t="s">
        <v>3538</v>
      </c>
      <c r="E13" s="1156" t="s">
        <v>3537</v>
      </c>
      <c r="F13" s="1156">
        <v>10617.08</v>
      </c>
      <c r="G13" s="1156">
        <v>10617.08</v>
      </c>
      <c r="H13" s="1156" t="s">
        <v>2478</v>
      </c>
      <c r="I13" s="1156" t="s">
        <v>2478</v>
      </c>
      <c r="J13" s="1156" t="s">
        <v>3506</v>
      </c>
      <c r="K13" s="1156" t="s">
        <v>3463</v>
      </c>
      <c r="L13" s="1156" t="s">
        <v>3459</v>
      </c>
      <c r="M13" s="1156" t="s">
        <v>3559</v>
      </c>
      <c r="N13" s="1156" t="s">
        <v>3460</v>
      </c>
      <c r="O13" s="1156" t="s">
        <v>3560</v>
      </c>
      <c r="P13" s="1156">
        <v>732</v>
      </c>
      <c r="Q13" s="1156">
        <v>740</v>
      </c>
      <c r="R13" s="1156">
        <v>697</v>
      </c>
      <c r="S13" s="1156">
        <v>1.0900000000000001</v>
      </c>
      <c r="T13">
        <f t="shared" si="0"/>
        <v>697</v>
      </c>
    </row>
    <row r="14" spans="1:20">
      <c r="A14" s="1156" t="s">
        <v>3539</v>
      </c>
      <c r="B14" s="1156" t="s">
        <v>3457</v>
      </c>
      <c r="C14" s="1156" t="s">
        <v>3503</v>
      </c>
      <c r="D14" s="1156" t="s">
        <v>3540</v>
      </c>
      <c r="E14" s="1156" t="s">
        <v>3539</v>
      </c>
      <c r="F14" s="1156">
        <v>7082.99</v>
      </c>
      <c r="G14" s="1156">
        <v>17707.48</v>
      </c>
      <c r="H14" s="1156" t="s">
        <v>2478</v>
      </c>
      <c r="I14" s="1156" t="s">
        <v>2478</v>
      </c>
      <c r="J14" s="1156" t="s">
        <v>3506</v>
      </c>
      <c r="K14" s="1156" t="s">
        <v>3458</v>
      </c>
      <c r="L14" s="1156" t="s">
        <v>3459</v>
      </c>
      <c r="M14" s="1156" t="s">
        <v>3559</v>
      </c>
      <c r="N14" s="1156" t="s">
        <v>3460</v>
      </c>
      <c r="O14" s="1156" t="s">
        <v>3561</v>
      </c>
      <c r="P14" s="1156">
        <v>584</v>
      </c>
      <c r="Q14" s="1156">
        <v>589</v>
      </c>
      <c r="R14" s="1156">
        <v>333</v>
      </c>
      <c r="S14" s="1156">
        <v>0.86</v>
      </c>
      <c r="T14">
        <f t="shared" si="0"/>
        <v>832</v>
      </c>
    </row>
    <row r="15" spans="1:20">
      <c r="A15" s="1156" t="s">
        <v>3539</v>
      </c>
      <c r="B15" s="1156" t="s">
        <v>3457</v>
      </c>
      <c r="C15" s="1156" t="s">
        <v>3503</v>
      </c>
      <c r="D15" s="1156" t="s">
        <v>3541</v>
      </c>
      <c r="E15" s="1156" t="s">
        <v>3539</v>
      </c>
      <c r="F15" s="1156">
        <v>12829.22</v>
      </c>
      <c r="G15" s="1156">
        <v>32073.05</v>
      </c>
      <c r="H15" s="1156" t="s">
        <v>2478</v>
      </c>
      <c r="I15" s="1156" t="s">
        <v>2478</v>
      </c>
      <c r="J15" s="1156" t="s">
        <v>3506</v>
      </c>
      <c r="K15" s="1156" t="s">
        <v>3458</v>
      </c>
      <c r="L15" s="1156" t="s">
        <v>3459</v>
      </c>
      <c r="M15" s="1156" t="s">
        <v>3559</v>
      </c>
      <c r="N15" s="1156" t="s">
        <v>3460</v>
      </c>
      <c r="O15" s="1156" t="s">
        <v>3562</v>
      </c>
      <c r="P15" s="1156">
        <v>1056</v>
      </c>
      <c r="Q15" s="1156">
        <v>1065</v>
      </c>
      <c r="R15" s="1156">
        <v>332</v>
      </c>
      <c r="S15" s="1156">
        <v>0.85</v>
      </c>
      <c r="T15">
        <f t="shared" si="0"/>
        <v>830</v>
      </c>
    </row>
    <row r="16" spans="1:20">
      <c r="A16" s="1156" t="s">
        <v>3542</v>
      </c>
      <c r="B16" s="1156" t="s">
        <v>3457</v>
      </c>
      <c r="C16" s="1156" t="s">
        <v>3503</v>
      </c>
      <c r="D16" s="1156" t="s">
        <v>3543</v>
      </c>
      <c r="E16" s="1156" t="s">
        <v>3542</v>
      </c>
      <c r="F16" s="1156">
        <v>30223.71</v>
      </c>
      <c r="G16" s="1156">
        <v>30223.71</v>
      </c>
      <c r="H16" s="1156" t="s">
        <v>2478</v>
      </c>
      <c r="I16" s="1156" t="s">
        <v>2478</v>
      </c>
      <c r="J16" s="1156" t="s">
        <v>3506</v>
      </c>
      <c r="K16" s="1156" t="s">
        <v>3463</v>
      </c>
      <c r="L16" s="1156" t="s">
        <v>3459</v>
      </c>
      <c r="M16" s="1156" t="s">
        <v>3563</v>
      </c>
      <c r="N16" s="1156" t="s">
        <v>3460</v>
      </c>
      <c r="O16" s="1156" t="s">
        <v>3564</v>
      </c>
      <c r="P16" s="1156">
        <v>2085</v>
      </c>
      <c r="Q16" s="1156">
        <v>2105</v>
      </c>
      <c r="R16" s="1156">
        <v>696</v>
      </c>
      <c r="S16" s="1156">
        <v>0.96</v>
      </c>
      <c r="T16">
        <f t="shared" si="0"/>
        <v>696</v>
      </c>
    </row>
    <row r="17" spans="1:20">
      <c r="A17" s="1156" t="s">
        <v>3544</v>
      </c>
      <c r="B17" s="1156" t="s">
        <v>3457</v>
      </c>
      <c r="C17" s="1156" t="s">
        <v>3503</v>
      </c>
      <c r="D17" s="1156" t="s">
        <v>3545</v>
      </c>
      <c r="E17" s="1156" t="s">
        <v>3544</v>
      </c>
      <c r="F17" s="1156">
        <v>3203.51</v>
      </c>
      <c r="G17" s="1156">
        <v>3203.51</v>
      </c>
      <c r="H17" s="1156" t="s">
        <v>2478</v>
      </c>
      <c r="I17" s="1156" t="s">
        <v>2478</v>
      </c>
      <c r="J17" s="1156" t="s">
        <v>3506</v>
      </c>
      <c r="K17" s="1156" t="s">
        <v>3463</v>
      </c>
      <c r="L17" s="1156" t="s">
        <v>3459</v>
      </c>
      <c r="M17" s="1156" t="s">
        <v>3563</v>
      </c>
      <c r="N17" s="1156" t="s">
        <v>3460</v>
      </c>
      <c r="O17" s="1156" t="s">
        <v>3565</v>
      </c>
      <c r="P17" s="1156">
        <v>221</v>
      </c>
      <c r="Q17" s="1156">
        <v>223</v>
      </c>
      <c r="R17" s="1156">
        <v>696</v>
      </c>
      <c r="S17" s="1156">
        <v>0.9</v>
      </c>
      <c r="T17">
        <f t="shared" si="0"/>
        <v>696</v>
      </c>
    </row>
    <row r="18" spans="1:20">
      <c r="A18" s="1156" t="s">
        <v>3546</v>
      </c>
      <c r="B18" s="1156" t="s">
        <v>3457</v>
      </c>
      <c r="C18" s="1156" t="s">
        <v>3503</v>
      </c>
      <c r="D18" s="1156" t="s">
        <v>3547</v>
      </c>
      <c r="E18" s="1156" t="s">
        <v>3546</v>
      </c>
      <c r="F18" s="1156">
        <v>34084.19</v>
      </c>
      <c r="G18" s="1156">
        <v>34084.19</v>
      </c>
      <c r="H18" s="1156" t="s">
        <v>2478</v>
      </c>
      <c r="I18" s="1156" t="s">
        <v>2478</v>
      </c>
      <c r="J18" s="1156" t="s">
        <v>3506</v>
      </c>
      <c r="K18" s="1156" t="s">
        <v>3463</v>
      </c>
      <c r="L18" s="1156" t="s">
        <v>3459</v>
      </c>
      <c r="M18" s="1156" t="s">
        <v>3566</v>
      </c>
      <c r="N18" s="1156" t="s">
        <v>3460</v>
      </c>
      <c r="O18" s="1156" t="s">
        <v>3567</v>
      </c>
      <c r="P18" s="1156">
        <v>2320</v>
      </c>
      <c r="Q18" s="1156">
        <v>2360</v>
      </c>
      <c r="R18" s="1156">
        <v>692</v>
      </c>
      <c r="S18" s="1156">
        <v>1.72</v>
      </c>
      <c r="T18">
        <f t="shared" si="0"/>
        <v>692</v>
      </c>
    </row>
    <row r="19" spans="1:20">
      <c r="A19" s="1156" t="s">
        <v>3548</v>
      </c>
      <c r="B19" s="1156" t="s">
        <v>3457</v>
      </c>
      <c r="C19" s="1156" t="s">
        <v>3503</v>
      </c>
      <c r="D19" s="1156" t="s">
        <v>3549</v>
      </c>
      <c r="E19" s="1156" t="s">
        <v>3548</v>
      </c>
      <c r="F19" s="1156">
        <v>15100.19</v>
      </c>
      <c r="G19" s="1156">
        <v>22650.29</v>
      </c>
      <c r="H19" s="1156" t="s">
        <v>2478</v>
      </c>
      <c r="I19" s="1156" t="s">
        <v>2478</v>
      </c>
      <c r="J19" s="1156" t="s">
        <v>3506</v>
      </c>
      <c r="K19" s="1156" t="s">
        <v>3550</v>
      </c>
      <c r="L19" s="1156" t="s">
        <v>3459</v>
      </c>
      <c r="M19" s="1156" t="s">
        <v>3568</v>
      </c>
      <c r="N19" s="1156" t="s">
        <v>3460</v>
      </c>
      <c r="O19" s="1156" t="s">
        <v>3569</v>
      </c>
      <c r="P19" s="1156">
        <v>1250</v>
      </c>
      <c r="Q19" s="1156">
        <v>1260</v>
      </c>
      <c r="R19" s="1156">
        <v>556</v>
      </c>
      <c r="S19" s="1156">
        <v>0.8</v>
      </c>
      <c r="T19">
        <f t="shared" si="0"/>
        <v>834</v>
      </c>
    </row>
    <row r="20" spans="1:20">
      <c r="A20" s="1156" t="s">
        <v>3551</v>
      </c>
      <c r="B20" s="1156" t="s">
        <v>3457</v>
      </c>
      <c r="C20" s="1156" t="s">
        <v>3503</v>
      </c>
      <c r="D20" s="1156" t="s">
        <v>3552</v>
      </c>
      <c r="E20" s="1156" t="s">
        <v>3551</v>
      </c>
      <c r="F20" s="1156">
        <v>33127.75</v>
      </c>
      <c r="G20" s="1156">
        <v>33127.75</v>
      </c>
      <c r="H20" s="1156" t="s">
        <v>2478</v>
      </c>
      <c r="I20" s="1156" t="s">
        <v>2478</v>
      </c>
      <c r="J20" s="1156" t="s">
        <v>3506</v>
      </c>
      <c r="K20" s="1156" t="s">
        <v>3463</v>
      </c>
      <c r="L20" s="1156" t="s">
        <v>3459</v>
      </c>
      <c r="M20" s="1156" t="s">
        <v>3568</v>
      </c>
      <c r="N20" s="1156" t="s">
        <v>3460</v>
      </c>
      <c r="O20" s="1156" t="s">
        <v>3570</v>
      </c>
      <c r="P20" s="1156">
        <v>2700</v>
      </c>
      <c r="Q20" s="1156">
        <v>2720</v>
      </c>
      <c r="R20" s="1156">
        <v>821</v>
      </c>
      <c r="S20" s="1156">
        <v>0.74</v>
      </c>
      <c r="T20">
        <f t="shared" si="0"/>
        <v>821</v>
      </c>
    </row>
    <row r="21" spans="1:20">
      <c r="A21" s="3158" t="s">
        <v>3571</v>
      </c>
      <c r="B21" s="3158" t="s">
        <v>3457</v>
      </c>
      <c r="C21" s="3158" t="s">
        <v>3508</v>
      </c>
      <c r="D21" s="3158" t="s">
        <v>3572</v>
      </c>
      <c r="E21" s="3158" t="s">
        <v>3571</v>
      </c>
      <c r="F21" s="3158">
        <v>13395.22</v>
      </c>
      <c r="G21" s="3158">
        <v>33488.050000000003</v>
      </c>
      <c r="H21" s="3158" t="s">
        <v>2478</v>
      </c>
      <c r="I21" s="3158" t="s">
        <v>2478</v>
      </c>
      <c r="J21" s="3158" t="s">
        <v>3506</v>
      </c>
      <c r="K21" s="3158" t="s">
        <v>3536</v>
      </c>
      <c r="L21" s="3158" t="s">
        <v>3459</v>
      </c>
      <c r="M21" s="3158" t="s">
        <v>3621</v>
      </c>
      <c r="N21" s="3158" t="s">
        <v>3460</v>
      </c>
      <c r="O21" s="3158" t="s">
        <v>3622</v>
      </c>
      <c r="P21" s="3158">
        <v>898</v>
      </c>
      <c r="Q21" s="3158">
        <v>908</v>
      </c>
      <c r="R21" s="3158">
        <v>271</v>
      </c>
      <c r="S21" s="3158">
        <v>1.1100000000000001</v>
      </c>
      <c r="T21">
        <f t="shared" si="0"/>
        <v>678</v>
      </c>
    </row>
    <row r="22" spans="1:20">
      <c r="A22" s="3169" t="s">
        <v>3466</v>
      </c>
      <c r="B22" s="3169" t="s">
        <v>3457</v>
      </c>
      <c r="C22" s="3169" t="s">
        <v>3515</v>
      </c>
      <c r="D22" s="3169" t="s">
        <v>3467</v>
      </c>
      <c r="E22" s="3169" t="s">
        <v>3466</v>
      </c>
      <c r="F22" s="3169">
        <v>29986.53</v>
      </c>
      <c r="G22" s="3169">
        <v>29986.53</v>
      </c>
      <c r="H22" s="3169" t="s">
        <v>2478</v>
      </c>
      <c r="I22" s="3169" t="s">
        <v>2478</v>
      </c>
      <c r="J22" s="3169" t="s">
        <v>3506</v>
      </c>
      <c r="K22" s="3169" t="s">
        <v>3463</v>
      </c>
      <c r="L22" s="3169" t="s">
        <v>3459</v>
      </c>
      <c r="M22" s="3169" t="s">
        <v>3621</v>
      </c>
      <c r="N22" s="3169" t="s">
        <v>3460</v>
      </c>
      <c r="O22" s="3169" t="s">
        <v>3623</v>
      </c>
      <c r="P22" s="3169">
        <v>2060</v>
      </c>
      <c r="Q22" s="3169">
        <v>2080</v>
      </c>
      <c r="R22" s="3169">
        <v>694</v>
      </c>
      <c r="S22" s="3169">
        <v>0.97</v>
      </c>
      <c r="T22">
        <f t="shared" si="0"/>
        <v>694</v>
      </c>
    </row>
    <row r="23" spans="1:20">
      <c r="A23" s="1156" t="s">
        <v>3573</v>
      </c>
      <c r="B23" s="1156" t="s">
        <v>3457</v>
      </c>
      <c r="C23" s="1156" t="s">
        <v>3508</v>
      </c>
      <c r="D23" s="1156" t="s">
        <v>3574</v>
      </c>
      <c r="E23" s="1156" t="s">
        <v>3573</v>
      </c>
      <c r="F23" s="1156">
        <v>44124.51</v>
      </c>
      <c r="G23" s="1156">
        <v>44124.51</v>
      </c>
      <c r="H23" s="1156" t="s">
        <v>2478</v>
      </c>
      <c r="I23" s="1156" t="s">
        <v>2478</v>
      </c>
      <c r="J23" s="1156" t="s">
        <v>3506</v>
      </c>
      <c r="K23" s="1156" t="s">
        <v>3470</v>
      </c>
      <c r="L23" s="1156" t="s">
        <v>3459</v>
      </c>
      <c r="M23" s="1156" t="s">
        <v>3624</v>
      </c>
      <c r="N23" s="1156" t="s">
        <v>3460</v>
      </c>
      <c r="O23" s="1156" t="s">
        <v>3625</v>
      </c>
      <c r="P23" s="1156">
        <v>5070</v>
      </c>
      <c r="Q23" s="1156">
        <v>5100</v>
      </c>
      <c r="R23" s="1156">
        <v>1156</v>
      </c>
      <c r="S23" s="1156">
        <v>0.59</v>
      </c>
      <c r="T23">
        <f t="shared" si="0"/>
        <v>1156</v>
      </c>
    </row>
    <row r="24" spans="1:20">
      <c r="A24" s="1156" t="s">
        <v>3575</v>
      </c>
      <c r="B24" s="1156" t="s">
        <v>3457</v>
      </c>
      <c r="C24" s="1156" t="s">
        <v>3508</v>
      </c>
      <c r="D24" s="1156" t="s">
        <v>3576</v>
      </c>
      <c r="E24" s="1156" t="s">
        <v>3575</v>
      </c>
      <c r="F24" s="1156">
        <v>39848.31</v>
      </c>
      <c r="G24" s="1156">
        <v>39848.31</v>
      </c>
      <c r="H24" s="1156" t="s">
        <v>2478</v>
      </c>
      <c r="I24" s="1156" t="s">
        <v>2478</v>
      </c>
      <c r="J24" s="1156" t="s">
        <v>3506</v>
      </c>
      <c r="K24" s="1156" t="s">
        <v>3470</v>
      </c>
      <c r="L24" s="1156" t="s">
        <v>3459</v>
      </c>
      <c r="M24" s="1156" t="s">
        <v>3624</v>
      </c>
      <c r="N24" s="1156" t="s">
        <v>3460</v>
      </c>
      <c r="O24" s="1156" t="s">
        <v>3625</v>
      </c>
      <c r="P24" s="1156">
        <v>4560</v>
      </c>
      <c r="Q24" s="1156">
        <v>4590</v>
      </c>
      <c r="R24" s="1156">
        <v>1152</v>
      </c>
      <c r="S24" s="1156">
        <v>0.66</v>
      </c>
      <c r="T24">
        <f t="shared" si="0"/>
        <v>1152</v>
      </c>
    </row>
    <row r="25" spans="1:20">
      <c r="A25" s="1156" t="s">
        <v>3577</v>
      </c>
      <c r="B25" s="1156" t="s">
        <v>3457</v>
      </c>
      <c r="C25" s="1156" t="s">
        <v>3508</v>
      </c>
      <c r="D25" s="1156" t="s">
        <v>3578</v>
      </c>
      <c r="E25" s="1156" t="s">
        <v>3577</v>
      </c>
      <c r="F25" s="1156">
        <v>180868.67</v>
      </c>
      <c r="G25" s="1156">
        <v>180868.67</v>
      </c>
      <c r="H25" s="1156" t="s">
        <v>2478</v>
      </c>
      <c r="I25" s="1156" t="s">
        <v>2478</v>
      </c>
      <c r="J25" s="1156" t="s">
        <v>3506</v>
      </c>
      <c r="K25" s="1156" t="s">
        <v>3470</v>
      </c>
      <c r="L25" s="1156" t="s">
        <v>3459</v>
      </c>
      <c r="M25" s="1156" t="s">
        <v>3626</v>
      </c>
      <c r="N25" s="1156" t="s">
        <v>3460</v>
      </c>
      <c r="O25" s="1156" t="s">
        <v>3627</v>
      </c>
      <c r="P25" s="1156">
        <v>11869</v>
      </c>
      <c r="Q25" s="1156">
        <v>11969</v>
      </c>
      <c r="R25" s="1156">
        <v>662</v>
      </c>
      <c r="S25" s="1156">
        <v>0.84</v>
      </c>
      <c r="T25">
        <f t="shared" si="0"/>
        <v>662</v>
      </c>
    </row>
    <row r="26" spans="1:20">
      <c r="A26" s="1156" t="s">
        <v>3579</v>
      </c>
      <c r="B26" s="1156" t="s">
        <v>3457</v>
      </c>
      <c r="C26" s="1156" t="s">
        <v>3508</v>
      </c>
      <c r="D26" s="1156" t="s">
        <v>3580</v>
      </c>
      <c r="E26" s="1156" t="s">
        <v>3579</v>
      </c>
      <c r="F26" s="1156">
        <v>49290.11</v>
      </c>
      <c r="G26" s="1156">
        <v>49290.11</v>
      </c>
      <c r="H26" s="1156" t="s">
        <v>2478</v>
      </c>
      <c r="I26" s="1156" t="s">
        <v>2478</v>
      </c>
      <c r="J26" s="1156" t="s">
        <v>3506</v>
      </c>
      <c r="K26" s="1156" t="s">
        <v>3470</v>
      </c>
      <c r="L26" s="1156" t="s">
        <v>3459</v>
      </c>
      <c r="M26" s="1156" t="s">
        <v>3628</v>
      </c>
      <c r="N26" s="1156" t="s">
        <v>3460</v>
      </c>
      <c r="O26" s="1156" t="s">
        <v>3629</v>
      </c>
      <c r="P26" s="1156">
        <v>5670</v>
      </c>
      <c r="Q26" s="1156">
        <v>5720</v>
      </c>
      <c r="R26" s="1156">
        <v>1160</v>
      </c>
      <c r="S26" s="1156">
        <v>0.88</v>
      </c>
      <c r="T26">
        <f t="shared" si="0"/>
        <v>1160</v>
      </c>
    </row>
    <row r="27" spans="1:20">
      <c r="A27" s="3169" t="s">
        <v>3468</v>
      </c>
      <c r="B27" s="3169" t="s">
        <v>3457</v>
      </c>
      <c r="C27" s="3169" t="s">
        <v>3515</v>
      </c>
      <c r="D27" s="3169" t="s">
        <v>3469</v>
      </c>
      <c r="E27" s="3169" t="s">
        <v>3468</v>
      </c>
      <c r="F27" s="3169">
        <v>22790.15</v>
      </c>
      <c r="G27" s="3169">
        <v>22790.15</v>
      </c>
      <c r="H27" s="3169" t="s">
        <v>2478</v>
      </c>
      <c r="I27" s="3169" t="s">
        <v>2478</v>
      </c>
      <c r="J27" s="3169" t="s">
        <v>3506</v>
      </c>
      <c r="K27" s="3169" t="s">
        <v>3470</v>
      </c>
      <c r="L27" s="3169" t="s">
        <v>3459</v>
      </c>
      <c r="M27" s="3169" t="s">
        <v>3628</v>
      </c>
      <c r="N27" s="3169" t="s">
        <v>3460</v>
      </c>
      <c r="O27" s="3169" t="s">
        <v>3630</v>
      </c>
      <c r="P27" s="3169">
        <v>1570</v>
      </c>
      <c r="Q27" s="3169">
        <v>1585</v>
      </c>
      <c r="R27" s="3169">
        <v>695</v>
      </c>
      <c r="S27" s="3169">
        <v>0.96</v>
      </c>
      <c r="T27">
        <f t="shared" si="0"/>
        <v>695</v>
      </c>
    </row>
    <row r="28" spans="1:20">
      <c r="A28" s="1156" t="s">
        <v>3581</v>
      </c>
      <c r="B28" s="1156" t="s">
        <v>3457</v>
      </c>
      <c r="C28" s="1156" t="s">
        <v>3503</v>
      </c>
      <c r="D28" s="1156" t="s">
        <v>3582</v>
      </c>
      <c r="E28" s="1156" t="s">
        <v>3581</v>
      </c>
      <c r="F28" s="1156">
        <v>21515.77</v>
      </c>
      <c r="G28" s="1156">
        <v>53789.43</v>
      </c>
      <c r="H28" s="1156" t="s">
        <v>2478</v>
      </c>
      <c r="I28" s="1156" t="s">
        <v>2478</v>
      </c>
      <c r="J28" s="1156" t="s">
        <v>3506</v>
      </c>
      <c r="K28" s="1156" t="s">
        <v>3472</v>
      </c>
      <c r="L28" s="1156" t="s">
        <v>3459</v>
      </c>
      <c r="M28" s="1156" t="s">
        <v>3628</v>
      </c>
      <c r="N28" s="1156" t="s">
        <v>3460</v>
      </c>
      <c r="O28" s="1156" t="s">
        <v>3631</v>
      </c>
      <c r="P28" s="1156">
        <v>1790</v>
      </c>
      <c r="Q28" s="1156">
        <v>1820</v>
      </c>
      <c r="R28" s="1156">
        <v>338</v>
      </c>
      <c r="S28" s="1156">
        <v>1.68</v>
      </c>
      <c r="T28">
        <f t="shared" si="0"/>
        <v>846</v>
      </c>
    </row>
    <row r="29" spans="1:20">
      <c r="A29" s="1156" t="s">
        <v>3583</v>
      </c>
      <c r="B29" s="1156" t="s">
        <v>3457</v>
      </c>
      <c r="C29" s="1156" t="s">
        <v>3503</v>
      </c>
      <c r="D29" s="1156" t="s">
        <v>3584</v>
      </c>
      <c r="E29" s="1156" t="s">
        <v>3583</v>
      </c>
      <c r="F29" s="1156">
        <v>65935.7</v>
      </c>
      <c r="G29" s="1156">
        <v>65935.7</v>
      </c>
      <c r="H29" s="1156" t="s">
        <v>2478</v>
      </c>
      <c r="I29" s="1156" t="s">
        <v>2478</v>
      </c>
      <c r="J29" s="1156" t="s">
        <v>3506</v>
      </c>
      <c r="K29" s="1156" t="s">
        <v>3470</v>
      </c>
      <c r="L29" s="1156" t="s">
        <v>3459</v>
      </c>
      <c r="M29" s="1156" t="s">
        <v>3632</v>
      </c>
      <c r="N29" s="1156" t="s">
        <v>3460</v>
      </c>
      <c r="O29" s="1156" t="s">
        <v>3633</v>
      </c>
      <c r="P29" s="1156">
        <v>7560</v>
      </c>
      <c r="Q29" s="1156">
        <v>7610</v>
      </c>
      <c r="R29" s="1156">
        <v>1154</v>
      </c>
      <c r="S29" s="1156">
        <v>0.66</v>
      </c>
      <c r="T29">
        <f t="shared" si="0"/>
        <v>1154</v>
      </c>
    </row>
    <row r="30" spans="1:20">
      <c r="A30" s="1156" t="s">
        <v>3585</v>
      </c>
      <c r="B30" s="1156" t="s">
        <v>3457</v>
      </c>
      <c r="C30" s="1156" t="s">
        <v>3503</v>
      </c>
      <c r="D30" s="1156" t="s">
        <v>3586</v>
      </c>
      <c r="E30" s="1156" t="s">
        <v>3585</v>
      </c>
      <c r="F30" s="1156">
        <v>25766.59</v>
      </c>
      <c r="G30" s="1156">
        <v>25766.59</v>
      </c>
      <c r="H30" s="1156" t="s">
        <v>2478</v>
      </c>
      <c r="I30" s="1156" t="s">
        <v>2478</v>
      </c>
      <c r="J30" s="1156" t="s">
        <v>3506</v>
      </c>
      <c r="K30" s="1156" t="s">
        <v>3470</v>
      </c>
      <c r="L30" s="1156" t="s">
        <v>3459</v>
      </c>
      <c r="M30" s="1156" t="s">
        <v>3634</v>
      </c>
      <c r="N30" s="1156" t="s">
        <v>3460</v>
      </c>
      <c r="O30" s="1156" t="s">
        <v>3635</v>
      </c>
      <c r="P30" s="1156">
        <v>1720</v>
      </c>
      <c r="Q30" s="1156">
        <v>2220</v>
      </c>
      <c r="R30" s="1156">
        <v>862</v>
      </c>
      <c r="S30" s="1156">
        <v>29.07</v>
      </c>
      <c r="T30">
        <f t="shared" si="0"/>
        <v>862</v>
      </c>
    </row>
    <row r="31" spans="1:20">
      <c r="A31" s="1156" t="s">
        <v>3587</v>
      </c>
      <c r="B31" s="1156" t="s">
        <v>3457</v>
      </c>
      <c r="C31" s="1156" t="s">
        <v>3503</v>
      </c>
      <c r="D31" s="1156" t="s">
        <v>3588</v>
      </c>
      <c r="E31" s="1156" t="s">
        <v>3587</v>
      </c>
      <c r="F31" s="1156">
        <v>26666.59</v>
      </c>
      <c r="G31" s="1156">
        <v>31999.91</v>
      </c>
      <c r="H31" s="1156" t="s">
        <v>2478</v>
      </c>
      <c r="I31" s="1156" t="s">
        <v>2478</v>
      </c>
      <c r="J31" s="1156" t="s">
        <v>3506</v>
      </c>
      <c r="K31" s="1156" t="s">
        <v>3471</v>
      </c>
      <c r="L31" s="1156" t="s">
        <v>3459</v>
      </c>
      <c r="M31" s="1156" t="s">
        <v>3634</v>
      </c>
      <c r="N31" s="1156" t="s">
        <v>3460</v>
      </c>
      <c r="O31" s="1156" t="s">
        <v>3556</v>
      </c>
      <c r="P31" s="1156">
        <v>1676</v>
      </c>
      <c r="Q31" s="1156">
        <v>1856</v>
      </c>
      <c r="R31" s="1156">
        <v>580</v>
      </c>
      <c r="S31" s="1156">
        <v>10.74</v>
      </c>
      <c r="T31">
        <f t="shared" si="0"/>
        <v>696</v>
      </c>
    </row>
    <row r="32" spans="1:20">
      <c r="A32" s="1156" t="s">
        <v>3589</v>
      </c>
      <c r="B32" s="1156" t="s">
        <v>3457</v>
      </c>
      <c r="C32" s="1156" t="s">
        <v>3508</v>
      </c>
      <c r="D32" s="1156" t="s">
        <v>3590</v>
      </c>
      <c r="E32" s="1156" t="s">
        <v>3589</v>
      </c>
      <c r="F32" s="1156">
        <v>149656.87</v>
      </c>
      <c r="G32" s="1156">
        <v>374142.18</v>
      </c>
      <c r="H32" s="1156" t="s">
        <v>2478</v>
      </c>
      <c r="I32" s="1156" t="s">
        <v>2478</v>
      </c>
      <c r="J32" s="1156" t="s">
        <v>3506</v>
      </c>
      <c r="K32" s="1156" t="s">
        <v>3591</v>
      </c>
      <c r="L32" s="1156" t="s">
        <v>3459</v>
      </c>
      <c r="M32" s="1156" t="s">
        <v>3636</v>
      </c>
      <c r="N32" s="1156" t="s">
        <v>3460</v>
      </c>
      <c r="O32" s="1156" t="s">
        <v>3637</v>
      </c>
      <c r="P32" s="1156">
        <v>11225</v>
      </c>
      <c r="Q32" s="1156">
        <v>11525</v>
      </c>
      <c r="R32" s="1156">
        <v>308</v>
      </c>
      <c r="S32" s="1156">
        <v>2.67</v>
      </c>
      <c r="T32">
        <f t="shared" si="0"/>
        <v>770</v>
      </c>
    </row>
    <row r="33" spans="1:20">
      <c r="A33" s="1156" t="s">
        <v>3592</v>
      </c>
      <c r="B33" s="1156" t="s">
        <v>3457</v>
      </c>
      <c r="C33" s="1156" t="s">
        <v>3503</v>
      </c>
      <c r="D33" s="1156" t="s">
        <v>3593</v>
      </c>
      <c r="E33" s="1156" t="s">
        <v>3592</v>
      </c>
      <c r="F33" s="1156">
        <v>40570.83</v>
      </c>
      <c r="G33" s="1156">
        <v>60856.25</v>
      </c>
      <c r="H33" s="1156" t="s">
        <v>2478</v>
      </c>
      <c r="I33" s="1156" t="s">
        <v>2478</v>
      </c>
      <c r="J33" s="1156" t="s">
        <v>3506</v>
      </c>
      <c r="K33" s="1156" t="s">
        <v>3594</v>
      </c>
      <c r="L33" s="1156" t="s">
        <v>3459</v>
      </c>
      <c r="M33" s="1156" t="s">
        <v>3638</v>
      </c>
      <c r="N33" s="1156" t="s">
        <v>3460</v>
      </c>
      <c r="O33" s="1156" t="s">
        <v>3639</v>
      </c>
      <c r="P33" s="1156">
        <v>4670</v>
      </c>
      <c r="Q33" s="1156">
        <v>4700</v>
      </c>
      <c r="R33" s="1156">
        <v>772</v>
      </c>
      <c r="S33" s="1156">
        <v>0.64</v>
      </c>
      <c r="T33">
        <f t="shared" si="0"/>
        <v>1158</v>
      </c>
    </row>
    <row r="34" spans="1:20">
      <c r="A34" s="1156" t="s">
        <v>3595</v>
      </c>
      <c r="B34" s="1156" t="s">
        <v>3457</v>
      </c>
      <c r="C34" s="1156" t="s">
        <v>3503</v>
      </c>
      <c r="D34" s="1156" t="s">
        <v>3596</v>
      </c>
      <c r="E34" s="1156" t="s">
        <v>3595</v>
      </c>
      <c r="F34" s="1156">
        <v>81620.67</v>
      </c>
      <c r="G34" s="1156">
        <v>81620.67</v>
      </c>
      <c r="H34" s="1156" t="s">
        <v>2478</v>
      </c>
      <c r="I34" s="1156" t="s">
        <v>2478</v>
      </c>
      <c r="J34" s="1156" t="s">
        <v>3506</v>
      </c>
      <c r="K34" s="1156" t="s">
        <v>3470</v>
      </c>
      <c r="L34" s="1156" t="s">
        <v>3459</v>
      </c>
      <c r="M34" s="1156" t="s">
        <v>3638</v>
      </c>
      <c r="N34" s="1156" t="s">
        <v>3460</v>
      </c>
      <c r="O34" s="1156" t="s">
        <v>3640</v>
      </c>
      <c r="P34" s="1156">
        <v>9400</v>
      </c>
      <c r="Q34" s="1156">
        <v>9460</v>
      </c>
      <c r="R34" s="1156">
        <v>1159</v>
      </c>
      <c r="S34" s="1156">
        <v>0.64</v>
      </c>
      <c r="T34">
        <f t="shared" si="0"/>
        <v>1159</v>
      </c>
    </row>
    <row r="35" spans="1:20">
      <c r="A35" s="1156" t="s">
        <v>3597</v>
      </c>
      <c r="B35" s="1156" t="s">
        <v>3457</v>
      </c>
      <c r="C35" s="1156" t="s">
        <v>3503</v>
      </c>
      <c r="D35" s="1156" t="s">
        <v>3598</v>
      </c>
      <c r="E35" s="1156" t="s">
        <v>3597</v>
      </c>
      <c r="F35" s="1156">
        <v>34183.440000000002</v>
      </c>
      <c r="G35" s="1156">
        <v>34183.440000000002</v>
      </c>
      <c r="H35" s="1156" t="s">
        <v>2478</v>
      </c>
      <c r="I35" s="1156" t="s">
        <v>2478</v>
      </c>
      <c r="J35" s="1156" t="s">
        <v>3506</v>
      </c>
      <c r="K35" s="1156" t="s">
        <v>3470</v>
      </c>
      <c r="L35" s="1156" t="s">
        <v>3459</v>
      </c>
      <c r="M35" s="1156" t="s">
        <v>3638</v>
      </c>
      <c r="N35" s="1156" t="s">
        <v>3460</v>
      </c>
      <c r="O35" s="1156" t="s">
        <v>3641</v>
      </c>
      <c r="P35" s="1156">
        <v>3940</v>
      </c>
      <c r="Q35" s="1156">
        <v>3970</v>
      </c>
      <c r="R35" s="1156">
        <v>1161</v>
      </c>
      <c r="S35" s="1156">
        <v>0.76</v>
      </c>
      <c r="T35">
        <f t="shared" si="0"/>
        <v>1161</v>
      </c>
    </row>
    <row r="36" spans="1:20">
      <c r="A36" s="1156" t="s">
        <v>3599</v>
      </c>
      <c r="B36" s="1156" t="s">
        <v>3457</v>
      </c>
      <c r="C36" s="1156" t="s">
        <v>3508</v>
      </c>
      <c r="D36" s="1156" t="s">
        <v>3600</v>
      </c>
      <c r="E36" s="1156" t="s">
        <v>3599</v>
      </c>
      <c r="F36" s="1156">
        <v>21327.3</v>
      </c>
      <c r="G36" s="1156">
        <v>53318.25</v>
      </c>
      <c r="H36" s="1156" t="s">
        <v>2478</v>
      </c>
      <c r="I36" s="1156" t="s">
        <v>2478</v>
      </c>
      <c r="J36" s="1156" t="s">
        <v>3506</v>
      </c>
      <c r="K36" s="1156" t="s">
        <v>3591</v>
      </c>
      <c r="L36" s="1156" t="s">
        <v>3459</v>
      </c>
      <c r="M36" s="1156" t="s">
        <v>3642</v>
      </c>
      <c r="N36" s="1156" t="s">
        <v>3460</v>
      </c>
      <c r="O36" s="1156" t="s">
        <v>3643</v>
      </c>
      <c r="P36" s="1156">
        <v>1464</v>
      </c>
      <c r="Q36" s="1156">
        <v>1474</v>
      </c>
      <c r="R36" s="1156">
        <v>276</v>
      </c>
      <c r="S36" s="1156">
        <v>0.68</v>
      </c>
      <c r="T36">
        <f t="shared" si="0"/>
        <v>691</v>
      </c>
    </row>
    <row r="37" spans="1:20">
      <c r="A37" s="1156" t="s">
        <v>3601</v>
      </c>
      <c r="B37" s="1156" t="s">
        <v>3457</v>
      </c>
      <c r="C37" s="1156" t="s">
        <v>3508</v>
      </c>
      <c r="D37" s="1156" t="s">
        <v>3602</v>
      </c>
      <c r="E37" s="1156" t="s">
        <v>3601</v>
      </c>
      <c r="F37" s="1156">
        <v>21185.53</v>
      </c>
      <c r="G37" s="1156">
        <v>52963.83</v>
      </c>
      <c r="H37" s="1156" t="s">
        <v>2478</v>
      </c>
      <c r="I37" s="1156" t="s">
        <v>2478</v>
      </c>
      <c r="J37" s="1156" t="s">
        <v>3506</v>
      </c>
      <c r="K37" s="1156" t="s">
        <v>3591</v>
      </c>
      <c r="L37" s="1156" t="s">
        <v>3459</v>
      </c>
      <c r="M37" s="1156" t="s">
        <v>3642</v>
      </c>
      <c r="N37" s="1156" t="s">
        <v>3460</v>
      </c>
      <c r="O37" s="1156" t="s">
        <v>3644</v>
      </c>
      <c r="P37" s="1156">
        <v>1463</v>
      </c>
      <c r="Q37" s="1156">
        <v>1483</v>
      </c>
      <c r="R37" s="1156">
        <v>280</v>
      </c>
      <c r="S37" s="1156">
        <v>1.37</v>
      </c>
      <c r="T37">
        <f t="shared" si="0"/>
        <v>700</v>
      </c>
    </row>
    <row r="38" spans="1:20">
      <c r="A38" s="1156" t="s">
        <v>3603</v>
      </c>
      <c r="B38" s="1156" t="s">
        <v>3457</v>
      </c>
      <c r="C38" s="1156" t="s">
        <v>3503</v>
      </c>
      <c r="D38" s="1156" t="s">
        <v>3604</v>
      </c>
      <c r="E38" s="1156" t="s">
        <v>3603</v>
      </c>
      <c r="F38" s="1156">
        <v>57412.25</v>
      </c>
      <c r="G38" s="1156">
        <v>57412.25</v>
      </c>
      <c r="H38" s="1156" t="s">
        <v>2478</v>
      </c>
      <c r="I38" s="1156" t="s">
        <v>2478</v>
      </c>
      <c r="J38" s="1156" t="s">
        <v>3506</v>
      </c>
      <c r="K38" s="1156" t="s">
        <v>3470</v>
      </c>
      <c r="L38" s="1156" t="s">
        <v>3459</v>
      </c>
      <c r="M38" s="1156" t="s">
        <v>3645</v>
      </c>
      <c r="N38" s="1156" t="s">
        <v>3460</v>
      </c>
      <c r="O38" s="1156" t="s">
        <v>3646</v>
      </c>
      <c r="P38" s="1156">
        <v>6620</v>
      </c>
      <c r="Q38" s="1156">
        <v>6720</v>
      </c>
      <c r="R38" s="1156">
        <v>1170</v>
      </c>
      <c r="S38" s="1156">
        <v>1.51</v>
      </c>
      <c r="T38">
        <f t="shared" si="0"/>
        <v>1170</v>
      </c>
    </row>
    <row r="39" spans="1:20">
      <c r="A39" s="1156" t="s">
        <v>3605</v>
      </c>
      <c r="B39" s="1156" t="s">
        <v>3457</v>
      </c>
      <c r="C39" s="1156" t="s">
        <v>3508</v>
      </c>
      <c r="D39" s="1156" t="s">
        <v>3606</v>
      </c>
      <c r="E39" s="1156" t="s">
        <v>3605</v>
      </c>
      <c r="F39" s="1156">
        <v>6731.11</v>
      </c>
      <c r="G39" s="1156">
        <v>16827.77</v>
      </c>
      <c r="H39" s="1156" t="s">
        <v>2478</v>
      </c>
      <c r="I39" s="1156" t="s">
        <v>2478</v>
      </c>
      <c r="J39" s="1156" t="s">
        <v>3506</v>
      </c>
      <c r="K39" s="1156" t="s">
        <v>3591</v>
      </c>
      <c r="L39" s="1156" t="s">
        <v>3459</v>
      </c>
      <c r="M39" s="1156" t="s">
        <v>3647</v>
      </c>
      <c r="N39" s="1156" t="s">
        <v>3460</v>
      </c>
      <c r="O39" s="1156" t="s">
        <v>3648</v>
      </c>
      <c r="P39" s="1156">
        <v>457</v>
      </c>
      <c r="Q39" s="1156">
        <v>467</v>
      </c>
      <c r="R39" s="1156">
        <v>278</v>
      </c>
      <c r="S39" s="1156">
        <v>2.19</v>
      </c>
      <c r="T39">
        <f t="shared" si="0"/>
        <v>694</v>
      </c>
    </row>
    <row r="40" spans="1:20">
      <c r="A40" s="1156" t="s">
        <v>3607</v>
      </c>
      <c r="B40" s="1156" t="s">
        <v>3457</v>
      </c>
      <c r="C40" s="1156" t="s">
        <v>3508</v>
      </c>
      <c r="D40" s="1156" t="s">
        <v>3608</v>
      </c>
      <c r="E40" s="1156" t="s">
        <v>3607</v>
      </c>
      <c r="F40" s="1156">
        <v>14067.75</v>
      </c>
      <c r="G40" s="1156">
        <v>35169.379999999997</v>
      </c>
      <c r="H40" s="1156" t="s">
        <v>2478</v>
      </c>
      <c r="I40" s="1156" t="s">
        <v>2478</v>
      </c>
      <c r="J40" s="1156" t="s">
        <v>3506</v>
      </c>
      <c r="K40" s="1156" t="s">
        <v>3472</v>
      </c>
      <c r="L40" s="1156" t="s">
        <v>3459</v>
      </c>
      <c r="M40" s="1156" t="s">
        <v>3649</v>
      </c>
      <c r="N40" s="1156" t="s">
        <v>3460</v>
      </c>
      <c r="O40" s="1156" t="s">
        <v>3650</v>
      </c>
      <c r="P40" s="1156">
        <v>910</v>
      </c>
      <c r="Q40" s="1156">
        <v>970</v>
      </c>
      <c r="R40" s="1156">
        <v>276</v>
      </c>
      <c r="S40" s="1156">
        <v>6.59</v>
      </c>
      <c r="T40">
        <f t="shared" si="0"/>
        <v>690</v>
      </c>
    </row>
    <row r="41" spans="1:20">
      <c r="A41" s="1156" t="s">
        <v>3609</v>
      </c>
      <c r="B41" s="1156" t="s">
        <v>3457</v>
      </c>
      <c r="C41" s="1156" t="s">
        <v>3508</v>
      </c>
      <c r="D41" s="1156" t="s">
        <v>3610</v>
      </c>
      <c r="E41" s="1156" t="s">
        <v>3609</v>
      </c>
      <c r="F41" s="1156">
        <v>17158.599999999999</v>
      </c>
      <c r="G41" s="1156">
        <v>42896.5</v>
      </c>
      <c r="H41" s="1156" t="s">
        <v>2478</v>
      </c>
      <c r="I41" s="1156" t="s">
        <v>2478</v>
      </c>
      <c r="J41" s="1156" t="s">
        <v>3506</v>
      </c>
      <c r="K41" s="1156" t="s">
        <v>3591</v>
      </c>
      <c r="L41" s="1156" t="s">
        <v>3459</v>
      </c>
      <c r="M41" s="1156" t="s">
        <v>3651</v>
      </c>
      <c r="N41" s="1156" t="s">
        <v>3460</v>
      </c>
      <c r="O41" s="1156" t="s">
        <v>3652</v>
      </c>
      <c r="P41" s="1156">
        <v>1161</v>
      </c>
      <c r="Q41" s="1156">
        <v>1181</v>
      </c>
      <c r="R41" s="1156">
        <v>275</v>
      </c>
      <c r="S41" s="1156">
        <v>1.72</v>
      </c>
      <c r="T41">
        <f t="shared" si="0"/>
        <v>688</v>
      </c>
    </row>
    <row r="42" spans="1:20">
      <c r="A42" s="1156" t="s">
        <v>3611</v>
      </c>
      <c r="B42" s="1156" t="s">
        <v>3457</v>
      </c>
      <c r="C42" s="1156" t="s">
        <v>3503</v>
      </c>
      <c r="D42" s="1156" t="s">
        <v>3612</v>
      </c>
      <c r="E42" s="1156" t="s">
        <v>3611</v>
      </c>
      <c r="F42" s="1156">
        <v>21389.25</v>
      </c>
      <c r="G42" s="1156">
        <v>25667.1</v>
      </c>
      <c r="H42" s="1156" t="s">
        <v>2478</v>
      </c>
      <c r="I42" s="1156" t="s">
        <v>2478</v>
      </c>
      <c r="J42" s="1156" t="s">
        <v>3506</v>
      </c>
      <c r="K42" s="1156" t="s">
        <v>3471</v>
      </c>
      <c r="L42" s="1156" t="s">
        <v>3459</v>
      </c>
      <c r="M42" s="1156" t="s">
        <v>3653</v>
      </c>
      <c r="N42" s="1156" t="s">
        <v>3460</v>
      </c>
      <c r="O42" s="1156" t="s">
        <v>3654</v>
      </c>
      <c r="P42" s="1156">
        <v>1440</v>
      </c>
      <c r="Q42" s="1156">
        <v>1460</v>
      </c>
      <c r="R42" s="1156">
        <v>569</v>
      </c>
      <c r="S42" s="1156">
        <v>1.39</v>
      </c>
      <c r="T42">
        <f t="shared" si="0"/>
        <v>683</v>
      </c>
    </row>
    <row r="43" spans="1:20">
      <c r="A43" s="1156" t="s">
        <v>3613</v>
      </c>
      <c r="B43" s="1156" t="s">
        <v>3457</v>
      </c>
      <c r="C43" s="1156" t="s">
        <v>3508</v>
      </c>
      <c r="D43" s="1156" t="s">
        <v>3614</v>
      </c>
      <c r="E43" s="1156" t="s">
        <v>3613</v>
      </c>
      <c r="F43" s="1156">
        <v>2101.02</v>
      </c>
      <c r="G43" s="1156">
        <v>5252.55</v>
      </c>
      <c r="H43" s="1156" t="s">
        <v>2478</v>
      </c>
      <c r="I43" s="1156" t="s">
        <v>2478</v>
      </c>
      <c r="J43" s="1156" t="s">
        <v>3506</v>
      </c>
      <c r="K43" s="1156" t="s">
        <v>3472</v>
      </c>
      <c r="L43" s="1156" t="s">
        <v>3459</v>
      </c>
      <c r="M43" s="1156" t="s">
        <v>3655</v>
      </c>
      <c r="N43" s="1156" t="s">
        <v>3460</v>
      </c>
      <c r="O43" s="1156" t="s">
        <v>3656</v>
      </c>
      <c r="P43" s="1156">
        <v>132</v>
      </c>
      <c r="Q43" s="1156">
        <v>162</v>
      </c>
      <c r="R43" s="1156">
        <v>308</v>
      </c>
      <c r="S43" s="1156">
        <v>22.73</v>
      </c>
      <c r="T43">
        <f t="shared" si="0"/>
        <v>771</v>
      </c>
    </row>
    <row r="44" spans="1:20">
      <c r="A44" s="1156" t="s">
        <v>3615</v>
      </c>
      <c r="B44" s="1156" t="s">
        <v>3457</v>
      </c>
      <c r="C44" s="1156" t="s">
        <v>3503</v>
      </c>
      <c r="D44" s="1156" t="s">
        <v>3616</v>
      </c>
      <c r="E44" s="1156" t="s">
        <v>3615</v>
      </c>
      <c r="F44" s="1156">
        <v>46354.44</v>
      </c>
      <c r="G44" s="1156">
        <v>55625.33</v>
      </c>
      <c r="H44" s="1156" t="s">
        <v>2478</v>
      </c>
      <c r="I44" s="1156" t="s">
        <v>2478</v>
      </c>
      <c r="J44" s="1156" t="s">
        <v>3506</v>
      </c>
      <c r="K44" s="1156" t="s">
        <v>3471</v>
      </c>
      <c r="L44" s="1156" t="s">
        <v>3459</v>
      </c>
      <c r="M44" s="1156" t="s">
        <v>3655</v>
      </c>
      <c r="N44" s="1156" t="s">
        <v>3460</v>
      </c>
      <c r="O44" s="1156" t="s">
        <v>3657</v>
      </c>
      <c r="P44" s="1156">
        <v>3080</v>
      </c>
      <c r="Q44" s="1156">
        <v>3200</v>
      </c>
      <c r="R44" s="1156">
        <v>575</v>
      </c>
      <c r="S44" s="1156">
        <v>3.9</v>
      </c>
      <c r="T44">
        <f t="shared" si="0"/>
        <v>690</v>
      </c>
    </row>
    <row r="45" spans="1:20">
      <c r="A45" s="1156" t="s">
        <v>3617</v>
      </c>
      <c r="B45" s="1156" t="s">
        <v>3457</v>
      </c>
      <c r="C45" s="1156" t="s">
        <v>3508</v>
      </c>
      <c r="D45" s="1156" t="s">
        <v>3618</v>
      </c>
      <c r="E45" s="1156" t="s">
        <v>3617</v>
      </c>
      <c r="F45" s="1156">
        <v>66809.009999999995</v>
      </c>
      <c r="G45" s="1156">
        <v>167022.53</v>
      </c>
      <c r="H45" s="1156" t="s">
        <v>2478</v>
      </c>
      <c r="I45" s="1156" t="s">
        <v>2478</v>
      </c>
      <c r="J45" s="1156" t="s">
        <v>3506</v>
      </c>
      <c r="K45" s="1156" t="s">
        <v>3472</v>
      </c>
      <c r="L45" s="1156" t="s">
        <v>3459</v>
      </c>
      <c r="M45" s="1156" t="s">
        <v>3655</v>
      </c>
      <c r="N45" s="1156" t="s">
        <v>3460</v>
      </c>
      <c r="O45" s="1156" t="s">
        <v>3658</v>
      </c>
      <c r="P45" s="1156">
        <v>4400</v>
      </c>
      <c r="Q45" s="1156">
        <v>5200</v>
      </c>
      <c r="R45" s="1156">
        <v>311</v>
      </c>
      <c r="S45" s="1156">
        <v>18.18</v>
      </c>
      <c r="T45">
        <f t="shared" si="0"/>
        <v>778</v>
      </c>
    </row>
    <row r="46" spans="1:20">
      <c r="A46" s="1156" t="s">
        <v>3619</v>
      </c>
      <c r="B46" s="1156" t="s">
        <v>3457</v>
      </c>
      <c r="C46" s="1156" t="s">
        <v>3503</v>
      </c>
      <c r="D46" s="1156" t="s">
        <v>3620</v>
      </c>
      <c r="E46" s="1156" t="s">
        <v>3619</v>
      </c>
      <c r="F46" s="1156">
        <v>20147.560000000001</v>
      </c>
      <c r="G46" s="1156">
        <v>50368.9</v>
      </c>
      <c r="H46" s="1156" t="s">
        <v>2478</v>
      </c>
      <c r="I46" s="1156" t="s">
        <v>2478</v>
      </c>
      <c r="J46" s="1156" t="s">
        <v>3506</v>
      </c>
      <c r="K46" s="1156" t="s">
        <v>3472</v>
      </c>
      <c r="L46" s="1156" t="s">
        <v>3459</v>
      </c>
      <c r="M46" s="1156" t="s">
        <v>3659</v>
      </c>
      <c r="N46" s="1156" t="s">
        <v>3460</v>
      </c>
      <c r="O46" s="1156" t="s">
        <v>3660</v>
      </c>
      <c r="P46" s="1156">
        <v>1620</v>
      </c>
      <c r="Q46" s="1156">
        <v>1815</v>
      </c>
      <c r="R46" s="1156">
        <v>360</v>
      </c>
      <c r="S46" s="1156">
        <v>12.04</v>
      </c>
      <c r="T46">
        <f t="shared" si="0"/>
        <v>901</v>
      </c>
    </row>
  </sheetData>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13" workbookViewId="0">
      <selection activeCell="S29" sqref="S29"/>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56" t="s">
        <v>2083</v>
      </c>
      <c r="D1" s="3457"/>
      <c r="E1" s="3457"/>
      <c r="F1" s="3457"/>
      <c r="G1" s="3457"/>
      <c r="H1" s="3457"/>
      <c r="I1" s="3457"/>
      <c r="J1" s="3457"/>
      <c r="K1" s="3457"/>
      <c r="L1" s="3457"/>
      <c r="M1" s="3457"/>
      <c r="N1" s="3457"/>
      <c r="O1" s="3457"/>
      <c r="P1" s="3457"/>
      <c r="Q1" s="3457"/>
      <c r="R1" s="3457"/>
      <c r="S1" s="3458"/>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3"/>
      <c r="G1" s="2543"/>
      <c r="H1" s="2543"/>
      <c r="I1" s="2543"/>
      <c r="J1" s="2543"/>
      <c r="K1" s="2543"/>
      <c r="L1" s="2543"/>
      <c r="M1" s="2543"/>
      <c r="N1" s="2543"/>
      <c r="O1" s="2543"/>
      <c r="P1" s="2543"/>
    </row>
    <row r="2" spans="1:16" ht="15.75">
      <c r="A2" s="1984" t="s">
        <v>2072</v>
      </c>
      <c r="B2" s="2387" t="e">
        <f ca="1">SUMIF(B6:B13,"&lt;&gt;#ref!",B6:B13)</f>
        <v>#DIV/0!</v>
      </c>
      <c r="C2" s="1984" t="s">
        <v>2073</v>
      </c>
      <c r="D2" s="1984" t="s">
        <v>2074</v>
      </c>
      <c r="E2" s="2397">
        <f ca="1">SUMIF(E6:E13,"&lt;&gt;#ref!",E6:E13)</f>
        <v>0</v>
      </c>
      <c r="F2" s="2543"/>
      <c r="G2" s="2543"/>
      <c r="H2" s="2543"/>
      <c r="I2" s="2543"/>
      <c r="J2" s="2543"/>
      <c r="K2" s="2543"/>
      <c r="L2" s="2543"/>
      <c r="M2" s="2543"/>
      <c r="N2" s="2543"/>
      <c r="O2" s="2543"/>
      <c r="P2" s="2543"/>
    </row>
    <row r="3" spans="1:16" ht="15.75">
      <c r="A3" s="1984" t="s">
        <v>2075</v>
      </c>
      <c r="B3" s="2387" t="e">
        <f ca="1">ROUND(B2*10000/E2,0)</f>
        <v>#DIV/0!</v>
      </c>
      <c r="C3" s="1984" t="s">
        <v>2081</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2076</v>
      </c>
      <c r="B5" s="2395" t="s">
        <v>2077</v>
      </c>
      <c r="C5" s="1985"/>
      <c r="D5" s="2543"/>
      <c r="E5" s="2396" t="s">
        <v>2078</v>
      </c>
      <c r="F5" s="2543"/>
      <c r="G5" s="2543"/>
      <c r="H5" s="2543"/>
      <c r="I5" s="2543"/>
      <c r="J5" s="2543"/>
      <c r="K5" s="2543"/>
      <c r="L5" s="2543"/>
      <c r="M5" s="2543"/>
      <c r="N5" s="2543"/>
      <c r="O5" s="2543"/>
      <c r="P5" s="2543"/>
    </row>
    <row r="6" spans="1:16" ht="15.75">
      <c r="A6" s="2394" t="s">
        <v>2079</v>
      </c>
      <c r="B6" s="2387" t="e">
        <f ca="1">SUMIF(INDIRECT("'"&amp;A6&amp;"'"&amp;"!A:A"),"总价",INDIRECT("'"&amp;A6&amp;"'"&amp;"!B:B"))</f>
        <v>#DIV/0!</v>
      </c>
      <c r="C6" s="1984" t="s">
        <v>2073</v>
      </c>
      <c r="D6" s="2543"/>
      <c r="E6" s="2397">
        <f ca="1">SUMIF(INDIRECT("'"&amp;A6&amp;"'"&amp;"!C:C"),"建筑面积",INDIRECT("'"&amp;A6&amp;"'"&amp;"!D:D"))</f>
        <v>0</v>
      </c>
      <c r="F6" s="2543"/>
      <c r="G6" s="2543"/>
      <c r="H6" s="2543"/>
      <c r="I6" s="2543"/>
      <c r="J6" s="2543"/>
      <c r="K6" s="2543"/>
      <c r="L6" s="2543"/>
      <c r="M6" s="2543"/>
      <c r="N6" s="2543"/>
      <c r="O6" s="2543"/>
      <c r="P6" s="2543"/>
    </row>
    <row r="7" spans="1:16" ht="15.75">
      <c r="A7" s="2394"/>
      <c r="B7" s="2387" t="e">
        <f ca="1">SUMIF(INDIRECT("'"&amp;A7&amp;"'"&amp;"!A:A"),"总价",INDIRECT("'"&amp;A7&amp;"'"&amp;"!B:B"))</f>
        <v>#REF!</v>
      </c>
      <c r="C7" s="1984" t="s">
        <v>2073</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2073</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2073</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2073</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2073</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2073</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2073</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1925</v>
      </c>
      <c r="B1" s="189"/>
      <c r="C1" s="193" t="s">
        <v>1926</v>
      </c>
      <c r="D1" s="333">
        <f>SUM(D33:D34,D37:D42)</f>
        <v>0</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75">
      <c r="A2" s="193" t="s">
        <v>1933</v>
      </c>
      <c r="B2" s="196" t="e">
        <f>C30</f>
        <v>#DIV/0!</v>
      </c>
      <c r="C2" s="1846" t="s">
        <v>1934</v>
      </c>
      <c r="D2" s="162" t="s">
        <v>1935</v>
      </c>
      <c r="E2" s="3119"/>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1939</v>
      </c>
      <c r="B3" s="196" t="e">
        <f>ROUND(B2*10000/D1,0)</f>
        <v>#DIV/0!</v>
      </c>
      <c r="C3" s="1846" t="s">
        <v>1940</v>
      </c>
      <c r="D3" s="162" t="s">
        <v>1941</v>
      </c>
      <c r="E3" s="3117"/>
      <c r="F3" s="1848"/>
      <c r="G3" s="708">
        <f>IF(F3="宗地容积率",'数据-汇总表'!I4,IF(F3="估价对象容积率",'数据-汇总表'!I6,'数据-汇总表'!I7))</f>
        <v>0</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66"/>
      <c r="B4" s="3467"/>
      <c r="C4" s="3467"/>
      <c r="D4" s="3468"/>
      <c r="E4" s="3468"/>
      <c r="F4" s="3468"/>
      <c r="G4" s="3468"/>
      <c r="H4" s="3468"/>
      <c r="I4" s="3468"/>
      <c r="J4" s="3469"/>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1946</v>
      </c>
      <c r="C5" s="709" t="e">
        <f>ROUND(IF(E2="商业",C6*C7*C17+C20,(IF(E2="住宅",C6*C13*C17+C20,IF(E2="办公",C6*C12*C17+C20,C6+C20)))),0)</f>
        <v>#DIV/0!</v>
      </c>
      <c r="D5" s="1252" t="e">
        <f>ROUND(C6*C17+C20,0)</f>
        <v>#DIV/0!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75" thickBot="1">
      <c r="A6" s="1859" t="s">
        <v>1948</v>
      </c>
      <c r="B6" s="1860" t="s">
        <v>1949</v>
      </c>
      <c r="C6" s="710">
        <f>SUMIF(L1:L12,G2,M1:M12)</f>
        <v>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75" thickBot="1">
      <c r="A7" s="3011" t="s">
        <v>3236</v>
      </c>
      <c r="B7" s="1865" t="s">
        <v>1951</v>
      </c>
      <c r="C7" s="711" t="e">
        <f>IF(C8="不临65条商业街",1,ROUND(1+(1.6*E8+1.2*E9+0.8*E10+0.4*E11)*C9,4))</f>
        <v>#DIV/0!</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1954</v>
      </c>
      <c r="X7" s="1131">
        <f>G2</f>
        <v>0</v>
      </c>
      <c r="Y7" s="1131" t="s">
        <v>1955</v>
      </c>
      <c r="Z7" s="1132">
        <f>G3</f>
        <v>0</v>
      </c>
      <c r="AA7" s="1133"/>
      <c r="AB7" s="1133"/>
      <c r="AC7" s="1134"/>
      <c r="AD7" s="1135"/>
      <c r="AE7" s="1135"/>
      <c r="AF7" s="1135"/>
      <c r="AG7" s="1135"/>
      <c r="AH7" s="1135"/>
      <c r="AI7" s="1135"/>
      <c r="AJ7" s="1136"/>
    </row>
    <row r="8" spans="1:36" ht="15">
      <c r="A8" s="3008"/>
      <c r="B8" s="162" t="s">
        <v>1956</v>
      </c>
      <c r="C8" s="1870"/>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63" t="s">
        <v>1959</v>
      </c>
      <c r="X8" s="3464"/>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08"/>
      <c r="B9" s="162" t="s">
        <v>1972</v>
      </c>
      <c r="C9" s="714">
        <f>SUMIF(修正!C71:C138,C8,修正!E71:E138)</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5"/>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1975</v>
      </c>
      <c r="C10" s="163">
        <f>SUMIF(修正!C71:C138,C8,修正!F71:F138)</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3237</v>
      </c>
      <c r="B12" s="3012" t="s">
        <v>3238</v>
      </c>
      <c r="C12" s="3013"/>
      <c r="D12" s="3014" t="s">
        <v>3239</v>
      </c>
      <c r="E12" s="3015" t="s">
        <v>3240</v>
      </c>
      <c r="F12" s="3016"/>
      <c r="G12" s="3017"/>
      <c r="H12" s="3017"/>
      <c r="I12" s="3017"/>
      <c r="J12" s="3018"/>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3241</v>
      </c>
      <c r="B13" s="1878" t="s">
        <v>1981</v>
      </c>
      <c r="C13" s="711">
        <f>ROUND(C16*D16*E16*F16*G16*H16*I16*J16,4)</f>
        <v>0</v>
      </c>
      <c r="D13" s="1879" t="s">
        <v>1982</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3" t="s">
        <v>1984</v>
      </c>
      <c r="C14" s="1884" t="s">
        <v>1985</v>
      </c>
      <c r="D14" s="1261" t="s">
        <v>1986</v>
      </c>
      <c r="E14" s="27" t="s">
        <v>1987</v>
      </c>
      <c r="F14" s="3019" t="s">
        <v>3242</v>
      </c>
      <c r="G14" s="3019" t="s">
        <v>3242</v>
      </c>
      <c r="H14" s="3019" t="s">
        <v>3242</v>
      </c>
      <c r="I14" s="3019" t="s">
        <v>3242</v>
      </c>
      <c r="J14" s="3019" t="s">
        <v>3242</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1988</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3244</v>
      </c>
      <c r="B17" s="3026" t="s">
        <v>3245</v>
      </c>
      <c r="C17" s="3035">
        <f>ROUND(IF(OR(E2="工业",E2="公共服务"),1,IF(AND(E18=0,E19=0),1,IF(AND(E18=J24,E19=G19),0.8,IF(E19=0,1+E17*(-0.2),1+E17*G17*(-0.2))))),4)</f>
        <v>1</v>
      </c>
      <c r="D17" s="3027" t="s">
        <v>3246</v>
      </c>
      <c r="E17" s="3035" t="e">
        <f>ROUND(G18/I18,2)</f>
        <v>#DIV/0!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3247</v>
      </c>
      <c r="E18" s="2356"/>
      <c r="F18" s="3029" t="s">
        <v>3250</v>
      </c>
      <c r="G18" s="3033">
        <f>ROUND(1-(1/(POWER(1+G24,E18))),4)</f>
        <v>0</v>
      </c>
      <c r="H18" s="3029" t="s">
        <v>3252</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70" t="s">
        <v>3253</v>
      </c>
      <c r="B20" s="159" t="s">
        <v>1993</v>
      </c>
      <c r="C20" s="3030" t="e">
        <f>ROUND(IF(F21="与级别开发程度一致",0,(G21-E21)/C21),0)</f>
        <v>#DIV/0!</v>
      </c>
      <c r="D20" s="3045" t="s">
        <v>1997</v>
      </c>
      <c r="E20" s="3046"/>
      <c r="F20" s="3476" t="s">
        <v>1994</v>
      </c>
      <c r="G20" s="347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5" thickBot="1">
      <c r="A21" s="3471"/>
      <c r="B21" s="2002" t="s">
        <v>1996</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1999</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2000</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2001</v>
      </c>
      <c r="E23" s="717">
        <v>44197</v>
      </c>
      <c r="F23" s="1896" t="s">
        <v>2002</v>
      </c>
      <c r="G23" s="718">
        <f>'数据-取费表'!B2</f>
        <v>45721</v>
      </c>
      <c r="H23" s="3047" t="s">
        <v>3255</v>
      </c>
      <c r="I23" s="3048" t="str">
        <f>IF(H23="季度增幅（自定义）",SUMIF(N25:N28,E2,O25:O28),"")</f>
        <v/>
      </c>
      <c r="J23" s="3140" t="s">
        <v>3254</v>
      </c>
      <c r="K23" s="1061"/>
      <c r="L23" s="1897" t="s">
        <v>2003</v>
      </c>
      <c r="M23" s="1241">
        <f>ROUND(SUMIF(地价!B2:G2,E2,地价!B16:G16),0)</f>
        <v>0</v>
      </c>
      <c r="N23" s="1898" t="s">
        <v>2004</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2005</v>
      </c>
      <c r="C24" s="720" t="e">
        <f>ROUND(POWER(1+G24,J24-I24)*(POWER(1+G24,I24)-1)/(POWER(1+G24,J24)-1),4)</f>
        <v>#DIV/0!</v>
      </c>
      <c r="D24" s="1902" t="s">
        <v>2006</v>
      </c>
      <c r="E24" s="1248">
        <f>存贷款利率!E27/100</f>
        <v>4.3499999999999997E-2</v>
      </c>
      <c r="F24" s="1902" t="s">
        <v>1998</v>
      </c>
      <c r="G24" s="724">
        <f>SUMIF(M30:Q30,E2,M33:Q33)</f>
        <v>0</v>
      </c>
      <c r="H24" s="1902" t="s">
        <v>2007</v>
      </c>
      <c r="I24" s="725" t="e">
        <f>SUMIF('数据-取费表'!C6:C15,E2,'数据-取费表'!F6:F15)/COUNTIF('数据-取费表'!C6:C15,E2)</f>
        <v>#DIV/0!</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3334</v>
      </c>
      <c r="C25" s="461">
        <f>IF(B25="容积率修正",IF(G3&lt;10,D26,J26),C27)</f>
        <v>0</v>
      </c>
      <c r="D25" s="1909"/>
      <c r="E25" s="1909"/>
      <c r="F25" s="1909"/>
      <c r="G25" s="1909"/>
      <c r="H25" s="1909"/>
      <c r="I25" s="1909"/>
      <c r="J25" s="1910"/>
      <c r="K25" s="1061"/>
      <c r="L25" s="2551"/>
      <c r="M25" s="2551"/>
      <c r="N25" s="1911" t="s">
        <v>2012</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2013</v>
      </c>
      <c r="B26" s="1912" t="s">
        <v>2014</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1"/>
      <c r="M26" s="2551"/>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2019</v>
      </c>
      <c r="C28" s="716">
        <f>SUMIF(A47:A101,E2,B47:B101)</f>
        <v>0</v>
      </c>
      <c r="D28" s="1894"/>
      <c r="E28" s="1919"/>
      <c r="F28" s="1919"/>
      <c r="G28" s="1919"/>
      <c r="H28" s="1919"/>
      <c r="I28" s="1919"/>
      <c r="J28" s="1920"/>
      <c r="K28" s="1061"/>
      <c r="L28" s="2551"/>
      <c r="M28" s="2551"/>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2021</v>
      </c>
      <c r="C29" s="721"/>
      <c r="D29" s="1868"/>
      <c r="E29" s="1868"/>
      <c r="F29" s="1923"/>
      <c r="G29" s="1868"/>
      <c r="H29" s="1868"/>
      <c r="I29" s="1868"/>
      <c r="J29" s="1869"/>
      <c r="K29" s="1056"/>
      <c r="L29" s="1844"/>
      <c r="M29" s="1844"/>
      <c r="N29" s="2548" t="s">
        <v>2022</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2023</v>
      </c>
      <c r="C30" s="2145" t="e">
        <f>IF(B25="容积率修正",E33+SUM(E37:E42),SUM(V2:V16)+SUM(E37:E42))</f>
        <v>#DIV/0!</v>
      </c>
      <c r="D30" s="1925"/>
      <c r="E30" s="1842"/>
      <c r="F30" s="1926"/>
      <c r="G30" s="1842"/>
      <c r="H30" s="1842"/>
      <c r="I30" s="1842"/>
      <c r="J30" s="1927"/>
      <c r="K30" s="1056"/>
      <c r="L30" s="3054" t="s">
        <v>1935</v>
      </c>
      <c r="M30" s="3055" t="s">
        <v>1989</v>
      </c>
      <c r="N30" s="3055" t="s">
        <v>1990</v>
      </c>
      <c r="O30" s="3055" t="s">
        <v>1991</v>
      </c>
      <c r="P30" s="3055" t="s">
        <v>1992</v>
      </c>
      <c r="Q30" s="3058"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2024</v>
      </c>
      <c r="C31" s="722" t="e">
        <f>E34+SUM(I37:I42)</f>
        <v>#DIV/0!</v>
      </c>
      <c r="D31" s="1929"/>
      <c r="E31" s="1930"/>
      <c r="F31" s="1931"/>
      <c r="G31" s="1930"/>
      <c r="H31" s="1930"/>
      <c r="I31" s="1930"/>
      <c r="J31" s="1932"/>
      <c r="K31" s="1056"/>
      <c r="L31" s="3056" t="s">
        <v>1995</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2025</v>
      </c>
      <c r="C32" s="1935" t="s">
        <v>2026</v>
      </c>
      <c r="D32" s="1935" t="s">
        <v>2027</v>
      </c>
      <c r="E32" s="1936" t="s">
        <v>2028</v>
      </c>
      <c r="F32" s="1937"/>
      <c r="G32" s="1881"/>
      <c r="H32" s="1881"/>
      <c r="I32" s="1881"/>
      <c r="J32" s="1882"/>
      <c r="K32" s="1056"/>
      <c r="L32" s="3057" t="s">
        <v>1998</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2029</v>
      </c>
      <c r="C33" s="167" t="e">
        <f>ROUND(C5*C22*C23*C24*C25*C28,0)</f>
        <v>#DIV/0!</v>
      </c>
      <c r="D33" s="1940"/>
      <c r="E33" s="727" t="e">
        <f>ROUND(C33*D33/10000,0)</f>
        <v>#DIV/0!</v>
      </c>
      <c r="F33" s="3049" t="s">
        <v>3259</v>
      </c>
      <c r="G33" s="1941"/>
      <c r="H33" s="1941"/>
      <c r="I33" s="1941"/>
      <c r="J33" s="1942"/>
      <c r="K33" s="1056"/>
      <c r="L33" s="3052" t="s">
        <v>3262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2030</v>
      </c>
      <c r="C34" s="179" t="e">
        <f>ROUND(IF(E2="工业",C33*M42,IF(B25="楼层修正",SUM(V2:V16)*M41*10000/D34,C33*M41)),0)</f>
        <v>#DIV/0!</v>
      </c>
      <c r="D34" s="1945"/>
      <c r="E34" s="727" t="e">
        <f>ROUND(IF(B25="楼层修正",SUM(V2:V16)*M40,C34*D34/10000),0)</f>
        <v>#DIV/0!</v>
      </c>
      <c r="F34" s="1946" t="s">
        <v>2031</v>
      </c>
      <c r="G34" s="1947"/>
      <c r="H34" s="1947"/>
      <c r="I34" s="1947"/>
      <c r="J34" s="1948"/>
      <c r="K34" s="1056"/>
      <c r="L34" s="3052" t="s">
        <v>3263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50" t="s">
        <v>3260</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2026</v>
      </c>
      <c r="D36" s="433" t="s">
        <v>2027</v>
      </c>
      <c r="E36" s="433" t="s">
        <v>2028</v>
      </c>
      <c r="F36" s="333" t="s">
        <v>2034</v>
      </c>
      <c r="G36" s="1954" t="s">
        <v>2026</v>
      </c>
      <c r="H36" s="1954" t="s">
        <v>2027</v>
      </c>
      <c r="I36" s="1954" t="s">
        <v>2028</v>
      </c>
      <c r="J36" s="235"/>
      <c r="K36" s="1964" t="s">
        <v>3264</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4"/>
      <c r="B37" s="1955" t="s">
        <v>2035</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3265</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5"/>
      <c r="B38" s="1884" t="s">
        <v>2036</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5"/>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3266</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1998</v>
      </c>
      <c r="E44" s="1991">
        <f>G24</f>
        <v>0</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2043</v>
      </c>
      <c r="B49" s="1262" t="s">
        <v>2044</v>
      </c>
      <c r="C49" s="1262" t="s">
        <v>2045</v>
      </c>
      <c r="D49" s="1262" t="s">
        <v>2046</v>
      </c>
      <c r="E49" s="701" t="s">
        <v>2047</v>
      </c>
      <c r="F49" s="1971" t="s">
        <v>2048</v>
      </c>
      <c r="G49" s="1262" t="s">
        <v>310</v>
      </c>
      <c r="H49" s="1972" t="s">
        <v>2049</v>
      </c>
      <c r="I49" s="1262" t="s">
        <v>2050</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2051</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2052</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3268</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2053</v>
      </c>
      <c r="B53" s="1974" t="s">
        <v>2054</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2056</v>
      </c>
      <c r="B55" s="1975" t="s">
        <v>2057</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2058</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2059</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2060</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2043</v>
      </c>
      <c r="B60" s="1262"/>
      <c r="C60" s="1262" t="s">
        <v>2045</v>
      </c>
      <c r="D60" s="1262" t="s">
        <v>2046</v>
      </c>
      <c r="E60" s="701" t="s">
        <v>2047</v>
      </c>
      <c r="F60" s="1971" t="s">
        <v>2062</v>
      </c>
      <c r="G60" s="1262" t="s">
        <v>310</v>
      </c>
      <c r="H60" s="1972" t="s">
        <v>2049</v>
      </c>
      <c r="I60" s="1262" t="s">
        <v>2050</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2063</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2052</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3268</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2053</v>
      </c>
      <c r="B64" s="1974" t="s">
        <v>2054</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2056</v>
      </c>
      <c r="B66" s="1975" t="s">
        <v>2057</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2058</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2059</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2060</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2043</v>
      </c>
      <c r="B71" s="1262"/>
      <c r="C71" s="1262" t="s">
        <v>2045</v>
      </c>
      <c r="D71" s="1262" t="s">
        <v>2046</v>
      </c>
      <c r="E71" s="701" t="s">
        <v>2047</v>
      </c>
      <c r="F71" s="1971" t="s">
        <v>2062</v>
      </c>
      <c r="G71" s="1262" t="s">
        <v>310</v>
      </c>
      <c r="H71" s="1972" t="s">
        <v>2049</v>
      </c>
      <c r="I71" s="1262" t="s">
        <v>2050</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2065</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2052</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2066</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2058</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2059</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2056</v>
      </c>
      <c r="B78" s="1975" t="s">
        <v>2057</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2060</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2067</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2068</v>
      </c>
      <c r="B81" s="1968">
        <f>1+E83</f>
        <v>1</v>
      </c>
      <c r="C81" s="699"/>
      <c r="D81" s="699"/>
      <c r="E81" s="700"/>
      <c r="F81" s="1969"/>
      <c r="G81" s="3"/>
      <c r="H81" s="3"/>
      <c r="I81" s="3"/>
      <c r="J81" s="4"/>
      <c r="K81" s="4"/>
      <c r="L81" s="4"/>
      <c r="M81" s="4"/>
      <c r="N81" s="4"/>
      <c r="Z81" s="1845"/>
      <c r="AA81" s="1895"/>
      <c r="AG81" s="1058"/>
      <c r="AK81" s="1895"/>
    </row>
    <row r="82" spans="1:37" ht="24.75">
      <c r="A82" s="1970" t="s">
        <v>2043</v>
      </c>
      <c r="B82" s="1262"/>
      <c r="C82" s="1262" t="s">
        <v>2045</v>
      </c>
      <c r="D82" s="1262" t="s">
        <v>2046</v>
      </c>
      <c r="E82" s="701" t="s">
        <v>2047</v>
      </c>
      <c r="F82" s="1971" t="s">
        <v>2062</v>
      </c>
      <c r="G82" s="1262" t="s">
        <v>310</v>
      </c>
      <c r="H82" s="1972" t="s">
        <v>2049</v>
      </c>
      <c r="I82" s="1262" t="s">
        <v>2050</v>
      </c>
      <c r="J82" s="530" t="s">
        <v>1721</v>
      </c>
      <c r="K82" s="530" t="s">
        <v>1722</v>
      </c>
      <c r="L82" s="530" t="s">
        <v>1723</v>
      </c>
      <c r="M82" s="530" t="s">
        <v>1724</v>
      </c>
      <c r="N82" s="530" t="s">
        <v>1725</v>
      </c>
      <c r="Z82" s="1845"/>
      <c r="AA82" s="1895"/>
      <c r="AG82" s="1058"/>
      <c r="AK82" s="1895"/>
    </row>
    <row r="83" spans="1:37" ht="38.25">
      <c r="A83" s="1970" t="s">
        <v>2069</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2052</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2066</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2058</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2059</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2056</v>
      </c>
      <c r="B89" s="1975" t="s">
        <v>2070</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2071</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2611</v>
      </c>
      <c r="B91" s="3078">
        <f>1+E93</f>
        <v>1</v>
      </c>
      <c r="C91" s="3071"/>
      <c r="D91" s="3072"/>
      <c r="E91" s="1675"/>
      <c r="F91" s="1675"/>
      <c r="G91" s="3073"/>
      <c r="H91" s="3074"/>
      <c r="I91" s="3075"/>
      <c r="J91" s="3076"/>
      <c r="K91" s="3076"/>
      <c r="L91" s="3076"/>
      <c r="M91" s="3076"/>
      <c r="N91" s="3076"/>
    </row>
    <row r="92" spans="1:37" ht="24.75">
      <c r="A92" s="3079" t="s">
        <v>3270</v>
      </c>
      <c r="B92" s="2309"/>
      <c r="C92" s="2309" t="s">
        <v>3279</v>
      </c>
      <c r="D92" s="2309" t="s">
        <v>3280</v>
      </c>
      <c r="E92" s="3051" t="s">
        <v>3281</v>
      </c>
      <c r="F92" s="3081" t="s">
        <v>3282</v>
      </c>
      <c r="G92" s="2309" t="s">
        <v>3283</v>
      </c>
      <c r="H92" s="3088" t="s">
        <v>3286</v>
      </c>
      <c r="I92" s="2309" t="s">
        <v>3287</v>
      </c>
      <c r="J92" s="2150" t="s">
        <v>3288</v>
      </c>
      <c r="K92" s="2150" t="s">
        <v>3289</v>
      </c>
      <c r="L92" s="2150" t="s">
        <v>3290</v>
      </c>
      <c r="M92" s="2150" t="s">
        <v>3291</v>
      </c>
      <c r="N92" s="2150" t="s">
        <v>3292</v>
      </c>
    </row>
    <row r="93" spans="1:37" ht="24">
      <c r="A93" s="3069" t="s">
        <v>3271</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38.25">
      <c r="A94" s="3079" t="s">
        <v>3272</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3268</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3273</v>
      </c>
      <c r="B96" s="3085" t="s">
        <v>3284</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3274</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3275</v>
      </c>
      <c r="B98" s="3086" t="s">
        <v>3285</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5.5">
      <c r="A99" s="3079" t="s">
        <v>3276</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3277</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25" thickBot="1">
      <c r="A101" s="3080" t="s">
        <v>3278</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2" t="s">
        <v>3293</v>
      </c>
      <c r="B103" s="3472"/>
      <c r="C103" s="3472"/>
      <c r="D103" s="3472"/>
      <c r="E103" s="3472"/>
      <c r="F103" s="3472"/>
      <c r="G103" s="3472"/>
      <c r="H103" s="3472"/>
      <c r="I103" s="3472"/>
      <c r="J103" s="3472"/>
      <c r="K103" s="1667"/>
      <c r="L103" s="1667"/>
      <c r="M103" s="1667"/>
      <c r="N103" s="1667"/>
    </row>
    <row r="104" spans="1:14">
      <c r="A104" s="3473" t="s">
        <v>3294</v>
      </c>
      <c r="B104" s="3473" t="s">
        <v>3295</v>
      </c>
      <c r="C104" s="3089" t="s">
        <v>3296</v>
      </c>
      <c r="D104" s="3090"/>
      <c r="E104" s="3090"/>
      <c r="F104" s="3090"/>
      <c r="G104" s="3090"/>
      <c r="H104" s="3090"/>
      <c r="I104" s="3090"/>
      <c r="J104" s="3091"/>
      <c r="K104" s="3092"/>
      <c r="L104" s="3092"/>
      <c r="M104" s="3092"/>
      <c r="N104" s="3092"/>
    </row>
    <row r="105" spans="1:14">
      <c r="A105" s="3473"/>
      <c r="B105" s="3473"/>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459"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0"/>
      <c r="B111" s="3093" t="s">
        <v>3267</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2" t="s">
        <v>3310</v>
      </c>
      <c r="B113" s="3462"/>
      <c r="C113" s="3462"/>
      <c r="D113" s="3462"/>
      <c r="E113" s="3462"/>
      <c r="F113" s="3462"/>
      <c r="G113" s="3462"/>
      <c r="H113" s="3462"/>
      <c r="I113" s="3462"/>
      <c r="J113" s="346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3311</v>
      </c>
      <c r="B116" s="3113">
        <f>G3</f>
        <v>0</v>
      </c>
      <c r="C116" s="3098" t="s">
        <v>3312</v>
      </c>
      <c r="D116" s="3099">
        <f>SUMPRODUCT((A118:A122=F116)*(B117:M117=H116)*B118:M122)</f>
        <v>0</v>
      </c>
      <c r="E116" s="162" t="s">
        <v>3313</v>
      </c>
      <c r="F116" s="3100">
        <f>E2</f>
        <v>0</v>
      </c>
      <c r="G116" s="162" t="s">
        <v>3314</v>
      </c>
      <c r="H116" s="3100">
        <f>G2</f>
        <v>0</v>
      </c>
      <c r="I116" s="162"/>
      <c r="J116" s="3101"/>
      <c r="K116" s="3101"/>
      <c r="L116" s="3101"/>
      <c r="M116" s="3101"/>
      <c r="N116" s="3096"/>
    </row>
    <row r="117" spans="1:14">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c r="A118" s="3056" t="s">
        <v>3327</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3328</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3329</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3330</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9.5" thickBot="1">
      <c r="A4" s="1391"/>
      <c r="B4" s="3177" t="s">
        <v>917</v>
      </c>
      <c r="C4" s="3177"/>
      <c r="D4" s="3177"/>
      <c r="E4" s="1391"/>
    </row>
    <row r="5" spans="1:5" ht="16.5" thickTop="1">
      <c r="B5" s="3175" t="s">
        <v>909</v>
      </c>
      <c r="C5" s="1392" t="s">
        <v>910</v>
      </c>
      <c r="D5" s="797">
        <f ca="1">结果表!H101</f>
        <v>28487</v>
      </c>
    </row>
    <row r="6" spans="1:5" ht="15.75">
      <c r="B6" s="3175"/>
      <c r="C6" s="1392" t="s">
        <v>911</v>
      </c>
      <c r="D6" s="797" t="str">
        <f ca="1">NUMBERSTRING(INT(D5*10000),2)&amp;"元整"</f>
        <v>贰亿捌仟肆佰捌拾柒万元整</v>
      </c>
    </row>
    <row r="7" spans="1:5" ht="15.75">
      <c r="B7" s="3180"/>
      <c r="C7" s="1393" t="s">
        <v>912</v>
      </c>
      <c r="D7" s="798">
        <f ca="1">结果表!H102</f>
        <v>4235</v>
      </c>
    </row>
    <row r="8" spans="1:5" ht="15.75">
      <c r="B8" s="3181" t="str">
        <f>结果表!E103</f>
        <v>2.估价师知悉的法定优先受偿款</v>
      </c>
      <c r="C8" s="1394" t="s">
        <v>913</v>
      </c>
      <c r="D8" s="798">
        <f>结果表!H103</f>
        <v>0</v>
      </c>
    </row>
    <row r="9" spans="1:5" ht="15.75">
      <c r="B9" s="318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4" t="str">
        <f>结果表!E107</f>
        <v>3.房地产抵押价值</v>
      </c>
      <c r="C13" s="1397" t="s">
        <v>910</v>
      </c>
      <c r="D13" s="800">
        <f ca="1">结果表!H107</f>
        <v>28487</v>
      </c>
    </row>
    <row r="14" spans="1:5" ht="15.75">
      <c r="B14" s="3175"/>
      <c r="C14" s="1392" t="s">
        <v>911</v>
      </c>
      <c r="D14" s="797" t="str">
        <f ca="1">NUMBERSTRING(INT(D13*10000),2)&amp;"元整"</f>
        <v>贰亿捌仟肆佰捌拾柒万元整</v>
      </c>
    </row>
    <row r="15" spans="1:5" ht="15">
      <c r="B15" s="3180"/>
      <c r="C15" s="1393" t="s">
        <v>921</v>
      </c>
      <c r="D15" s="806">
        <f ca="1">结果表!H108</f>
        <v>4235</v>
      </c>
    </row>
    <row r="16" spans="1:5" ht="15">
      <c r="B16" s="3181" t="str">
        <f>结果表!E109</f>
        <v>——</v>
      </c>
      <c r="C16" s="1397" t="s">
        <v>922</v>
      </c>
      <c r="D16" s="1398" t="str">
        <f>结果表!H109</f>
        <v>——</v>
      </c>
    </row>
    <row r="17" spans="1:5" ht="15.75">
      <c r="B17" s="3182"/>
      <c r="C17" s="1392" t="s">
        <v>923</v>
      </c>
      <c r="D17" s="797" t="e">
        <f>NUMBERSTRING(INT(D16*10000),2)&amp;"元整"</f>
        <v>#VALUE!</v>
      </c>
    </row>
    <row r="18" spans="1:5" ht="15">
      <c r="B18" s="3183"/>
      <c r="C18" s="1393" t="s">
        <v>912</v>
      </c>
      <c r="D18" s="806" t="str">
        <f>结果表!H110</f>
        <v>——</v>
      </c>
    </row>
    <row r="19" spans="1:5" ht="15.75">
      <c r="B19" s="3174" t="str">
        <f>结果表!E111</f>
        <v>——</v>
      </c>
      <c r="C19" s="1397" t="s">
        <v>910</v>
      </c>
      <c r="D19" s="798" t="str">
        <f>结果表!H111</f>
        <v>——</v>
      </c>
    </row>
    <row r="20" spans="1:5" ht="15.75">
      <c r="B20" s="3175"/>
      <c r="C20" s="1392" t="s">
        <v>923</v>
      </c>
      <c r="D20" s="797" t="e">
        <f>NUMBERSTRING(INT(D19*10000),2)&amp;"元整"</f>
        <v>#VALUE!</v>
      </c>
    </row>
    <row r="21" spans="1:5" ht="15.75" thickBot="1">
      <c r="B21" s="317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87" t="s">
        <v>2606</v>
      </c>
      <c r="B20" s="3482" t="s">
        <v>2627</v>
      </c>
      <c r="C20" s="2841" t="s">
        <v>2438</v>
      </c>
      <c r="D20" s="2842"/>
      <c r="E20" s="2843">
        <v>1</v>
      </c>
      <c r="F20" s="2844" t="s">
        <v>2439</v>
      </c>
      <c r="G20" s="2844"/>
    </row>
    <row r="21" spans="1:13" ht="19.5" customHeight="1">
      <c r="A21" s="3488"/>
      <c r="B21" s="3481"/>
      <c r="C21" s="2845" t="s">
        <v>2440</v>
      </c>
      <c r="D21" s="2846"/>
      <c r="E21" s="2847">
        <v>1</v>
      </c>
      <c r="F21" s="2844" t="s">
        <v>2441</v>
      </c>
      <c r="G21" s="2844"/>
    </row>
    <row r="22" spans="1:13" ht="19.5" customHeight="1">
      <c r="A22" s="3488"/>
      <c r="B22" s="3481"/>
      <c r="C22" s="2845" t="s">
        <v>2442</v>
      </c>
      <c r="D22" s="2846"/>
      <c r="E22" s="2847">
        <v>0.9</v>
      </c>
      <c r="F22" s="2844" t="s">
        <v>2443</v>
      </c>
      <c r="G22" s="2844"/>
    </row>
    <row r="23" spans="1:13" ht="19.5" customHeight="1">
      <c r="A23" s="3488"/>
      <c r="B23" s="3481"/>
      <c r="C23" s="2845" t="s">
        <v>2444</v>
      </c>
      <c r="D23" s="2846"/>
      <c r="E23" s="2847">
        <v>0.9</v>
      </c>
      <c r="F23" s="2844" t="s">
        <v>2445</v>
      </c>
      <c r="G23" s="2844"/>
    </row>
    <row r="24" spans="1:13" ht="19.5" customHeight="1">
      <c r="A24" s="3488"/>
      <c r="B24" s="3481"/>
      <c r="C24" s="2845" t="s">
        <v>2446</v>
      </c>
      <c r="D24" s="2846"/>
      <c r="E24" s="2847">
        <v>0.8</v>
      </c>
      <c r="F24" s="2844" t="s">
        <v>2447</v>
      </c>
      <c r="G24" s="2844"/>
    </row>
    <row r="25" spans="1:13" ht="19.5" customHeight="1" thickBot="1">
      <c r="A25" s="3489"/>
      <c r="B25" s="3483"/>
      <c r="C25" s="2848" t="s">
        <v>2448</v>
      </c>
      <c r="D25" s="2849"/>
      <c r="E25" s="2850">
        <v>0.8</v>
      </c>
      <c r="F25" s="2844" t="s">
        <v>2449</v>
      </c>
      <c r="G25" s="2844"/>
    </row>
    <row r="26" spans="1:13" ht="19.5" customHeight="1" thickBot="1">
      <c r="A26" s="2851" t="s">
        <v>2628</v>
      </c>
      <c r="B26" s="2852" t="s">
        <v>2627</v>
      </c>
      <c r="C26" s="2853" t="s">
        <v>2629</v>
      </c>
      <c r="D26" s="2854"/>
      <c r="E26" s="2855">
        <v>1</v>
      </c>
      <c r="F26" s="2844" t="s">
        <v>2450</v>
      </c>
      <c r="G26" s="2844"/>
    </row>
    <row r="27" spans="1:13" ht="19.5" customHeight="1">
      <c r="A27" s="3484" t="s">
        <v>2630</v>
      </c>
      <c r="B27" s="3482" t="s">
        <v>2611</v>
      </c>
      <c r="C27" s="2841" t="s">
        <v>2451</v>
      </c>
      <c r="D27" s="2842"/>
      <c r="E27" s="2843">
        <v>1</v>
      </c>
      <c r="F27" s="2844" t="s">
        <v>2452</v>
      </c>
      <c r="G27" s="2844"/>
    </row>
    <row r="28" spans="1:13" ht="19.5" customHeight="1">
      <c r="A28" s="3485"/>
      <c r="B28" s="3481"/>
      <c r="C28" s="2845" t="s">
        <v>2453</v>
      </c>
      <c r="D28" s="2846"/>
      <c r="E28" s="2847">
        <v>1</v>
      </c>
      <c r="F28" s="2844" t="s">
        <v>2454</v>
      </c>
      <c r="G28" s="2844"/>
    </row>
    <row r="29" spans="1:13" ht="19.5" customHeight="1">
      <c r="A29" s="3485"/>
      <c r="B29" s="3481"/>
      <c r="C29" s="2845" t="s">
        <v>2455</v>
      </c>
      <c r="D29" s="2846"/>
      <c r="E29" s="2847">
        <v>0.8</v>
      </c>
      <c r="F29" s="2844" t="s">
        <v>2456</v>
      </c>
      <c r="G29" s="2844"/>
    </row>
    <row r="30" spans="1:13" ht="19.5" customHeight="1">
      <c r="A30" s="3485"/>
      <c r="B30" s="3481"/>
      <c r="C30" s="2845" t="s">
        <v>2457</v>
      </c>
      <c r="D30" s="2846"/>
      <c r="E30" s="2847">
        <v>0.8</v>
      </c>
      <c r="F30" s="2844" t="s">
        <v>2458</v>
      </c>
      <c r="G30" s="2844"/>
    </row>
    <row r="31" spans="1:13" ht="19.5" customHeight="1">
      <c r="A31" s="3485"/>
      <c r="B31" s="3481"/>
      <c r="C31" s="2845" t="s">
        <v>2459</v>
      </c>
      <c r="D31" s="2846"/>
      <c r="E31" s="2847">
        <v>0.8</v>
      </c>
      <c r="F31" s="2844" t="s">
        <v>2460</v>
      </c>
      <c r="G31" s="2844"/>
    </row>
    <row r="32" spans="1:13" ht="19.5" customHeight="1">
      <c r="A32" s="3485"/>
      <c r="B32" s="3481"/>
      <c r="C32" s="2845" t="s">
        <v>2461</v>
      </c>
      <c r="D32" s="2846"/>
      <c r="E32" s="2847">
        <v>0.7</v>
      </c>
      <c r="F32" s="2844" t="s">
        <v>2462</v>
      </c>
      <c r="G32" s="2844"/>
    </row>
    <row r="33" spans="1:7" ht="19.5" customHeight="1">
      <c r="A33" s="3485"/>
      <c r="B33" s="3481"/>
      <c r="C33" s="2845" t="s">
        <v>2463</v>
      </c>
      <c r="D33" s="2846"/>
      <c r="E33" s="2847">
        <v>0.8</v>
      </c>
      <c r="F33" s="2844" t="s">
        <v>2464</v>
      </c>
      <c r="G33" s="2844"/>
    </row>
    <row r="34" spans="1:7" ht="19.5" customHeight="1">
      <c r="A34" s="3485"/>
      <c r="B34" s="3481"/>
      <c r="C34" s="2845" t="s">
        <v>2465</v>
      </c>
      <c r="D34" s="2846"/>
      <c r="E34" s="2847">
        <v>0.6</v>
      </c>
      <c r="F34" s="2844" t="s">
        <v>2466</v>
      </c>
      <c r="G34" s="2844"/>
    </row>
    <row r="35" spans="1:7" ht="19.5" customHeight="1">
      <c r="A35" s="3485"/>
      <c r="B35" s="3481"/>
      <c r="C35" s="2845" t="s">
        <v>2467</v>
      </c>
      <c r="D35" s="2846"/>
      <c r="E35" s="2847">
        <v>0.2</v>
      </c>
      <c r="F35" s="2844" t="s">
        <v>2468</v>
      </c>
      <c r="G35" s="2844"/>
    </row>
    <row r="36" spans="1:7" ht="19.5" customHeight="1">
      <c r="A36" s="3485"/>
      <c r="B36" s="3481"/>
      <c r="C36" s="2845" t="s">
        <v>2469</v>
      </c>
      <c r="D36" s="2846"/>
      <c r="E36" s="2847">
        <v>0.2</v>
      </c>
      <c r="F36" s="2844" t="s">
        <v>2470</v>
      </c>
      <c r="G36" s="2844"/>
    </row>
    <row r="37" spans="1:7" ht="19.5" customHeight="1">
      <c r="A37" s="3485"/>
      <c r="B37" s="3479" t="s">
        <v>2631</v>
      </c>
      <c r="C37" s="2845" t="s">
        <v>2471</v>
      </c>
      <c r="D37" s="2846"/>
      <c r="E37" s="2847">
        <v>0.6</v>
      </c>
      <c r="F37" s="2844" t="s">
        <v>2472</v>
      </c>
      <c r="G37" s="2844"/>
    </row>
    <row r="38" spans="1:7" ht="19.5" customHeight="1">
      <c r="A38" s="3485"/>
      <c r="B38" s="3481"/>
      <c r="C38" s="2845" t="s">
        <v>2473</v>
      </c>
      <c r="D38" s="2846"/>
      <c r="E38" s="2847">
        <v>0.6</v>
      </c>
      <c r="F38" s="2844" t="s">
        <v>2474</v>
      </c>
      <c r="G38" s="2844"/>
    </row>
    <row r="39" spans="1:7" ht="19.5" customHeight="1" thickBot="1">
      <c r="A39" s="3486"/>
      <c r="B39" s="3483"/>
      <c r="C39" s="2848" t="s">
        <v>2475</v>
      </c>
      <c r="D39" s="2849"/>
      <c r="E39" s="2850">
        <v>0.6</v>
      </c>
      <c r="F39" s="2844" t="s">
        <v>2476</v>
      </c>
      <c r="G39" s="2844"/>
    </row>
    <row r="40" spans="1:7" ht="19.5" customHeight="1" thickBot="1">
      <c r="A40" s="2851" t="s">
        <v>2608</v>
      </c>
      <c r="B40" s="2852" t="s">
        <v>2608</v>
      </c>
      <c r="C40" s="2853" t="s">
        <v>2632</v>
      </c>
      <c r="D40" s="2854"/>
      <c r="E40" s="2855">
        <v>1</v>
      </c>
      <c r="F40" s="2844" t="s">
        <v>2477</v>
      </c>
      <c r="G40" s="2844"/>
    </row>
    <row r="41" spans="1:7" ht="19.5" customHeight="1">
      <c r="A41" s="3487" t="s">
        <v>2609</v>
      </c>
      <c r="B41" s="3482" t="s">
        <v>2633</v>
      </c>
      <c r="C41" s="2841" t="s">
        <v>2478</v>
      </c>
      <c r="D41" s="2842"/>
      <c r="E41" s="2843">
        <v>1</v>
      </c>
      <c r="F41" s="2844" t="s">
        <v>2479</v>
      </c>
      <c r="G41" s="2844"/>
    </row>
    <row r="42" spans="1:7" ht="19.5" customHeight="1">
      <c r="A42" s="3488"/>
      <c r="B42" s="3481"/>
      <c r="C42" s="2845" t="s">
        <v>2480</v>
      </c>
      <c r="D42" s="2846"/>
      <c r="E42" s="2847">
        <v>1</v>
      </c>
      <c r="F42" s="2844" t="s">
        <v>2481</v>
      </c>
      <c r="G42" s="2844"/>
    </row>
    <row r="43" spans="1:7" ht="19.5" customHeight="1">
      <c r="A43" s="3488"/>
      <c r="B43" s="3480"/>
      <c r="C43" s="2845" t="s">
        <v>2482</v>
      </c>
      <c r="D43" s="2846"/>
      <c r="E43" s="2847">
        <v>1.5</v>
      </c>
      <c r="F43" s="2844" t="s">
        <v>2483</v>
      </c>
      <c r="G43" s="2844"/>
    </row>
    <row r="44" spans="1:7" ht="19.5" customHeight="1">
      <c r="A44" s="3488"/>
      <c r="B44" s="2856" t="s">
        <v>2634</v>
      </c>
      <c r="C44" s="2845" t="s">
        <v>2635</v>
      </c>
      <c r="D44" s="2846"/>
      <c r="E44" s="2847">
        <v>2</v>
      </c>
      <c r="F44" s="2844" t="s">
        <v>2484</v>
      </c>
      <c r="G44" s="2844"/>
    </row>
    <row r="45" spans="1:7" ht="19.5" customHeight="1">
      <c r="A45" s="3488"/>
      <c r="B45" s="3479" t="s">
        <v>2636</v>
      </c>
      <c r="C45" s="2845" t="s">
        <v>2485</v>
      </c>
      <c r="D45" s="2846"/>
      <c r="E45" s="2847">
        <v>1</v>
      </c>
      <c r="F45" s="2844" t="s">
        <v>2486</v>
      </c>
      <c r="G45" s="2844"/>
    </row>
    <row r="46" spans="1:7" ht="19.5" customHeight="1">
      <c r="A46" s="3488"/>
      <c r="B46" s="3481"/>
      <c r="C46" s="2845" t="s">
        <v>2487</v>
      </c>
      <c r="D46" s="2846"/>
      <c r="E46" s="2847">
        <v>1</v>
      </c>
      <c r="F46" s="2844" t="s">
        <v>2488</v>
      </c>
      <c r="G46" s="2844"/>
    </row>
    <row r="47" spans="1:7" ht="19.5" customHeight="1">
      <c r="A47" s="3488"/>
      <c r="B47" s="3481"/>
      <c r="C47" s="2845" t="s">
        <v>2489</v>
      </c>
      <c r="D47" s="2846"/>
      <c r="E47" s="2847">
        <v>1</v>
      </c>
      <c r="F47" s="2844" t="s">
        <v>2490</v>
      </c>
      <c r="G47" s="2844"/>
    </row>
    <row r="48" spans="1:7" ht="19.5" customHeight="1">
      <c r="A48" s="3488"/>
      <c r="B48" s="3481"/>
      <c r="C48" s="2845" t="s">
        <v>2491</v>
      </c>
      <c r="D48" s="2846"/>
      <c r="E48" s="2847">
        <v>1</v>
      </c>
      <c r="F48" s="2844" t="s">
        <v>2492</v>
      </c>
      <c r="G48" s="2844"/>
    </row>
    <row r="49" spans="1:7" ht="19.5" customHeight="1">
      <c r="A49" s="3488"/>
      <c r="B49" s="3481"/>
      <c r="C49" s="2845" t="s">
        <v>2493</v>
      </c>
      <c r="D49" s="2846"/>
      <c r="E49" s="2847">
        <v>1</v>
      </c>
      <c r="F49" s="2844" t="s">
        <v>2494</v>
      </c>
      <c r="G49" s="2844"/>
    </row>
    <row r="50" spans="1:7" ht="19.5" customHeight="1">
      <c r="A50" s="3488"/>
      <c r="B50" s="3481"/>
      <c r="C50" s="2845" t="s">
        <v>2495</v>
      </c>
      <c r="D50" s="2846"/>
      <c r="E50" s="2847">
        <v>1</v>
      </c>
      <c r="F50" s="2844" t="s">
        <v>2496</v>
      </c>
      <c r="G50" s="2844"/>
    </row>
    <row r="51" spans="1:7" ht="19.5" customHeight="1" thickBot="1">
      <c r="A51" s="3489"/>
      <c r="B51" s="3483"/>
      <c r="C51" s="2848" t="s">
        <v>2497</v>
      </c>
      <c r="D51" s="2849"/>
      <c r="E51" s="2850">
        <v>1</v>
      </c>
      <c r="F51" s="2844" t="s">
        <v>2498</v>
      </c>
      <c r="G51" s="2844"/>
    </row>
    <row r="52" spans="1:7" ht="19.5" customHeight="1">
      <c r="A52" s="2857"/>
      <c r="B52" s="2857"/>
      <c r="C52" s="2857"/>
      <c r="D52" s="2857"/>
      <c r="E52" s="2857"/>
      <c r="F52" s="2857"/>
      <c r="G52" s="2857"/>
    </row>
    <row r="54" spans="1:7" ht="19.5" customHeight="1">
      <c r="A54" s="2858"/>
      <c r="B54" s="2830" t="s">
        <v>2637</v>
      </c>
      <c r="C54" s="2830" t="s">
        <v>2637</v>
      </c>
      <c r="D54" s="2830" t="s">
        <v>2637</v>
      </c>
      <c r="E54" s="2833" t="s">
        <v>2637</v>
      </c>
      <c r="F54" s="2833" t="s">
        <v>2638</v>
      </c>
      <c r="G54" s="2833" t="s">
        <v>2639</v>
      </c>
    </row>
    <row r="55" spans="1:7" ht="19.5" customHeight="1">
      <c r="A55" s="2859"/>
      <c r="B55" s="2833" t="s">
        <v>2606</v>
      </c>
      <c r="C55" s="2833" t="s">
        <v>2606</v>
      </c>
      <c r="D55" s="2833" t="s">
        <v>2606</v>
      </c>
      <c r="E55" s="2830" t="s">
        <v>2607</v>
      </c>
      <c r="F55" s="2830" t="s">
        <v>2609</v>
      </c>
      <c r="G55" s="2830" t="s">
        <v>2640</v>
      </c>
    </row>
    <row r="56" spans="1:7" ht="19.5" customHeight="1">
      <c r="A56" s="2860"/>
      <c r="B56" s="2830">
        <v>1</v>
      </c>
      <c r="C56" s="2830">
        <v>2</v>
      </c>
      <c r="D56" s="2830">
        <v>3</v>
      </c>
      <c r="E56" s="2861" t="s">
        <v>2641</v>
      </c>
      <c r="F56" s="2861" t="s">
        <v>2641</v>
      </c>
      <c r="G56" s="2861" t="s">
        <v>2641</v>
      </c>
    </row>
    <row r="57" spans="1:7" ht="19.5" customHeight="1">
      <c r="A57" s="2862" t="s">
        <v>2594</v>
      </c>
      <c r="B57" s="2830">
        <v>0.7</v>
      </c>
      <c r="C57" s="2830">
        <v>0.4</v>
      </c>
      <c r="D57" s="2830">
        <v>0.3</v>
      </c>
      <c r="E57" s="2861">
        <v>0.3</v>
      </c>
      <c r="F57" s="2830">
        <v>0.3</v>
      </c>
      <c r="G57" s="2830">
        <v>0.2</v>
      </c>
    </row>
    <row r="58" spans="1:7" ht="19.5" customHeight="1">
      <c r="A58" s="2862" t="s">
        <v>2595</v>
      </c>
      <c r="B58" s="2830">
        <v>0.7</v>
      </c>
      <c r="C58" s="2830">
        <v>0.4</v>
      </c>
      <c r="D58" s="2830">
        <v>0.3</v>
      </c>
      <c r="E58" s="2830">
        <v>0.3</v>
      </c>
      <c r="F58" s="2830">
        <v>0.3</v>
      </c>
      <c r="G58" s="2830">
        <v>0.2</v>
      </c>
    </row>
    <row r="59" spans="1:7" ht="19.5" customHeight="1">
      <c r="A59" s="2862" t="s">
        <v>2596</v>
      </c>
      <c r="B59" s="2830">
        <v>0.6</v>
      </c>
      <c r="C59" s="2830">
        <v>0.3</v>
      </c>
      <c r="D59" s="2830">
        <v>0.25</v>
      </c>
      <c r="E59" s="2830">
        <v>0.25</v>
      </c>
      <c r="F59" s="2830">
        <v>0.25</v>
      </c>
      <c r="G59" s="2830">
        <v>0.15</v>
      </c>
    </row>
    <row r="60" spans="1:7" ht="19.5" customHeight="1">
      <c r="A60" s="2862" t="s">
        <v>2597</v>
      </c>
      <c r="B60" s="2830">
        <v>0.6</v>
      </c>
      <c r="C60" s="2830">
        <v>0.3</v>
      </c>
      <c r="D60" s="2830">
        <v>0.25</v>
      </c>
      <c r="E60" s="2830">
        <v>0.25</v>
      </c>
      <c r="F60" s="2830">
        <v>0.25</v>
      </c>
      <c r="G60" s="2830">
        <v>0.15</v>
      </c>
    </row>
    <row r="61" spans="1:7" ht="19.5" customHeight="1">
      <c r="A61" s="2862" t="s">
        <v>2598</v>
      </c>
      <c r="B61" s="2830">
        <v>0.6</v>
      </c>
      <c r="C61" s="2830">
        <v>0.3</v>
      </c>
      <c r="D61" s="2830">
        <v>0.25</v>
      </c>
      <c r="E61" s="2830">
        <v>0.25</v>
      </c>
      <c r="F61" s="2830">
        <v>0.25</v>
      </c>
      <c r="G61" s="2830">
        <v>0.15</v>
      </c>
    </row>
    <row r="62" spans="1:7" ht="19.5" customHeight="1">
      <c r="A62" s="2862" t="s">
        <v>2599</v>
      </c>
      <c r="B62" s="2830">
        <v>0.6</v>
      </c>
      <c r="C62" s="2830">
        <v>0.3</v>
      </c>
      <c r="D62" s="2830">
        <v>0.25</v>
      </c>
      <c r="E62" s="2830">
        <v>0.25</v>
      </c>
      <c r="F62" s="2830">
        <v>0.25</v>
      </c>
      <c r="G62" s="2830">
        <v>0.15</v>
      </c>
    </row>
    <row r="63" spans="1:7" ht="19.5" customHeight="1">
      <c r="A63" s="2862" t="s">
        <v>2600</v>
      </c>
      <c r="B63" s="2830">
        <v>0.6</v>
      </c>
      <c r="C63" s="2830">
        <v>0.3</v>
      </c>
      <c r="D63" s="2830">
        <v>0.25</v>
      </c>
      <c r="E63" s="2830">
        <v>0.25</v>
      </c>
      <c r="F63" s="2830">
        <v>0.25</v>
      </c>
      <c r="G63" s="2830">
        <v>0.15</v>
      </c>
    </row>
    <row r="64" spans="1:7" ht="19.5" customHeight="1">
      <c r="A64" s="2862" t="s">
        <v>2601</v>
      </c>
      <c r="B64" s="2830">
        <v>0.5</v>
      </c>
      <c r="C64" s="2830">
        <v>0.2</v>
      </c>
      <c r="D64" s="2830">
        <v>0.2</v>
      </c>
      <c r="E64" s="2830">
        <v>0.2</v>
      </c>
      <c r="F64" s="2830">
        <v>0.2</v>
      </c>
      <c r="G64" s="2830">
        <v>0.1</v>
      </c>
    </row>
    <row r="65" spans="1:7" ht="19.5" customHeight="1">
      <c r="A65" s="2862" t="s">
        <v>2602</v>
      </c>
      <c r="B65" s="2830">
        <v>0.5</v>
      </c>
      <c r="C65" s="2830">
        <v>0.2</v>
      </c>
      <c r="D65" s="2830">
        <v>0.2</v>
      </c>
      <c r="E65" s="2830">
        <v>0.2</v>
      </c>
      <c r="F65" s="2830">
        <v>0.2</v>
      </c>
      <c r="G65" s="2830">
        <v>0.1</v>
      </c>
    </row>
    <row r="66" spans="1:7" ht="19.5" customHeight="1">
      <c r="A66" s="2862" t="s">
        <v>2603</v>
      </c>
      <c r="B66" s="2830">
        <v>0.5</v>
      </c>
      <c r="C66" s="2830">
        <v>0.2</v>
      </c>
      <c r="D66" s="2830">
        <v>0.2</v>
      </c>
      <c r="E66" s="2830">
        <v>0.2</v>
      </c>
      <c r="F66" s="2830">
        <v>0.2</v>
      </c>
      <c r="G66" s="2830">
        <v>0.1</v>
      </c>
    </row>
    <row r="67" spans="1:7" ht="19.5" customHeight="1">
      <c r="A67" s="2862" t="s">
        <v>2604</v>
      </c>
      <c r="B67" s="2830">
        <v>0.5</v>
      </c>
      <c r="C67" s="2830">
        <v>0.2</v>
      </c>
      <c r="D67" s="2830">
        <v>0.2</v>
      </c>
      <c r="E67" s="2830">
        <v>0.2</v>
      </c>
      <c r="F67" s="2830">
        <v>0.2</v>
      </c>
      <c r="G67" s="2830">
        <v>0.1</v>
      </c>
    </row>
    <row r="68" spans="1:7" ht="19.5" customHeight="1">
      <c r="A68" s="2862" t="s">
        <v>2605</v>
      </c>
      <c r="B68" s="2830">
        <v>0.5</v>
      </c>
      <c r="C68" s="2830">
        <v>0.2</v>
      </c>
      <c r="D68" s="2830">
        <v>0.2</v>
      </c>
      <c r="E68" s="2830">
        <v>0.2</v>
      </c>
      <c r="F68" s="2830">
        <v>0.2</v>
      </c>
      <c r="G68" s="2830">
        <v>0.1</v>
      </c>
    </row>
    <row r="70" spans="1:7" ht="19.5" customHeight="1">
      <c r="A70" s="2844"/>
      <c r="B70" s="2863"/>
      <c r="C70" s="2863"/>
      <c r="D70" s="2863" t="s">
        <v>2642</v>
      </c>
      <c r="E70" s="2863"/>
      <c r="F70" s="2863"/>
    </row>
    <row r="71" spans="1:7" ht="19.5" customHeight="1">
      <c r="A71" s="2856" t="s">
        <v>2643</v>
      </c>
      <c r="B71" s="2856" t="s">
        <v>2644</v>
      </c>
      <c r="C71" s="2856" t="s">
        <v>2645</v>
      </c>
      <c r="D71" s="2856" t="s">
        <v>2646</v>
      </c>
      <c r="E71" s="2856" t="s">
        <v>2647</v>
      </c>
      <c r="F71" s="2856" t="s">
        <v>2648</v>
      </c>
    </row>
    <row r="72" spans="1:7" ht="13.5">
      <c r="A72" s="2856"/>
      <c r="B72" s="2856"/>
      <c r="C72" s="2856" t="s">
        <v>2649</v>
      </c>
      <c r="D72" s="2856"/>
      <c r="E72" s="2856" t="s">
        <v>2620</v>
      </c>
      <c r="F72" s="2856" t="s">
        <v>2620</v>
      </c>
    </row>
    <row r="73" spans="1:7" ht="13.5">
      <c r="A73" s="2856">
        <v>1</v>
      </c>
      <c r="B73" s="3479" t="s">
        <v>2650</v>
      </c>
      <c r="C73" s="2830" t="s">
        <v>2651</v>
      </c>
      <c r="D73" s="2830" t="s">
        <v>2652</v>
      </c>
      <c r="E73" s="2856">
        <v>0.2</v>
      </c>
      <c r="F73" s="2856">
        <v>25</v>
      </c>
    </row>
    <row r="74" spans="1:7" ht="24">
      <c r="A74" s="2856">
        <v>2</v>
      </c>
      <c r="B74" s="3481"/>
      <c r="C74" s="2830" t="s">
        <v>2653</v>
      </c>
      <c r="D74" s="2830" t="s">
        <v>2654</v>
      </c>
      <c r="E74" s="2856">
        <v>0.2</v>
      </c>
      <c r="F74" s="2856">
        <v>25</v>
      </c>
    </row>
    <row r="75" spans="1:7" ht="24">
      <c r="A75" s="2856">
        <v>3</v>
      </c>
      <c r="B75" s="3481"/>
      <c r="C75" s="2830" t="s">
        <v>2655</v>
      </c>
      <c r="D75" s="2830" t="s">
        <v>2656</v>
      </c>
      <c r="E75" s="2856">
        <v>0.2</v>
      </c>
      <c r="F75" s="2856">
        <v>25</v>
      </c>
    </row>
    <row r="76" spans="1:7" ht="13.5">
      <c r="A76" s="2856">
        <v>4</v>
      </c>
      <c r="B76" s="3481"/>
      <c r="C76" s="2830" t="s">
        <v>2657</v>
      </c>
      <c r="D76" s="2830" t="s">
        <v>2658</v>
      </c>
      <c r="E76" s="2856">
        <v>0.15</v>
      </c>
      <c r="F76" s="2856">
        <v>20</v>
      </c>
    </row>
    <row r="77" spans="1:7" ht="24">
      <c r="A77" s="2856">
        <v>5</v>
      </c>
      <c r="B77" s="3481"/>
      <c r="C77" s="2830" t="s">
        <v>2659</v>
      </c>
      <c r="D77" s="2830" t="s">
        <v>2660</v>
      </c>
      <c r="E77" s="2856">
        <v>0.15</v>
      </c>
      <c r="F77" s="2856">
        <v>20</v>
      </c>
    </row>
    <row r="78" spans="1:7" ht="24">
      <c r="A78" s="2856">
        <v>6</v>
      </c>
      <c r="B78" s="3481"/>
      <c r="C78" s="2830" t="s">
        <v>2661</v>
      </c>
      <c r="D78" s="2830" t="s">
        <v>2662</v>
      </c>
      <c r="E78" s="2856">
        <v>0.15</v>
      </c>
      <c r="F78" s="2856">
        <v>20</v>
      </c>
    </row>
    <row r="79" spans="1:7" ht="24">
      <c r="A79" s="2856">
        <v>7</v>
      </c>
      <c r="B79" s="3481"/>
      <c r="C79" s="2830" t="s">
        <v>2663</v>
      </c>
      <c r="D79" s="2830" t="s">
        <v>2664</v>
      </c>
      <c r="E79" s="2856">
        <v>0.15</v>
      </c>
      <c r="F79" s="2856">
        <v>20</v>
      </c>
    </row>
    <row r="80" spans="1:7" ht="24">
      <c r="A80" s="2856">
        <v>8</v>
      </c>
      <c r="B80" s="3481"/>
      <c r="C80" s="2830" t="s">
        <v>2665</v>
      </c>
      <c r="D80" s="2830" t="s">
        <v>2666</v>
      </c>
      <c r="E80" s="2856">
        <v>0.1</v>
      </c>
      <c r="F80" s="2856">
        <v>15</v>
      </c>
    </row>
    <row r="81" spans="1:6" ht="24">
      <c r="A81" s="2856">
        <v>9</v>
      </c>
      <c r="B81" s="3481"/>
      <c r="C81" s="2830" t="s">
        <v>2667</v>
      </c>
      <c r="D81" s="2830" t="s">
        <v>2668</v>
      </c>
      <c r="E81" s="2856">
        <v>0.1</v>
      </c>
      <c r="F81" s="2856">
        <v>15</v>
      </c>
    </row>
    <row r="82" spans="1:6" ht="24">
      <c r="A82" s="2856">
        <v>10</v>
      </c>
      <c r="B82" s="3481"/>
      <c r="C82" s="2830" t="s">
        <v>2669</v>
      </c>
      <c r="D82" s="2830" t="s">
        <v>2670</v>
      </c>
      <c r="E82" s="2856">
        <v>0.1</v>
      </c>
      <c r="F82" s="2856">
        <v>15</v>
      </c>
    </row>
    <row r="83" spans="1:6" ht="24">
      <c r="A83" s="2856">
        <v>11</v>
      </c>
      <c r="B83" s="3481"/>
      <c r="C83" s="2830" t="s">
        <v>2671</v>
      </c>
      <c r="D83" s="2830" t="s">
        <v>2672</v>
      </c>
      <c r="E83" s="2856">
        <v>0.1</v>
      </c>
      <c r="F83" s="2856">
        <v>15</v>
      </c>
    </row>
    <row r="84" spans="1:6" ht="24">
      <c r="A84" s="2856">
        <v>12</v>
      </c>
      <c r="B84" s="3481"/>
      <c r="C84" s="2830" t="s">
        <v>2673</v>
      </c>
      <c r="D84" s="2830" t="s">
        <v>2674</v>
      </c>
      <c r="E84" s="2856">
        <v>0.1</v>
      </c>
      <c r="F84" s="2856">
        <v>15</v>
      </c>
    </row>
    <row r="85" spans="1:6" ht="13.5">
      <c r="A85" s="2856">
        <v>13</v>
      </c>
      <c r="B85" s="3481"/>
      <c r="C85" s="2830" t="s">
        <v>2675</v>
      </c>
      <c r="D85" s="2830" t="s">
        <v>2676</v>
      </c>
      <c r="E85" s="2856">
        <v>0.1</v>
      </c>
      <c r="F85" s="2856">
        <v>15</v>
      </c>
    </row>
    <row r="86" spans="1:6" ht="13.5">
      <c r="A86" s="2856">
        <v>14</v>
      </c>
      <c r="B86" s="3481"/>
      <c r="C86" s="2830" t="s">
        <v>2677</v>
      </c>
      <c r="D86" s="2830" t="s">
        <v>2678</v>
      </c>
      <c r="E86" s="2856">
        <v>0.1</v>
      </c>
      <c r="F86" s="2856">
        <v>15</v>
      </c>
    </row>
    <row r="87" spans="1:6" ht="13.5">
      <c r="A87" s="2856">
        <v>15</v>
      </c>
      <c r="B87" s="3481"/>
      <c r="C87" s="2830" t="s">
        <v>2679</v>
      </c>
      <c r="D87" s="2830" t="s">
        <v>2680</v>
      </c>
      <c r="E87" s="2856">
        <v>0.1</v>
      </c>
      <c r="F87" s="2856">
        <v>15</v>
      </c>
    </row>
    <row r="88" spans="1:6" ht="24">
      <c r="A88" s="2856">
        <v>16</v>
      </c>
      <c r="B88" s="3481"/>
      <c r="C88" s="2830" t="s">
        <v>2681</v>
      </c>
      <c r="D88" s="2830" t="s">
        <v>2682</v>
      </c>
      <c r="E88" s="2856">
        <v>0.1</v>
      </c>
      <c r="F88" s="2856">
        <v>15</v>
      </c>
    </row>
    <row r="89" spans="1:6" ht="24">
      <c r="A89" s="2856">
        <v>17</v>
      </c>
      <c r="B89" s="3480"/>
      <c r="C89" s="2830" t="s">
        <v>2683</v>
      </c>
      <c r="D89" s="2830" t="s">
        <v>2684</v>
      </c>
      <c r="E89" s="2856">
        <v>0.1</v>
      </c>
      <c r="F89" s="2856">
        <v>15</v>
      </c>
    </row>
    <row r="90" spans="1:6" ht="13.5">
      <c r="A90" s="2856">
        <v>18</v>
      </c>
      <c r="B90" s="3479" t="s">
        <v>2685</v>
      </c>
      <c r="C90" s="2830" t="s">
        <v>2686</v>
      </c>
      <c r="D90" s="2830" t="s">
        <v>2687</v>
      </c>
      <c r="E90" s="2856">
        <v>0.2</v>
      </c>
      <c r="F90" s="2856">
        <v>25</v>
      </c>
    </row>
    <row r="91" spans="1:6" ht="24">
      <c r="A91" s="2856">
        <v>19</v>
      </c>
      <c r="B91" s="3481"/>
      <c r="C91" s="2830" t="s">
        <v>2688</v>
      </c>
      <c r="D91" s="2830" t="s">
        <v>2689</v>
      </c>
      <c r="E91" s="2856">
        <v>0.2</v>
      </c>
      <c r="F91" s="2856">
        <v>25</v>
      </c>
    </row>
    <row r="92" spans="1:6" ht="13.5">
      <c r="A92" s="2856">
        <v>20</v>
      </c>
      <c r="B92" s="3481"/>
      <c r="C92" s="2830" t="s">
        <v>2690</v>
      </c>
      <c r="D92" s="2830" t="s">
        <v>2691</v>
      </c>
      <c r="E92" s="2856">
        <v>0.15</v>
      </c>
      <c r="F92" s="2856">
        <v>20</v>
      </c>
    </row>
    <row r="93" spans="1:6" ht="13.5">
      <c r="A93" s="2856">
        <v>21</v>
      </c>
      <c r="B93" s="3481"/>
      <c r="C93" s="2830" t="s">
        <v>2692</v>
      </c>
      <c r="D93" s="2830" t="s">
        <v>2693</v>
      </c>
      <c r="E93" s="2856">
        <v>0.15</v>
      </c>
      <c r="F93" s="2856">
        <v>20</v>
      </c>
    </row>
    <row r="94" spans="1:6" ht="13.5">
      <c r="A94" s="2856">
        <v>22</v>
      </c>
      <c r="B94" s="3481"/>
      <c r="C94" s="2830" t="s">
        <v>2694</v>
      </c>
      <c r="D94" s="2830" t="s">
        <v>2695</v>
      </c>
      <c r="E94" s="2856">
        <v>0.15</v>
      </c>
      <c r="F94" s="2856">
        <v>20</v>
      </c>
    </row>
    <row r="95" spans="1:6" ht="36">
      <c r="A95" s="2856">
        <v>23</v>
      </c>
      <c r="B95" s="3481"/>
      <c r="C95" s="2830" t="s">
        <v>2696</v>
      </c>
      <c r="D95" s="2830" t="s">
        <v>2697</v>
      </c>
      <c r="E95" s="2856">
        <v>0.15</v>
      </c>
      <c r="F95" s="2856">
        <v>20</v>
      </c>
    </row>
    <row r="96" spans="1:6" ht="13.5">
      <c r="A96" s="2856">
        <v>24</v>
      </c>
      <c r="B96" s="3481"/>
      <c r="C96" s="2830" t="s">
        <v>2698</v>
      </c>
      <c r="D96" s="2830" t="s">
        <v>2699</v>
      </c>
      <c r="E96" s="2856">
        <v>0.1</v>
      </c>
      <c r="F96" s="2856">
        <v>15</v>
      </c>
    </row>
    <row r="97" spans="1:6" ht="13.5">
      <c r="A97" s="2856">
        <v>25</v>
      </c>
      <c r="B97" s="3481"/>
      <c r="C97" s="2830" t="s">
        <v>2700</v>
      </c>
      <c r="D97" s="2830" t="s">
        <v>2701</v>
      </c>
      <c r="E97" s="2856">
        <v>0.1</v>
      </c>
      <c r="F97" s="2856">
        <v>15</v>
      </c>
    </row>
    <row r="98" spans="1:6" ht="24">
      <c r="A98" s="2856">
        <v>26</v>
      </c>
      <c r="B98" s="3481"/>
      <c r="C98" s="2830" t="s">
        <v>2702</v>
      </c>
      <c r="D98" s="2830" t="s">
        <v>2703</v>
      </c>
      <c r="E98" s="2856">
        <v>0.1</v>
      </c>
      <c r="F98" s="2856">
        <v>15</v>
      </c>
    </row>
    <row r="99" spans="1:6" ht="24">
      <c r="A99" s="2856">
        <v>27</v>
      </c>
      <c r="B99" s="3481"/>
      <c r="C99" s="2830" t="s">
        <v>2704</v>
      </c>
      <c r="D99" s="2830" t="s">
        <v>2705</v>
      </c>
      <c r="E99" s="2856">
        <v>0.1</v>
      </c>
      <c r="F99" s="2856">
        <v>15</v>
      </c>
    </row>
    <row r="100" spans="1:6" ht="13.5">
      <c r="A100" s="2856">
        <v>28</v>
      </c>
      <c r="B100" s="3481"/>
      <c r="C100" s="2830" t="s">
        <v>2706</v>
      </c>
      <c r="D100" s="2830" t="s">
        <v>2707</v>
      </c>
      <c r="E100" s="2856">
        <v>0.1</v>
      </c>
      <c r="F100" s="2856">
        <v>15</v>
      </c>
    </row>
    <row r="101" spans="1:6" ht="13.5">
      <c r="A101" s="2856">
        <v>29</v>
      </c>
      <c r="B101" s="3481"/>
      <c r="C101" s="2830" t="s">
        <v>2708</v>
      </c>
      <c r="D101" s="2830" t="s">
        <v>2709</v>
      </c>
      <c r="E101" s="2856">
        <v>0.1</v>
      </c>
      <c r="F101" s="2856">
        <v>15</v>
      </c>
    </row>
    <row r="102" spans="1:6" ht="13.5">
      <c r="A102" s="2856">
        <v>30</v>
      </c>
      <c r="B102" s="3481"/>
      <c r="C102" s="2830" t="s">
        <v>2710</v>
      </c>
      <c r="D102" s="2830" t="s">
        <v>2711</v>
      </c>
      <c r="E102" s="2856">
        <v>0.1</v>
      </c>
      <c r="F102" s="2856">
        <v>15</v>
      </c>
    </row>
    <row r="103" spans="1:6" ht="24">
      <c r="A103" s="2856">
        <v>31</v>
      </c>
      <c r="B103" s="3481"/>
      <c r="C103" s="2830" t="s">
        <v>2712</v>
      </c>
      <c r="D103" s="2830" t="s">
        <v>2713</v>
      </c>
      <c r="E103" s="2856">
        <v>0.1</v>
      </c>
      <c r="F103" s="2856">
        <v>15</v>
      </c>
    </row>
    <row r="104" spans="1:6" ht="24">
      <c r="A104" s="2856">
        <v>32</v>
      </c>
      <c r="B104" s="3481"/>
      <c r="C104" s="2830" t="s">
        <v>2714</v>
      </c>
      <c r="D104" s="2830" t="s">
        <v>2715</v>
      </c>
      <c r="E104" s="2856">
        <v>0.1</v>
      </c>
      <c r="F104" s="2856">
        <v>15</v>
      </c>
    </row>
    <row r="105" spans="1:6" ht="24">
      <c r="A105" s="2856">
        <v>33</v>
      </c>
      <c r="B105" s="3481"/>
      <c r="C105" s="2830" t="s">
        <v>2716</v>
      </c>
      <c r="D105" s="2830" t="s">
        <v>2717</v>
      </c>
      <c r="E105" s="2856">
        <v>0.1</v>
      </c>
      <c r="F105" s="2856">
        <v>15</v>
      </c>
    </row>
    <row r="106" spans="1:6" ht="24">
      <c r="A106" s="2856">
        <v>34</v>
      </c>
      <c r="B106" s="3480"/>
      <c r="C106" s="2830" t="s">
        <v>2718</v>
      </c>
      <c r="D106" s="2830" t="s">
        <v>2719</v>
      </c>
      <c r="E106" s="2856">
        <v>0.1</v>
      </c>
      <c r="F106" s="2856">
        <v>15</v>
      </c>
    </row>
    <row r="107" spans="1:6" ht="24">
      <c r="A107" s="2856">
        <v>35</v>
      </c>
      <c r="B107" s="3479" t="s">
        <v>2720</v>
      </c>
      <c r="C107" s="2856" t="s">
        <v>2721</v>
      </c>
      <c r="D107" s="2830" t="s">
        <v>2722</v>
      </c>
      <c r="E107" s="2856">
        <v>0.15</v>
      </c>
      <c r="F107" s="2856">
        <v>20</v>
      </c>
    </row>
    <row r="108" spans="1:6" ht="13.5">
      <c r="A108" s="2856">
        <v>36</v>
      </c>
      <c r="B108" s="3481"/>
      <c r="C108" s="2856" t="s">
        <v>2723</v>
      </c>
      <c r="D108" s="2830" t="s">
        <v>2724</v>
      </c>
      <c r="E108" s="2856">
        <v>0.15</v>
      </c>
      <c r="F108" s="2856">
        <v>20</v>
      </c>
    </row>
    <row r="109" spans="1:6" ht="13.5">
      <c r="A109" s="2856">
        <v>37</v>
      </c>
      <c r="B109" s="3481"/>
      <c r="C109" s="2856" t="s">
        <v>2725</v>
      </c>
      <c r="D109" s="2830" t="s">
        <v>2726</v>
      </c>
      <c r="E109" s="2856">
        <v>0.15</v>
      </c>
      <c r="F109" s="2856">
        <v>20</v>
      </c>
    </row>
    <row r="110" spans="1:6" ht="13.5">
      <c r="A110" s="2856">
        <v>38</v>
      </c>
      <c r="B110" s="3481"/>
      <c r="C110" s="2856" t="s">
        <v>2727</v>
      </c>
      <c r="D110" s="2830" t="s">
        <v>2728</v>
      </c>
      <c r="E110" s="2856">
        <v>0.1</v>
      </c>
      <c r="F110" s="2856">
        <v>15</v>
      </c>
    </row>
    <row r="111" spans="1:6" ht="24">
      <c r="A111" s="2856">
        <v>39</v>
      </c>
      <c r="B111" s="3481"/>
      <c r="C111" s="2856" t="s">
        <v>2729</v>
      </c>
      <c r="D111" s="2830" t="s">
        <v>2730</v>
      </c>
      <c r="E111" s="2856">
        <v>0.1</v>
      </c>
      <c r="F111" s="2856">
        <v>15</v>
      </c>
    </row>
    <row r="112" spans="1:6" ht="24">
      <c r="A112" s="2856">
        <v>40</v>
      </c>
      <c r="B112" s="3480"/>
      <c r="C112" s="2856" t="s">
        <v>2731</v>
      </c>
      <c r="D112" s="2830" t="s">
        <v>2732</v>
      </c>
      <c r="E112" s="2856">
        <v>0.1</v>
      </c>
      <c r="F112" s="2856">
        <v>15</v>
      </c>
    </row>
    <row r="113" spans="1:6" ht="13.5">
      <c r="A113" s="2856">
        <v>41</v>
      </c>
      <c r="B113" s="3478" t="s">
        <v>2733</v>
      </c>
      <c r="C113" s="2856" t="s">
        <v>2734</v>
      </c>
      <c r="D113" s="2830" t="s">
        <v>2735</v>
      </c>
      <c r="E113" s="2856">
        <v>0.1</v>
      </c>
      <c r="F113" s="2856">
        <v>15</v>
      </c>
    </row>
    <row r="114" spans="1:6" ht="13.5">
      <c r="A114" s="2856">
        <v>42</v>
      </c>
      <c r="B114" s="3478"/>
      <c r="C114" s="2856" t="s">
        <v>2736</v>
      </c>
      <c r="D114" s="2830" t="s">
        <v>2737</v>
      </c>
      <c r="E114" s="2856">
        <v>0.1</v>
      </c>
      <c r="F114" s="2856">
        <v>15</v>
      </c>
    </row>
    <row r="115" spans="1:6" ht="24">
      <c r="A115" s="2856">
        <v>43</v>
      </c>
      <c r="B115" s="3478"/>
      <c r="C115" s="2856" t="s">
        <v>2738</v>
      </c>
      <c r="D115" s="2830" t="s">
        <v>2739</v>
      </c>
      <c r="E115" s="2856">
        <v>0.1</v>
      </c>
      <c r="F115" s="2856">
        <v>15</v>
      </c>
    </row>
    <row r="116" spans="1:6" ht="13.5">
      <c r="A116" s="2856">
        <v>44</v>
      </c>
      <c r="B116" s="3479" t="s">
        <v>2740</v>
      </c>
      <c r="C116" s="2856" t="s">
        <v>2741</v>
      </c>
      <c r="D116" s="2830" t="s">
        <v>2742</v>
      </c>
      <c r="E116" s="2856">
        <v>0.1</v>
      </c>
      <c r="F116" s="2856">
        <v>15</v>
      </c>
    </row>
    <row r="117" spans="1:6" ht="24">
      <c r="A117" s="2856">
        <v>45</v>
      </c>
      <c r="B117" s="3480"/>
      <c r="C117" s="2830" t="s">
        <v>2743</v>
      </c>
      <c r="D117" s="2830" t="s">
        <v>2744</v>
      </c>
      <c r="E117" s="2856">
        <v>0.1</v>
      </c>
      <c r="F117" s="2856">
        <v>15</v>
      </c>
    </row>
    <row r="118" spans="1:6" ht="24">
      <c r="A118" s="2856">
        <v>46</v>
      </c>
      <c r="B118" s="3479" t="s">
        <v>2745</v>
      </c>
      <c r="C118" s="2856" t="s">
        <v>2746</v>
      </c>
      <c r="D118" s="2830" t="s">
        <v>2747</v>
      </c>
      <c r="E118" s="2856">
        <v>0.1</v>
      </c>
      <c r="F118" s="2856">
        <v>15</v>
      </c>
    </row>
    <row r="119" spans="1:6" ht="24">
      <c r="A119" s="2856">
        <v>47</v>
      </c>
      <c r="B119" s="3480"/>
      <c r="C119" s="2856" t="s">
        <v>2748</v>
      </c>
      <c r="D119" s="2830" t="s">
        <v>2749</v>
      </c>
      <c r="E119" s="2856">
        <v>0.1</v>
      </c>
      <c r="F119" s="2856">
        <v>15</v>
      </c>
    </row>
    <row r="120" spans="1:6" ht="13.5">
      <c r="A120" s="2856">
        <v>48</v>
      </c>
      <c r="B120" s="3479" t="s">
        <v>2750</v>
      </c>
      <c r="C120" s="2856" t="s">
        <v>2751</v>
      </c>
      <c r="D120" s="2830" t="s">
        <v>2752</v>
      </c>
      <c r="E120" s="2856">
        <v>0.1</v>
      </c>
      <c r="F120" s="2856">
        <v>15</v>
      </c>
    </row>
    <row r="121" spans="1:6" ht="13.5">
      <c r="A121" s="2856">
        <v>49</v>
      </c>
      <c r="B121" s="3480"/>
      <c r="C121" s="2856" t="s">
        <v>2753</v>
      </c>
      <c r="D121" s="2830" t="s">
        <v>2754</v>
      </c>
      <c r="E121" s="2856">
        <v>0.1</v>
      </c>
      <c r="F121" s="2856">
        <v>15</v>
      </c>
    </row>
    <row r="122" spans="1:6" ht="24">
      <c r="A122" s="2856">
        <v>50</v>
      </c>
      <c r="B122" s="3478" t="s">
        <v>2755</v>
      </c>
      <c r="C122" s="2856" t="s">
        <v>2756</v>
      </c>
      <c r="D122" s="2830" t="s">
        <v>2757</v>
      </c>
      <c r="E122" s="2856">
        <v>0.1</v>
      </c>
      <c r="F122" s="2856">
        <v>15</v>
      </c>
    </row>
    <row r="123" spans="1:6" ht="24">
      <c r="A123" s="2856">
        <v>51</v>
      </c>
      <c r="B123" s="3478"/>
      <c r="C123" s="2856" t="s">
        <v>2758</v>
      </c>
      <c r="D123" s="2830" t="s">
        <v>2759</v>
      </c>
      <c r="E123" s="2856">
        <v>0.1</v>
      </c>
      <c r="F123" s="2856">
        <v>15</v>
      </c>
    </row>
    <row r="124" spans="1:6" ht="24">
      <c r="A124" s="2856">
        <v>52</v>
      </c>
      <c r="B124" s="3478" t="s">
        <v>2760</v>
      </c>
      <c r="C124" s="2856" t="s">
        <v>2761</v>
      </c>
      <c r="D124" s="2830" t="s">
        <v>2762</v>
      </c>
      <c r="E124" s="2856">
        <v>0.1</v>
      </c>
      <c r="F124" s="2856">
        <v>15</v>
      </c>
    </row>
    <row r="125" spans="1:6" ht="24">
      <c r="A125" s="2856">
        <v>53</v>
      </c>
      <c r="B125" s="3478"/>
      <c r="C125" s="2856" t="s">
        <v>2763</v>
      </c>
      <c r="D125" s="2830" t="s">
        <v>2764</v>
      </c>
      <c r="E125" s="2856">
        <v>0.1</v>
      </c>
      <c r="F125" s="2856">
        <v>15</v>
      </c>
    </row>
    <row r="126" spans="1:6" ht="13.5">
      <c r="A126" s="2856">
        <v>54</v>
      </c>
      <c r="B126" s="2856" t="s">
        <v>2765</v>
      </c>
      <c r="C126" s="2856" t="s">
        <v>2766</v>
      </c>
      <c r="D126" s="2830" t="s">
        <v>2767</v>
      </c>
      <c r="E126" s="2856">
        <v>0.1</v>
      </c>
      <c r="F126" s="2856">
        <v>15</v>
      </c>
    </row>
    <row r="127" spans="1:6" ht="13.5">
      <c r="A127" s="2856">
        <v>55</v>
      </c>
      <c r="B127" s="3478" t="s">
        <v>2768</v>
      </c>
      <c r="C127" s="2856" t="s">
        <v>2769</v>
      </c>
      <c r="D127" s="2830" t="s">
        <v>2770</v>
      </c>
      <c r="E127" s="2856">
        <v>0.1</v>
      </c>
      <c r="F127" s="2856">
        <v>15</v>
      </c>
    </row>
    <row r="128" spans="1:6" ht="13.5">
      <c r="A128" s="2856">
        <v>56</v>
      </c>
      <c r="B128" s="3478"/>
      <c r="C128" s="2856" t="s">
        <v>2771</v>
      </c>
      <c r="D128" s="2830" t="s">
        <v>2772</v>
      </c>
      <c r="E128" s="2856">
        <v>0.1</v>
      </c>
      <c r="F128" s="2856">
        <v>15</v>
      </c>
    </row>
    <row r="129" spans="1:6" ht="24">
      <c r="A129" s="2856">
        <v>57</v>
      </c>
      <c r="B129" s="3478"/>
      <c r="C129" s="2856" t="s">
        <v>2773</v>
      </c>
      <c r="D129" s="2830" t="s">
        <v>2774</v>
      </c>
      <c r="E129" s="2856">
        <v>0.1</v>
      </c>
      <c r="F129" s="2856">
        <v>15</v>
      </c>
    </row>
    <row r="130" spans="1:6" ht="24">
      <c r="A130" s="2856">
        <v>58</v>
      </c>
      <c r="B130" s="3478" t="s">
        <v>2775</v>
      </c>
      <c r="C130" s="2856" t="s">
        <v>2776</v>
      </c>
      <c r="D130" s="2830" t="s">
        <v>2777</v>
      </c>
      <c r="E130" s="2856">
        <v>0.1</v>
      </c>
      <c r="F130" s="2856">
        <v>15</v>
      </c>
    </row>
    <row r="131" spans="1:6" ht="13.5">
      <c r="A131" s="2856">
        <v>59</v>
      </c>
      <c r="B131" s="3478"/>
      <c r="C131" s="2856" t="s">
        <v>2778</v>
      </c>
      <c r="D131" s="2830" t="s">
        <v>2779</v>
      </c>
      <c r="E131" s="2856">
        <v>0.1</v>
      </c>
      <c r="F131" s="2856">
        <v>15</v>
      </c>
    </row>
    <row r="132" spans="1:6" ht="13.5">
      <c r="A132" s="2856">
        <v>60</v>
      </c>
      <c r="B132" s="3479" t="s">
        <v>2780</v>
      </c>
      <c r="C132" s="2856" t="s">
        <v>2781</v>
      </c>
      <c r="D132" s="2830" t="s">
        <v>2782</v>
      </c>
      <c r="E132" s="2856">
        <v>0.1</v>
      </c>
      <c r="F132" s="2856">
        <v>15</v>
      </c>
    </row>
    <row r="133" spans="1:6" ht="13.5">
      <c r="A133" s="2856">
        <v>61</v>
      </c>
      <c r="B133" s="3480"/>
      <c r="C133" s="2856" t="s">
        <v>2783</v>
      </c>
      <c r="D133" s="2830" t="s">
        <v>2784</v>
      </c>
      <c r="E133" s="2856">
        <v>0.1</v>
      </c>
      <c r="F133" s="2856">
        <v>15</v>
      </c>
    </row>
    <row r="134" spans="1:6" ht="24">
      <c r="A134" s="2856">
        <v>62</v>
      </c>
      <c r="B134" s="2856" t="s">
        <v>2785</v>
      </c>
      <c r="C134" s="2856" t="s">
        <v>2786</v>
      </c>
      <c r="D134" s="2830" t="s">
        <v>2787</v>
      </c>
      <c r="E134" s="2856">
        <v>0.1</v>
      </c>
      <c r="F134" s="2856">
        <v>15</v>
      </c>
    </row>
    <row r="135" spans="1:6" ht="13.5">
      <c r="A135" s="2856">
        <v>63</v>
      </c>
      <c r="B135" s="3478" t="s">
        <v>2788</v>
      </c>
      <c r="C135" s="2856" t="s">
        <v>2789</v>
      </c>
      <c r="D135" s="2830" t="s">
        <v>2790</v>
      </c>
      <c r="E135" s="2856">
        <v>0.1</v>
      </c>
      <c r="F135" s="2856">
        <v>15</v>
      </c>
    </row>
    <row r="136" spans="1:6" ht="13.5">
      <c r="A136" s="2856">
        <v>64</v>
      </c>
      <c r="B136" s="3478"/>
      <c r="C136" s="2856" t="s">
        <v>2791</v>
      </c>
      <c r="D136" s="2830" t="s">
        <v>2792</v>
      </c>
      <c r="E136" s="2856">
        <v>0.1</v>
      </c>
      <c r="F136" s="2856">
        <v>15</v>
      </c>
    </row>
    <row r="137" spans="1:6" ht="13.5">
      <c r="A137" s="2856">
        <v>65</v>
      </c>
      <c r="B137" s="2856" t="s">
        <v>2793</v>
      </c>
      <c r="C137" s="2856" t="s">
        <v>2794</v>
      </c>
      <c r="D137" s="2830" t="s">
        <v>2795</v>
      </c>
      <c r="E137" s="2856">
        <v>0.1</v>
      </c>
      <c r="F137" s="2856">
        <v>15</v>
      </c>
    </row>
    <row r="138" spans="1:6" ht="13.5">
      <c r="A138" s="2856"/>
      <c r="B138" s="2856"/>
      <c r="C138" s="2856"/>
      <c r="D138" s="2856"/>
      <c r="E138" s="2856" t="s">
        <v>2796</v>
      </c>
      <c r="F138" s="285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SUMPRODUCT((A95:A184=ROUNDDOWN(基准地价修正!G3,1))*(B94:M94=基准地价修正!G2)*(B95:M184))</f>
        <v>0</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SUMPRODUCT((A371:A460=ROUNDDOWN(基准地价修正!G3,1))*(B370:M370=基准地价修正!G2)*(B371:M460))</f>
        <v>0</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50449</v>
      </c>
      <c r="C2" s="2" t="s">
        <v>106</v>
      </c>
      <c r="D2" s="191"/>
      <c r="E2" s="191"/>
      <c r="F2" s="191"/>
      <c r="G2" s="191"/>
    </row>
    <row r="3" spans="1:7" s="192" customFormat="1" ht="18" customHeight="1" thickBot="1">
      <c r="A3" s="195" t="s">
        <v>58</v>
      </c>
      <c r="B3" s="196">
        <f ca="1">ROUND(B2*10000/'数据-汇总表'!E3,0)</f>
        <v>7500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180</v>
      </c>
      <c r="F9" s="213"/>
      <c r="G9" s="218"/>
    </row>
    <row r="10" spans="1:7" s="206" customFormat="1" ht="13.5" customHeight="1">
      <c r="A10" s="733" t="s">
        <v>356</v>
      </c>
      <c r="B10" s="216" t="s">
        <v>67</v>
      </c>
      <c r="C10" s="217">
        <f>ROUND(D10*E10/10000,0)</f>
        <v>1211</v>
      </c>
      <c r="D10" s="795">
        <f>'数据-汇总表'!E6</f>
        <v>67261.53</v>
      </c>
      <c r="E10" s="217">
        <f>'数据-取费表'!B28</f>
        <v>180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1345</v>
      </c>
      <c r="D19" s="204">
        <f>'数据-汇总表'!E3</f>
        <v>67261.53</v>
      </c>
      <c r="E19" s="203">
        <f>'数据-取费表'!B31</f>
        <v>200</v>
      </c>
      <c r="F19" s="223"/>
      <c r="G19" s="1" t="s">
        <v>436</v>
      </c>
    </row>
    <row r="20" spans="1:7" s="206" customFormat="1" ht="13.5" customHeight="1">
      <c r="A20" s="731" t="s">
        <v>419</v>
      </c>
      <c r="B20" s="202" t="s">
        <v>77</v>
      </c>
      <c r="C20" s="224">
        <f>ROUND((C5+C19)*F20,0)</f>
        <v>439</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1397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85</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1120</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1120</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26901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21497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18833</v>
      </c>
      <c r="D34" s="209"/>
      <c r="E34" s="212"/>
      <c r="F34" s="249">
        <f>IF('数据-取费表'!B24=0,1,'数据-取费表'!N16)</f>
        <v>1</v>
      </c>
      <c r="G34" s="211" t="s">
        <v>89</v>
      </c>
    </row>
    <row r="35" spans="1:7" ht="13.5" customHeight="1">
      <c r="A35" s="734" t="s">
        <v>351</v>
      </c>
      <c r="B35" s="207" t="s">
        <v>33</v>
      </c>
      <c r="C35" s="212">
        <f>ROUND(C34*F35,0)</f>
        <v>942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1345</v>
      </c>
      <c r="D37" s="209">
        <f>'数据-汇总表'!E3</f>
        <v>67261.53</v>
      </c>
      <c r="E37" s="241">
        <f>'数据-取费表'!B35</f>
        <v>200</v>
      </c>
      <c r="F37" s="251"/>
      <c r="G37" s="253" t="s">
        <v>92</v>
      </c>
    </row>
    <row r="38" spans="1:7" ht="13.5" customHeight="1">
      <c r="A38" s="734" t="s">
        <v>354</v>
      </c>
      <c r="B38" s="207" t="s">
        <v>36</v>
      </c>
      <c r="C38" s="212">
        <f>ROUND(C34*F38,0)</f>
        <v>377</v>
      </c>
      <c r="D38" s="212"/>
      <c r="E38" s="212"/>
      <c r="F38" s="251">
        <f>'数据-取费表'!B36</f>
        <v>0.02</v>
      </c>
      <c r="G38" s="211" t="s">
        <v>90</v>
      </c>
    </row>
    <row r="39" spans="1:7" s="206" customFormat="1" ht="13.5" customHeight="1">
      <c r="A39" s="731" t="s">
        <v>338</v>
      </c>
      <c r="B39" s="202" t="s">
        <v>77</v>
      </c>
      <c r="C39" s="224">
        <f>ROUND(C33*F20,0)</f>
        <v>430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679</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666</v>
      </c>
      <c r="D42" s="230"/>
      <c r="E42" s="230"/>
      <c r="F42" s="231"/>
      <c r="G42" s="3355" t="s">
        <v>94</v>
      </c>
    </row>
    <row r="43" spans="1:7" ht="13.5" customHeight="1">
      <c r="A43" s="734" t="s">
        <v>347</v>
      </c>
      <c r="B43" s="207" t="s">
        <v>426</v>
      </c>
      <c r="C43" s="230">
        <f ca="1">ROUND(IF('数据-取费表'!B22&lt;=1,C39*F22*'数据-取费表'!B21/2,C39*(POWER((1+F22),'数据-取费表'!B21/2)-1)),0)</f>
        <v>13</v>
      </c>
      <c r="D43" s="230"/>
      <c r="E43" s="230"/>
      <c r="F43" s="231"/>
      <c r="G43" s="3356"/>
    </row>
    <row r="44" spans="1:7" ht="13.5" customHeight="1">
      <c r="A44" s="734" t="s">
        <v>348</v>
      </c>
      <c r="B44" s="207" t="s">
        <v>428</v>
      </c>
      <c r="C44" s="230">
        <f ca="1">ROUND(IF('数据-取费表'!B22&lt;=1,C40*F22*'数据-取费表'!B21/2,C40*(POWER((1+F22),'数据-取费表'!B21/2)-1)),4)</f>
        <v>5.9999999999999995E-4</v>
      </c>
      <c r="D44" s="230"/>
      <c r="E44" s="230"/>
      <c r="F44" s="231"/>
      <c r="G44" s="3357"/>
    </row>
    <row r="45" spans="1:7" s="206" customFormat="1" ht="13.5" customHeight="1">
      <c r="A45" s="731" t="s">
        <v>341</v>
      </c>
      <c r="B45" s="236" t="s">
        <v>85</v>
      </c>
      <c r="C45" s="237">
        <f>C46</f>
        <v>1096</v>
      </c>
      <c r="D45" s="227">
        <f>C47</f>
        <v>1E-3</v>
      </c>
      <c r="E45" s="228" t="s">
        <v>102</v>
      </c>
      <c r="F45" s="238"/>
      <c r="G45" s="239" t="s">
        <v>434</v>
      </c>
    </row>
    <row r="46" spans="1:7" s="206" customFormat="1" ht="13.5" customHeight="1">
      <c r="A46" s="734" t="s">
        <v>349</v>
      </c>
      <c r="B46" s="240" t="s">
        <v>427</v>
      </c>
      <c r="C46" s="241">
        <f>ROUND((C33+C39)*F27,0)</f>
        <v>1096</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25596</v>
      </c>
      <c r="D49" s="224"/>
      <c r="E49" s="224"/>
      <c r="F49" s="256"/>
      <c r="G49" s="226" t="s">
        <v>435</v>
      </c>
    </row>
    <row r="50" spans="1:7" s="250" customFormat="1" ht="24">
      <c r="A50" s="731" t="s">
        <v>344</v>
      </c>
      <c r="B50" s="202" t="s">
        <v>97</v>
      </c>
      <c r="C50" s="224"/>
      <c r="D50" s="224"/>
      <c r="E50" s="224"/>
      <c r="F50" s="256">
        <f>IF('数据-取费表'!B24=0,'数据-取费表'!N16,1)</f>
        <v>0.92</v>
      </c>
      <c r="G50" s="239" t="s">
        <v>98</v>
      </c>
    </row>
    <row r="51" spans="1:7" ht="16.5" customHeight="1">
      <c r="A51" s="731" t="s">
        <v>345</v>
      </c>
      <c r="B51" s="202" t="s">
        <v>105</v>
      </c>
      <c r="C51" s="224">
        <f ca="1">ROUND(C49*F50,0)</f>
        <v>23548</v>
      </c>
      <c r="D51" s="224"/>
      <c r="E51" s="224"/>
      <c r="F51" s="256"/>
      <c r="G51" s="226" t="s">
        <v>37</v>
      </c>
    </row>
    <row r="52" spans="1:7" s="200" customFormat="1" ht="16.5" thickBot="1">
      <c r="A52" s="257" t="s">
        <v>38</v>
      </c>
      <c r="B52" s="258"/>
      <c r="C52" s="259">
        <f ca="1">C31+C51</f>
        <v>50449</v>
      </c>
      <c r="D52" s="258"/>
      <c r="E52" s="258"/>
      <c r="F52" s="258"/>
      <c r="G52" s="260"/>
    </row>
    <row r="55" spans="1:7" ht="15">
      <c r="B55" s="262" t="s">
        <v>39</v>
      </c>
      <c r="C55" s="263"/>
    </row>
    <row r="56" spans="1:7">
      <c r="B56" s="265" t="s">
        <v>40</v>
      </c>
      <c r="C56" s="266">
        <f ca="1">ROUND(C51/C52,3)</f>
        <v>0.46700000000000003</v>
      </c>
    </row>
    <row r="57" spans="1:7">
      <c r="B57" s="265" t="s">
        <v>41</v>
      </c>
      <c r="C57" s="267">
        <f ca="1">1-C56</f>
        <v>0.53299999999999992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92" t="s">
        <v>2838</v>
      </c>
      <c r="B1" s="3492"/>
      <c r="C1" s="3492"/>
      <c r="D1" s="3492"/>
      <c r="E1" s="3492"/>
      <c r="F1" s="3492"/>
      <c r="G1" s="3493"/>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2"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490"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2" thickBot="1">
      <c r="A4" s="3491"/>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2"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2"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2"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2"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4" t="s">
        <v>3180</v>
      </c>
      <c r="B1" s="3494"/>
    </row>
    <row r="2" spans="1:7" ht="14.25" thickBot="1">
      <c r="A2" s="2967"/>
      <c r="B2" s="2967"/>
    </row>
    <row r="3" spans="1:7" ht="14.25" thickBot="1">
      <c r="A3" s="2967"/>
      <c r="B3" s="2967"/>
      <c r="C3" s="2968" t="s">
        <v>2810</v>
      </c>
      <c r="D3" s="2968" t="s">
        <v>2866</v>
      </c>
      <c r="E3" s="2968" t="s">
        <v>2812</v>
      </c>
      <c r="F3" s="2968" t="s">
        <v>2867</v>
      </c>
      <c r="G3" s="2968" t="s">
        <v>2630</v>
      </c>
    </row>
    <row r="4" spans="1:7" ht="14.2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4.2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4.2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4.2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4.2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4.2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4.2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4.2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4.2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4.2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4.2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95" t="s">
        <v>3231</v>
      </c>
      <c r="B1" s="3495"/>
      <c r="C1" s="3495"/>
      <c r="D1" s="3495"/>
      <c r="E1" s="3495"/>
      <c r="F1" s="3496"/>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6">
        <f>基准地价修正!G23</f>
        <v>45721</v>
      </c>
      <c r="B1" s="2928" t="s">
        <v>3379</v>
      </c>
      <c r="C1" s="2929"/>
      <c r="D1" s="2929"/>
      <c r="E1" s="2929"/>
      <c r="F1" s="2929"/>
      <c r="G1" s="2929"/>
      <c r="H1" s="2929"/>
      <c r="I1" s="2929"/>
      <c r="J1" s="2895"/>
      <c r="K1" s="2929" t="s">
        <v>454</v>
      </c>
      <c r="L1" s="2929"/>
      <c r="M1" s="2929"/>
      <c r="N1" s="2929"/>
      <c r="O1" s="2929"/>
      <c r="P1" s="2929"/>
      <c r="Q1" s="2895"/>
      <c r="R1" s="3497" t="s">
        <v>456</v>
      </c>
      <c r="S1" s="3498"/>
      <c r="T1" s="3498"/>
      <c r="U1" s="3498"/>
      <c r="V1" s="3498"/>
      <c r="W1" s="3498"/>
      <c r="X1" s="2895"/>
      <c r="Y1" s="3497" t="s">
        <v>457</v>
      </c>
      <c r="Z1" s="3498"/>
      <c r="AA1" s="3498"/>
      <c r="AB1" s="3498"/>
      <c r="AC1" s="3498"/>
      <c r="AD1" s="3498"/>
    </row>
    <row r="2" spans="1:30" s="2010" customFormat="1" ht="14.25" thickBot="1">
      <c r="B2" s="2880"/>
      <c r="C2" s="2881"/>
      <c r="D2" s="2011" t="s">
        <v>2809</v>
      </c>
      <c r="E2" s="2012" t="s">
        <v>2810</v>
      </c>
      <c r="F2" s="2012" t="s">
        <v>2811</v>
      </c>
      <c r="G2" s="2012" t="s">
        <v>2812</v>
      </c>
      <c r="H2" s="2012" t="s">
        <v>2813</v>
      </c>
      <c r="I2" s="2012" t="s">
        <v>2630</v>
      </c>
      <c r="J2" s="2882"/>
      <c r="K2" s="2011" t="s">
        <v>2809</v>
      </c>
      <c r="L2" s="2012" t="s">
        <v>2810</v>
      </c>
      <c r="M2" s="2012" t="s">
        <v>2811</v>
      </c>
      <c r="N2" s="2012" t="s">
        <v>2812</v>
      </c>
      <c r="O2" s="2012" t="s">
        <v>2814</v>
      </c>
      <c r="P2" s="2012" t="s">
        <v>2630</v>
      </c>
      <c r="Q2" s="2882"/>
      <c r="R2" s="2011" t="s">
        <v>2809</v>
      </c>
      <c r="S2" s="2012" t="s">
        <v>2810</v>
      </c>
      <c r="T2" s="2012" t="s">
        <v>2811</v>
      </c>
      <c r="U2" s="2012" t="s">
        <v>2815</v>
      </c>
      <c r="V2" s="2012" t="s">
        <v>2816</v>
      </c>
      <c r="W2" s="2012" t="s">
        <v>2630</v>
      </c>
      <c r="X2" s="2882"/>
      <c r="Y2" s="2011" t="s">
        <v>2809</v>
      </c>
      <c r="Z2" s="2012" t="s">
        <v>2810</v>
      </c>
      <c r="AA2" s="2012" t="s">
        <v>2811</v>
      </c>
      <c r="AB2" s="2012" t="s">
        <v>2817</v>
      </c>
      <c r="AC2" s="2012" t="s">
        <v>2816</v>
      </c>
      <c r="AD2" s="2012" t="s">
        <v>2630</v>
      </c>
    </row>
    <row r="3" spans="1:30" s="2885" customFormat="1" ht="12.75">
      <c r="A3" s="2883" t="s">
        <v>2818</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3375</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3384</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2.75">
      <c r="A7" s="2040" t="s">
        <v>3383</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3376</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3374</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3370</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3369</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3367</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3366</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3365</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3363</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3354</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2819</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2820</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2821</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2822</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2823</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3382</v>
      </c>
    </row>
    <row r="24" spans="1:30">
      <c r="I24" s="1405" t="s">
        <v>2824</v>
      </c>
    </row>
    <row r="26" spans="1:30" s="2009" customFormat="1" ht="12.75">
      <c r="B26" s="2928" t="s">
        <v>3380</v>
      </c>
      <c r="C26" s="2929"/>
      <c r="D26" s="2929"/>
      <c r="E26" s="2929"/>
      <c r="F26" s="2929"/>
      <c r="G26" s="2929"/>
      <c r="H26" s="2929"/>
      <c r="I26" s="2929"/>
      <c r="J26" s="2895"/>
      <c r="K26" s="2929" t="s">
        <v>2825</v>
      </c>
      <c r="L26" s="2929"/>
      <c r="M26" s="2929"/>
      <c r="N26" s="2929"/>
      <c r="O26" s="2929"/>
      <c r="P26" s="2929"/>
      <c r="Q26" s="2895"/>
      <c r="R26" s="3497" t="s">
        <v>2826</v>
      </c>
      <c r="S26" s="3498"/>
      <c r="T26" s="3498"/>
      <c r="U26" s="3498"/>
      <c r="V26" s="3498"/>
      <c r="W26" s="3498"/>
      <c r="X26" s="2895"/>
      <c r="Y26" s="3497" t="s">
        <v>2827</v>
      </c>
      <c r="Z26" s="3498"/>
      <c r="AA26" s="3498"/>
      <c r="AB26" s="3498"/>
      <c r="AC26" s="3498"/>
      <c r="AD26" s="3498"/>
    </row>
    <row r="27" spans="1:30" s="2010" customFormat="1" ht="14.25" thickBot="1">
      <c r="B27" s="2880"/>
      <c r="C27" s="2881"/>
      <c r="D27" s="2011" t="s">
        <v>2828</v>
      </c>
      <c r="E27" s="2012" t="s">
        <v>2829</v>
      </c>
      <c r="F27" s="2012" t="s">
        <v>2830</v>
      </c>
      <c r="G27" s="2012" t="s">
        <v>2831</v>
      </c>
      <c r="H27" s="2012"/>
      <c r="I27" s="2012" t="s">
        <v>2832</v>
      </c>
      <c r="J27" s="2882"/>
      <c r="K27" s="2011" t="s">
        <v>2828</v>
      </c>
      <c r="L27" s="2012" t="s">
        <v>2829</v>
      </c>
      <c r="M27" s="2012" t="s">
        <v>2830</v>
      </c>
      <c r="N27" s="2012" t="s">
        <v>2831</v>
      </c>
      <c r="O27" s="2012"/>
      <c r="P27" s="2012" t="s">
        <v>2832</v>
      </c>
      <c r="Q27" s="2882"/>
      <c r="R27" s="2011" t="s">
        <v>2828</v>
      </c>
      <c r="S27" s="2012" t="s">
        <v>2829</v>
      </c>
      <c r="T27" s="2012" t="s">
        <v>2830</v>
      </c>
      <c r="U27" s="2012" t="s">
        <v>2831</v>
      </c>
      <c r="V27" s="2012"/>
      <c r="W27" s="2012" t="s">
        <v>2832</v>
      </c>
      <c r="X27" s="2882"/>
      <c r="Y27" s="2011" t="s">
        <v>2828</v>
      </c>
      <c r="Z27" s="2012" t="s">
        <v>2829</v>
      </c>
      <c r="AA27" s="2012" t="s">
        <v>2830</v>
      </c>
      <c r="AB27" s="2012" t="s">
        <v>2831</v>
      </c>
      <c r="AC27" s="2012"/>
      <c r="AD27" s="2012" t="s">
        <v>2832</v>
      </c>
    </row>
    <row r="28" spans="1:30" s="2885" customFormat="1" ht="12.75">
      <c r="A28" s="2883" t="s">
        <v>2833</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3375</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3377</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2.75">
      <c r="A32" s="2040" t="s">
        <v>3372</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3378</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3373</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3371</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3369</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3368</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3366</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3365</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3364</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3354</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2834</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2835</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2836</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2837</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2823</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45721</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2308</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1" t="str">
        <f>IF(项目基本情况!B9="房地产市场价值","估价结果一览表","结果表-2")</f>
        <v>结果表-2</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87"/>
      <c r="B3" s="3187"/>
      <c r="C3" s="3187"/>
      <c r="D3" s="801" t="s">
        <v>925</v>
      </c>
      <c r="E3" s="801" t="s">
        <v>931</v>
      </c>
      <c r="F3" s="801" t="s">
        <v>925</v>
      </c>
      <c r="G3" s="801" t="s">
        <v>926</v>
      </c>
      <c r="H3" s="801" t="s">
        <v>925</v>
      </c>
      <c r="I3" s="801" t="s">
        <v>926</v>
      </c>
    </row>
    <row r="4" spans="1:9" ht="30">
      <c r="A4" s="1403" t="str">
        <f>项目基本情况!S2</f>
        <v>廊坊经济技术开发区友谊路木兰道10号13-16幢房地产</v>
      </c>
      <c r="B4" s="801">
        <f>项目基本情况!C17</f>
        <v>67261.53</v>
      </c>
      <c r="C4" s="801">
        <f>项目基本情况!C18</f>
        <v>58848.03</v>
      </c>
      <c r="D4" s="801">
        <f ca="1">结果表!D118</f>
        <v>5014</v>
      </c>
      <c r="E4" s="801">
        <f ca="1">结果表!E118</f>
        <v>745</v>
      </c>
      <c r="F4" s="801">
        <f ca="1">结果表!F118</f>
        <v>23473</v>
      </c>
      <c r="G4" s="801">
        <f ca="1">结果表!G118</f>
        <v>3490</v>
      </c>
      <c r="H4" s="801">
        <f ca="1">结果表!H118</f>
        <v>28487</v>
      </c>
      <c r="I4" s="801">
        <f ca="1">结果表!I118</f>
        <v>4235</v>
      </c>
    </row>
    <row r="5" spans="1:9" ht="30" customHeight="1">
      <c r="A5" s="3187" t="s">
        <v>927</v>
      </c>
      <c r="B5" s="3187"/>
      <c r="C5" s="3187"/>
      <c r="D5" s="3187" t="str">
        <f ca="1">结果表!D119</f>
        <v>伍仟零壹拾肆万元整</v>
      </c>
      <c r="E5" s="3187"/>
      <c r="F5" s="3187" t="str">
        <f ca="1">结果表!F119</f>
        <v>贰亿叁仟肆佰柒拾叁万元整</v>
      </c>
      <c r="G5" s="3187"/>
      <c r="H5" s="3187" t="str">
        <f ca="1">结果表!H119</f>
        <v>贰亿捌仟肆佰捌拾柒万元整</v>
      </c>
      <c r="I5" s="3187"/>
    </row>
    <row r="6" spans="1:9" ht="15.75">
      <c r="A6" s="3186" t="str">
        <f>结果表!A120</f>
        <v>估价师知悉的法定优先受偿款</v>
      </c>
      <c r="B6" s="3186"/>
      <c r="C6" s="3186"/>
      <c r="D6" s="3186">
        <f>结果表!D120</f>
        <v>0</v>
      </c>
      <c r="E6" s="3186"/>
      <c r="F6" s="3186"/>
      <c r="G6" s="3186"/>
      <c r="H6" s="3186"/>
      <c r="I6" s="3186"/>
    </row>
    <row r="7" spans="1:9" ht="15">
      <c r="A7" s="3187" t="s">
        <v>927</v>
      </c>
      <c r="B7" s="3187"/>
      <c r="C7" s="3187"/>
      <c r="D7" s="3188" t="str">
        <f>结果表!D121</f>
        <v>零元整</v>
      </c>
      <c r="E7" s="3189"/>
      <c r="F7" s="3189"/>
      <c r="G7" s="3189"/>
      <c r="H7" s="3189"/>
      <c r="I7" s="3190"/>
    </row>
    <row r="8" spans="1:9" ht="15.75">
      <c r="A8" s="3186" t="str">
        <f>结果表!A122</f>
        <v>房地产抵押价值</v>
      </c>
      <c r="B8" s="3186"/>
      <c r="C8" s="3186"/>
      <c r="D8" s="3186">
        <f ca="1">结果表!D122</f>
        <v>28487</v>
      </c>
      <c r="E8" s="3186"/>
      <c r="F8" s="3186"/>
      <c r="G8" s="3186"/>
      <c r="H8" s="3186"/>
      <c r="I8" s="3186"/>
    </row>
    <row r="9" spans="1:9" ht="15">
      <c r="A9" s="3187" t="s">
        <v>927</v>
      </c>
      <c r="B9" s="3187"/>
      <c r="C9" s="3187"/>
      <c r="D9" s="3187" t="str">
        <f ca="1">结果表!D123</f>
        <v>贰亿捌仟肆佰捌拾柒万元整</v>
      </c>
      <c r="E9" s="3187"/>
      <c r="F9" s="3187"/>
      <c r="G9" s="3187"/>
      <c r="H9" s="3187"/>
      <c r="I9" s="3187"/>
    </row>
    <row r="10" spans="1:9" ht="15.75">
      <c r="A10" s="3186" t="str">
        <f>结果表!A124</f>
        <v/>
      </c>
      <c r="B10" s="3186"/>
      <c r="C10" s="3186"/>
      <c r="D10" s="3186" t="str">
        <f>结果表!D124</f>
        <v>——</v>
      </c>
      <c r="E10" s="3186"/>
      <c r="F10" s="3186"/>
      <c r="G10" s="3186"/>
      <c r="H10" s="3186"/>
      <c r="I10" s="3186"/>
    </row>
    <row r="11" spans="1:9" ht="15">
      <c r="A11" s="3187" t="s">
        <v>927</v>
      </c>
      <c r="B11" s="3187"/>
      <c r="C11" s="3187"/>
      <c r="D11" s="3187" t="e">
        <f>结果表!D125</f>
        <v>#VALUE!</v>
      </c>
      <c r="E11" s="3187"/>
      <c r="F11" s="3187"/>
      <c r="G11" s="3187"/>
      <c r="H11" s="3187"/>
      <c r="I11" s="3187"/>
    </row>
    <row r="12" spans="1:9" ht="15.75">
      <c r="A12" s="3186" t="str">
        <f>结果表!A126</f>
        <v/>
      </c>
      <c r="B12" s="3186"/>
      <c r="C12" s="3186"/>
      <c r="D12" s="3186" t="str">
        <f>结果表!D126</f>
        <v>——</v>
      </c>
      <c r="E12" s="3186"/>
      <c r="F12" s="3186"/>
      <c r="G12" s="3186"/>
      <c r="H12" s="3186"/>
      <c r="I12" s="3186"/>
    </row>
    <row r="13" spans="1:9" ht="15.75" thickBot="1">
      <c r="A13" s="3184" t="s">
        <v>927</v>
      </c>
      <c r="B13" s="3184"/>
      <c r="C13" s="3184"/>
      <c r="D13" s="3184" t="e">
        <f>结果表!D127</f>
        <v>#VALUE!</v>
      </c>
      <c r="E13" s="3184"/>
      <c r="F13" s="3184"/>
      <c r="G13" s="3184"/>
      <c r="H13" s="3184"/>
      <c r="I13" s="3184"/>
    </row>
    <row r="14" spans="1:9" ht="15" thickTop="1">
      <c r="A14" s="3185" t="s">
        <v>932</v>
      </c>
      <c r="B14" s="3185"/>
      <c r="C14" s="3185"/>
      <c r="D14" s="3185"/>
      <c r="E14" s="3185"/>
      <c r="F14" s="3185"/>
      <c r="G14" s="3185"/>
      <c r="H14" s="3185"/>
      <c r="I14" s="318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9" t="s">
        <v>949</v>
      </c>
      <c r="B1" s="3199"/>
      <c r="C1" s="3199"/>
      <c r="D1" s="3199"/>
    </row>
    <row r="2" spans="1:4" ht="18">
      <c r="A2" s="3200" t="s">
        <v>933</v>
      </c>
      <c r="B2" s="3200"/>
      <c r="C2" s="3200"/>
      <c r="D2" s="320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1" t="s">
        <v>942</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3" t="str">
        <f>IF(项目基本情况!B8="抵押","4.本次评估估价师所知悉的法定优先受偿款情况说明如下：","——")</f>
        <v>4.本次评估估价师所知悉的法定优先受偿款情况说明如下：</v>
      </c>
      <c r="B14" s="3198"/>
      <c r="C14" s="3198"/>
      <c r="D14" s="3198"/>
    </row>
    <row r="15" spans="1:4" ht="42" customHeight="1">
      <c r="A15" s="31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5" t="s">
        <v>943</v>
      </c>
      <c r="B16" s="3195"/>
      <c r="C16" s="3195"/>
      <c r="D16" s="3195"/>
    </row>
    <row r="17" spans="1:4" ht="144" customHeight="1">
      <c r="A17" s="3195" t="s">
        <v>944</v>
      </c>
      <c r="B17" s="3195"/>
      <c r="C17" s="3195"/>
      <c r="D17" s="3195"/>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3"/>
      <c r="C20" s="3193"/>
      <c r="D20" s="3193"/>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945</v>
      </c>
      <c r="B22" s="3197"/>
      <c r="C22" s="3197"/>
      <c r="D22" s="319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7" t="s">
        <v>956</v>
      </c>
      <c r="B15" s="3202" t="s">
        <v>109</v>
      </c>
      <c r="C15" s="3203"/>
    </row>
    <row r="16" spans="1:7" ht="13.5">
      <c r="A16" s="3208"/>
      <c r="B16" s="3202" t="s">
        <v>42</v>
      </c>
      <c r="C16" s="3203"/>
    </row>
    <row r="17" spans="1:3" ht="13.5">
      <c r="A17" s="3208"/>
      <c r="B17" s="3205" t="s">
        <v>957</v>
      </c>
      <c r="C17" s="1429" t="s">
        <v>956</v>
      </c>
    </row>
    <row r="18" spans="1:3" ht="13.5">
      <c r="A18" s="3208"/>
      <c r="B18" s="3205"/>
      <c r="C18" s="1429" t="s">
        <v>958</v>
      </c>
    </row>
    <row r="19" spans="1:3" ht="13.5">
      <c r="A19" s="3208"/>
      <c r="B19" s="3205"/>
      <c r="C19" s="1429" t="s">
        <v>959</v>
      </c>
    </row>
    <row r="20" spans="1:3" ht="13.5">
      <c r="A20" s="3209"/>
      <c r="B20" s="3204" t="s">
        <v>960</v>
      </c>
      <c r="C20" s="3203"/>
    </row>
    <row r="21" spans="1:3" ht="13.5">
      <c r="A21" s="1430" t="s">
        <v>961</v>
      </c>
      <c r="B21" s="1431"/>
      <c r="C21" s="1432"/>
    </row>
    <row r="22" spans="1:3" ht="13.5">
      <c r="A22" s="3206" t="s">
        <v>962</v>
      </c>
      <c r="B22" s="3204" t="s">
        <v>963</v>
      </c>
      <c r="C22" s="3203"/>
    </row>
    <row r="23" spans="1:3" ht="13.5">
      <c r="A23" s="3206"/>
      <c r="B23" s="3204" t="s">
        <v>964</v>
      </c>
      <c r="C23" s="3203"/>
    </row>
    <row r="24" spans="1:3" ht="13.5">
      <c r="A24" s="3206"/>
      <c r="B24" s="3204" t="s">
        <v>965</v>
      </c>
      <c r="C24" s="3203"/>
    </row>
    <row r="25" spans="1:3" ht="13.5">
      <c r="A25" s="3206"/>
      <c r="B25" s="3205" t="s">
        <v>966</v>
      </c>
      <c r="C25" s="1429" t="s">
        <v>967</v>
      </c>
    </row>
    <row r="26" spans="1:3" ht="13.5">
      <c r="A26" s="3206"/>
      <c r="B26" s="3205"/>
      <c r="C26" s="1429" t="s">
        <v>968</v>
      </c>
    </row>
    <row r="27" spans="1:3" ht="13.5">
      <c r="A27" s="3206"/>
      <c r="B27" s="3205"/>
      <c r="C27" s="1429" t="s">
        <v>969</v>
      </c>
    </row>
    <row r="28" spans="1:3" ht="13.5">
      <c r="A28" s="3206"/>
      <c r="B28" s="3205"/>
      <c r="C28" s="1429" t="s">
        <v>970</v>
      </c>
    </row>
    <row r="29" spans="1:3" ht="13.5">
      <c r="A29" s="3206"/>
      <c r="B29" s="3205"/>
      <c r="C29" s="1429" t="s">
        <v>971</v>
      </c>
    </row>
    <row r="30" spans="1:3" ht="13.5">
      <c r="A30" s="3206"/>
      <c r="B30" s="3205"/>
      <c r="C30" s="1429" t="s">
        <v>972</v>
      </c>
    </row>
    <row r="31" spans="1:3" ht="13.5">
      <c r="A31" s="3206"/>
      <c r="B31" s="3205"/>
      <c r="C31" s="1429" t="s">
        <v>973</v>
      </c>
    </row>
    <row r="32" spans="1:3" ht="13.5">
      <c r="A32" s="3206"/>
      <c r="B32" s="3205"/>
      <c r="C32" s="1429" t="s">
        <v>974</v>
      </c>
    </row>
    <row r="33" spans="1:3" ht="13.5">
      <c r="A33" s="3206"/>
      <c r="B33" s="320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45722</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0" t="s">
        <v>2159</v>
      </c>
      <c r="B17" s="3210"/>
      <c r="C17" s="3210"/>
      <c r="D17" s="3210"/>
      <c r="E17" s="3210"/>
      <c r="F17" s="3210"/>
      <c r="G17" s="3210"/>
      <c r="H17" s="3210"/>
    </row>
    <row r="18" spans="1:8" ht="24" customHeight="1">
      <c r="A18" s="3211" t="s">
        <v>2160</v>
      </c>
      <c r="B18" s="3211"/>
      <c r="C18" s="3211"/>
      <c r="D18" s="2160"/>
      <c r="E18" s="3212" t="s">
        <v>2161</v>
      </c>
      <c r="F18" s="3211"/>
      <c r="G18" s="321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成本法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信息</vt:lpstr>
      <vt:lpstr>中指</vt:lpstr>
      <vt:lpstr>租金案例</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2025-03-06T05:07:28Z</dcterms:modified>
</cp:coreProperties>
</file>