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8F81A371-0C30-421B-9EA1-E295DC1B28D8}" xr6:coauthVersionLast="47" xr6:coauthVersionMax="47" xr10:uidLastSave="{00000000-0000-0000-0000-000000000000}"/>
  <bookViews>
    <workbookView xWindow="-120" yWindow="-120" windowWidth="21840" windowHeight="13140"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sheet1" sheetId="72" r:id="rId36"/>
    <sheet name="Sheet2" sheetId="73" r:id="rId37"/>
    <sheet name="Sheet3" sheetId="74"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47" i="21" l="1"/>
  <c r="G47" i="21"/>
  <c r="E47" i="21"/>
  <c r="C14" i="66" l="1"/>
  <c r="B14" i="66"/>
  <c r="C12" i="39"/>
  <c r="C33" i="21"/>
  <c r="I7" i="21"/>
  <c r="G7" i="21"/>
  <c r="E7" i="21"/>
  <c r="D72" i="39"/>
  <c r="E72" i="39" s="1"/>
  <c r="F72" i="39" s="1"/>
  <c r="G72" i="39" s="1"/>
  <c r="H72" i="39" s="1"/>
  <c r="I72" i="39" s="1"/>
  <c r="J72" i="39" s="1"/>
  <c r="K72" i="39" s="1"/>
  <c r="L72" i="39" s="1"/>
  <c r="M72" i="39" s="1"/>
  <c r="N72" i="39" s="1"/>
  <c r="L19" i="1"/>
  <c r="L20" i="1" s="1"/>
  <c r="N20" i="1" s="1"/>
  <c r="I48" i="39"/>
  <c r="G48" i="39"/>
  <c r="E48" i="39"/>
  <c r="I40" i="39"/>
  <c r="G40" i="39"/>
  <c r="E40" i="39"/>
  <c r="C40" i="39"/>
  <c r="C13" i="39"/>
  <c r="L21" i="1" l="1"/>
  <c r="N19" i="1"/>
  <c r="N21" i="1" s="1"/>
  <c r="M21" i="1" s="1"/>
  <c r="I9" i="39" l="1"/>
  <c r="G9" i="39"/>
  <c r="E9" i="39"/>
  <c r="I7" i="39"/>
  <c r="G7" i="39"/>
  <c r="E7" i="39"/>
  <c r="F19" i="6"/>
  <c r="D3" i="4"/>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J45" i="21" s="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S8" i="21" s="1"/>
  <c r="AA8" i="21"/>
  <c r="E13" i="11"/>
  <c r="E12" i="11"/>
  <c r="C9" i="12"/>
  <c r="BB12" i="3"/>
  <c r="F9" i="12"/>
  <c r="D9" i="12"/>
  <c r="E9" i="12"/>
  <c r="G9" i="12"/>
  <c r="K5" i="3"/>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s="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s="1"/>
  <c r="H44" i="21"/>
  <c r="AB44" i="21" s="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J29" i="21"/>
  <c r="AC29" i="21" s="1"/>
  <c r="H29" i="21"/>
  <c r="U29" i="21" s="1"/>
  <c r="F29" i="21"/>
  <c r="S29" i="21" s="1"/>
  <c r="J31" i="21"/>
  <c r="AC31"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S28" i="21"/>
  <c r="AA28" i="21"/>
  <c r="U36" i="37"/>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D3" i="21"/>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13" i="40"/>
  <c r="F77" i="40"/>
  <c r="G77" i="40" s="1"/>
  <c r="H77" i="40"/>
  <c r="I77" i="40" s="1"/>
  <c r="J77" i="40" s="1"/>
  <c r="K77" i="40" s="1"/>
  <c r="L77" i="40" s="1"/>
  <c r="M77" i="40" s="1"/>
  <c r="BH5" i="3"/>
  <c r="R16" i="4"/>
  <c r="D3" i="35"/>
  <c r="G4" i="4"/>
  <c r="S37" i="34"/>
  <c r="J16" i="35"/>
  <c r="W16" i="35"/>
  <c r="AC26" i="36"/>
  <c r="W25" i="35"/>
  <c r="H13" i="39"/>
  <c r="AB13" i="39" s="1"/>
  <c r="F13" i="39"/>
  <c r="S13" i="39" s="1"/>
  <c r="J13" i="39"/>
  <c r="AC13" i="39" s="1"/>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AC5" i="3"/>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10" i="21"/>
  <c r="U8"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J1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A29" i="35"/>
  <c r="U39" i="39"/>
  <c r="J2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A39" i="39"/>
  <c r="AB46"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W39" i="21"/>
  <c r="AC34" i="21"/>
  <c r="W43" i="21"/>
  <c r="AA37" i="21"/>
  <c r="W28" i="21"/>
  <c r="AC26" i="21"/>
  <c r="W13" i="21"/>
  <c r="AC21" i="21"/>
  <c r="W10"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AC19" i="39"/>
  <c r="AC38" i="39"/>
  <c r="AB15" i="39"/>
  <c r="AB38" i="39"/>
  <c r="U31" i="39"/>
  <c r="AB31" i="39"/>
  <c r="S38" i="39"/>
  <c r="S22" i="31"/>
  <c r="B20" i="31" s="1"/>
  <c r="D96" i="9"/>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A25" i="21"/>
  <c r="AC37" i="21"/>
  <c r="AA29" i="21"/>
  <c r="W31" i="21"/>
  <c r="AC27" i="21"/>
  <c r="W29" i="21"/>
  <c r="G95" i="40"/>
  <c r="J27" i="40"/>
  <c r="W27" i="40" s="1"/>
  <c r="W37" i="40"/>
  <c r="W30" i="40"/>
  <c r="S34" i="40"/>
  <c r="U38" i="40"/>
  <c r="S40" i="40"/>
  <c r="S42" i="40"/>
  <c r="G104" i="39"/>
  <c r="J31" i="39"/>
  <c r="W31" i="39" s="1"/>
  <c r="AC46" i="39"/>
  <c r="S34" i="39"/>
  <c r="W42" i="39"/>
  <c r="W36"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N3" i="65"/>
  <c r="F14" i="67"/>
  <c r="F8" i="67"/>
  <c r="F12" i="67"/>
  <c r="N7" i="65"/>
  <c r="J6" i="65"/>
  <c r="I6" i="65"/>
  <c r="B10" i="67"/>
  <c r="I3" i="65"/>
  <c r="E10" i="67"/>
  <c r="B8" i="67"/>
  <c r="E13" i="67"/>
  <c r="B12" i="67"/>
  <c r="J5" i="65"/>
  <c r="I5" i="65"/>
  <c r="B13" i="67"/>
  <c r="E8" i="67"/>
  <c r="E9" i="67"/>
  <c r="N6" i="65"/>
  <c r="B11" i="67"/>
  <c r="B14" i="67"/>
  <c r="J4" i="65"/>
  <c r="N5" i="65"/>
  <c r="F10" i="67"/>
  <c r="E12" i="67"/>
  <c r="J3" i="65"/>
  <c r="N4" i="65"/>
  <c r="F13" i="67"/>
  <c r="F9" i="67"/>
  <c r="E14" i="67"/>
  <c r="E11" i="67"/>
  <c r="F11" i="67"/>
  <c r="B9" i="67"/>
  <c r="AA43" i="21" l="1"/>
  <c r="AC38" i="21"/>
  <c r="S35" i="21"/>
  <c r="S34" i="21"/>
  <c r="W45" i="21"/>
  <c r="AC45" i="21"/>
  <c r="S44" i="21"/>
  <c r="H45" i="21"/>
  <c r="U44" i="21"/>
  <c r="F45" i="21"/>
  <c r="W44" i="21"/>
  <c r="H31" i="21"/>
  <c r="U27" i="21"/>
  <c r="W25" i="21"/>
  <c r="F27" i="21"/>
  <c r="AC39" i="39"/>
  <c r="U34" i="39"/>
  <c r="AA33" i="39"/>
  <c r="AB33" i="39"/>
  <c r="W33" i="39"/>
  <c r="AB37" i="39"/>
  <c r="S14" i="39"/>
  <c r="S15" i="39"/>
  <c r="U14" i="39"/>
  <c r="U11" i="39"/>
  <c r="AB33" i="21"/>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S40" i="39"/>
  <c r="AA13" i="39"/>
  <c r="W13" i="39"/>
  <c r="U13" i="39"/>
  <c r="AB29" i="39"/>
  <c r="S29" i="39"/>
  <c r="U21" i="39"/>
  <c r="AA21" i="39"/>
  <c r="AA19" i="39"/>
  <c r="B77" i="46"/>
  <c r="F3" i="35"/>
  <c r="G1" i="44"/>
  <c r="G1" i="15"/>
  <c r="F29" i="6"/>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C29" i="39"/>
  <c r="W29" i="39"/>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I54" i="15"/>
  <c r="C4" i="65"/>
  <c r="B39" i="1" s="1"/>
  <c r="F8" i="15"/>
  <c r="F36" i="15"/>
  <c r="M29" i="15"/>
  <c r="F28" i="44"/>
  <c r="M8" i="44"/>
  <c r="M26" i="15"/>
  <c r="M6" i="15"/>
  <c r="M30" i="44"/>
  <c r="J36" i="15"/>
  <c r="M9" i="15"/>
  <c r="M28" i="15"/>
  <c r="M10" i="44"/>
  <c r="J15" i="15"/>
  <c r="F9" i="44"/>
  <c r="F37" i="15"/>
  <c r="L47" i="15"/>
  <c r="M24" i="15"/>
  <c r="F40" i="15"/>
  <c r="E3" i="65"/>
  <c r="F10" i="44"/>
  <c r="F38" i="44"/>
  <c r="M26" i="44"/>
  <c r="F6" i="15"/>
  <c r="M22" i="15"/>
  <c r="M23" i="15"/>
  <c r="M24" i="44"/>
  <c r="M31" i="44"/>
  <c r="F45" i="44"/>
  <c r="F13" i="15"/>
  <c r="F38" i="15"/>
  <c r="F43" i="15"/>
  <c r="F18" i="44"/>
  <c r="F40" i="44"/>
  <c r="F43" i="44"/>
  <c r="F11" i="44"/>
  <c r="F26" i="15"/>
  <c r="J17" i="44"/>
  <c r="F9" i="15"/>
  <c r="F7" i="15"/>
  <c r="F39" i="44"/>
  <c r="M25" i="44"/>
  <c r="L48" i="15"/>
  <c r="F15" i="44"/>
  <c r="I7" i="65"/>
  <c r="F16" i="15"/>
  <c r="M8" i="15"/>
  <c r="F8" i="44"/>
  <c r="L49" i="44"/>
  <c r="I4" i="65"/>
  <c r="L48" i="44"/>
  <c r="M11" i="44"/>
  <c r="E2" i="65"/>
  <c r="J7" i="65"/>
  <c r="F42" i="15"/>
  <c r="M28" i="44"/>
  <c r="U17" i="39" l="1"/>
  <c r="U45" i="21"/>
  <c r="AB45" i="21"/>
  <c r="AA45" i="21"/>
  <c r="S45" i="21"/>
  <c r="AC11" i="21"/>
  <c r="AA27" i="21"/>
  <c r="S27" i="21"/>
  <c r="U31" i="21"/>
  <c r="AB31" i="2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F49" i="15"/>
  <c r="M7" i="15"/>
  <c r="M17" i="15" s="1"/>
  <c r="C6" i="15"/>
  <c r="C32" i="15" s="1"/>
  <c r="L56" i="15"/>
  <c r="J53" i="15"/>
  <c r="F1" i="15" s="1"/>
  <c r="J57" i="15"/>
  <c r="J55" i="15" s="1"/>
  <c r="J58" i="15" s="1"/>
  <c r="Q51" i="15" s="1"/>
  <c r="F63" i="15"/>
  <c r="C27" i="15"/>
  <c r="F70"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13" i="3"/>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E15" i="6"/>
  <c r="E66" i="39" s="1"/>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F33" i="12"/>
  <c r="C34" i="12" s="1"/>
  <c r="D33" i="12" s="1"/>
  <c r="E61" i="40"/>
  <c r="K14" i="1"/>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9" i="1"/>
  <c r="AE10" i="1"/>
  <c r="AE11" i="1"/>
  <c r="F41" i="15"/>
  <c r="C18" i="44"/>
  <c r="F46" i="44"/>
  <c r="C16" i="15"/>
  <c r="T48" i="21" l="1"/>
  <c r="G48" i="21" s="1"/>
  <c r="G52" i="21" s="1"/>
  <c r="H52" i="21" s="1"/>
  <c r="R48" i="21"/>
  <c r="E48" i="21" s="1"/>
  <c r="V48" i="21"/>
  <c r="I48" i="21" s="1"/>
  <c r="I52" i="21" s="1"/>
  <c r="J52" i="21" s="1"/>
  <c r="W7" i="21"/>
  <c r="Q62" i="15"/>
  <c r="C7" i="44"/>
  <c r="C40" i="44" s="1"/>
  <c r="Q75" i="44"/>
  <c r="J6" i="15"/>
  <c r="J18" i="15" s="1"/>
  <c r="Q54" i="44"/>
  <c r="Q63" i="44"/>
  <c r="Q74" i="15"/>
  <c r="C48" i="15"/>
  <c r="Q53" i="15"/>
  <c r="J7" i="44"/>
  <c r="J26" i="44" s="1"/>
  <c r="J60" i="44"/>
  <c r="J61" i="44" s="1"/>
  <c r="Q50" i="44" s="1"/>
  <c r="E58" i="40"/>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3" i="21"/>
  <c r="H53" i="21" s="1"/>
  <c r="R50" i="34"/>
  <c r="E49" i="34"/>
  <c r="I52" i="33"/>
  <c r="J52" i="33" s="1"/>
  <c r="E66" i="40"/>
  <c r="F64" i="40"/>
  <c r="C52" i="15"/>
  <c r="C10" i="15"/>
  <c r="C5" i="15" s="1"/>
  <c r="C38" i="15" s="1"/>
  <c r="C20" i="11"/>
  <c r="C21" i="11" s="1"/>
  <c r="C22" i="11" s="1"/>
  <c r="C23" i="11" s="1"/>
  <c r="B2" i="11" s="1"/>
  <c r="M27" i="15"/>
  <c r="M29" i="44"/>
  <c r="R49" i="21" l="1"/>
  <c r="C48" i="21" s="1"/>
  <c r="J5" i="15"/>
  <c r="J24" i="15" s="1"/>
  <c r="C47" i="15"/>
  <c r="C65" i="15" s="1"/>
  <c r="D22" i="12"/>
  <c r="C22" i="12" s="1"/>
  <c r="C20" i="12"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C17" i="15"/>
  <c r="C49" i="21" l="1"/>
  <c r="B3" i="21" s="1"/>
  <c r="B2" i="21" s="1"/>
  <c r="C10" i="12" s="1"/>
  <c r="C6" i="12" s="1"/>
  <c r="C59" i="15"/>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8" i="12" l="1"/>
  <c r="C24" i="12"/>
  <c r="C29" i="12"/>
  <c r="H22" i="6"/>
  <c r="R22" i="6" s="1"/>
  <c r="R9" i="1" s="1"/>
  <c r="S16" i="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4" i="15"/>
  <c r="M21" i="15"/>
  <c r="F37" i="44"/>
  <c r="F35" i="15"/>
  <c r="C16" i="44"/>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D14" i="66" s="1"/>
  <c r="G14" i="66" s="1"/>
  <c r="B6" i="66" s="1"/>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C6" i="66" l="1"/>
  <c r="D6" i="66"/>
  <c r="B5" i="66"/>
  <c r="E14" i="66"/>
  <c r="F14" i="66"/>
  <c r="G20" i="9"/>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5" i="66" l="1"/>
  <c r="D5" i="66"/>
  <c r="O43" i="9"/>
  <c r="C42" i="9"/>
  <c r="O38" i="9"/>
  <c r="C33" i="9"/>
  <c r="C34" i="9"/>
  <c r="C35" i="9"/>
  <c r="F42"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N38" i="9" l="1"/>
  <c r="K28" i="9" s="1"/>
  <c r="D42" i="9"/>
  <c r="Q5" i="54" s="1"/>
  <c r="B47" i="63" s="1"/>
  <c r="K26" i="9"/>
  <c r="K25" i="9"/>
  <c r="C44" i="9"/>
  <c r="N68" i="9"/>
  <c r="R5" i="54"/>
  <c r="B48" i="63" s="1"/>
  <c r="D63" i="9"/>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111" i="9" l="1"/>
  <c r="C104" i="9" s="1"/>
  <c r="D70" i="9"/>
  <c r="C96" i="9"/>
  <c r="C91" i="9" s="1"/>
  <c r="C90" i="9"/>
  <c r="C82" i="9"/>
  <c r="C81" i="9" s="1"/>
  <c r="C85" i="9" s="1"/>
  <c r="C86" i="9" s="1"/>
  <c r="D72" i="9" s="1"/>
  <c r="D71" i="9"/>
  <c r="D66" i="9" s="1"/>
  <c r="N72" i="9" s="1"/>
  <c r="D73" i="9"/>
  <c r="N73" i="9" s="1"/>
  <c r="C103" i="9"/>
  <c r="D44" i="9"/>
  <c r="N69" i="9"/>
  <c r="O39" i="9"/>
  <c r="F44" i="9"/>
  <c r="E44" i="9"/>
  <c r="Q58" i="15"/>
  <c r="Q63" i="15" s="1"/>
  <c r="Q76" i="15"/>
  <c r="Q69" i="44"/>
  <c r="Q59" i="44"/>
  <c r="Q64" i="44" s="1"/>
  <c r="Q68" i="44"/>
  <c r="Q77" i="44" s="1"/>
  <c r="C113" i="9" l="1"/>
  <c r="C114" i="9" s="1"/>
  <c r="E114" i="9" s="1"/>
  <c r="E115" i="9" s="1"/>
  <c r="C97" i="9"/>
  <c r="C98" i="9" s="1"/>
  <c r="E98" i="9" s="1"/>
  <c r="E99" i="9" s="1"/>
  <c r="R6" i="54"/>
  <c r="B50" i="63" s="1"/>
  <c r="K29" i="9"/>
  <c r="K30" i="9" s="1"/>
  <c r="M87" i="9"/>
  <c r="N87" i="9" s="1"/>
  <c r="M83" i="9"/>
  <c r="N83" i="9" s="1"/>
  <c r="M86" i="9"/>
  <c r="N86" i="9" s="1"/>
  <c r="M85" i="9"/>
  <c r="N85" i="9" s="1"/>
  <c r="M88" i="9"/>
  <c r="N88" i="9" s="1"/>
  <c r="M84" i="9"/>
  <c r="N84" i="9" s="1"/>
  <c r="C115" i="9" l="1"/>
  <c r="D76" i="9" s="1"/>
  <c r="D74" i="9" s="1"/>
  <c r="N74" i="9" s="1"/>
  <c r="O77" i="9" s="1"/>
  <c r="O79" i="9" s="1"/>
  <c r="N89" i="9"/>
  <c r="O89" i="9" s="1"/>
  <c r="C99" i="9"/>
  <c r="O78" i="9" l="1"/>
  <c r="Q77"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<sst xmlns="http://schemas.openxmlformats.org/spreadsheetml/2006/main" count="8312" uniqueCount="3580">
  <si>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</si>
  <si>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</si>
  <si>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</si>
  <si>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</si>
  <si>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</si>
  <si>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</si>
  <si>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</si>
  <si>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</si>
  <si>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</si>
  <si>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</si>
  <si>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</si>
  <si>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</si>
  <si>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</si>
  <si>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</si>
  <si>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</si>
  <si>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</si>
  <si>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</si>
  <si>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</si>
  <si>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</si>
  <si>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</si>
  <si>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</si>
  <si>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</si>
  <si>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</si>
  <si>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</si>
  <si>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</si>
  <si>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</si>
  <si>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</si>
  <si>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</si>
  <si>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</si>
  <si>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</si>
  <si>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</si>
  <si>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</si>
  <si>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</si>
  <si>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</si>
  <si>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</si>
  <si>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</si>
  <si>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</si>
  <si>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</si>
  <si>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</si>
  <si>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</si>
  <si>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</si>
  <si>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</si>
  <si>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</si>
  <si>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</si>
  <si>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</si>
  <si>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</si>
  <si>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</si>
  <si>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</si>
  <si>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</si>
  <si>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</si>
  <si>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</si>
  <si>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</si>
  <si>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</si>
  <si>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</si>
  <si>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</si>
  <si>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</si>
  <si>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</si>
  <si>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</si>
  <si>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</si>
  <si>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</si>
  <si>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</si>
  <si>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</si>
  <si>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</si>
  <si>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</si>
  <si>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</si>
  <si>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</si>
  <si>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</si>
  <si>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</si>
  <si>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</si>
  <si>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</si>
  <si>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</si>
  <si>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</si>
  <si>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</si>
  <si>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</si>
  <si>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</si>
  <si>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</si>
  <si>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</si>
  <si>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</si>
  <si>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</si>
  <si>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</si>
  <si>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</si>
  <si>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</si>
  <si>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</si>
  <si>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</si>
  <si>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</si>
  <si>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</si>
  <si>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</si>
  <si>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</si>
  <si>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</si>
  <si>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</si>
  <si>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</si>
  <si>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</si>
  <si>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</si>
  <si>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</si>
  <si>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</si>
  <si>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</si>
  <si>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</si>
  <si>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</si>
  <si>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</si>
  <si>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</si>
  <si>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</si>
  <si>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</si>
  <si>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</si>
  <si>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</si>
  <si>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</si>
  <si>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</si>
  <si>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</si>
  <si>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</si>
  <si>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</si>
  <si>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</si>
  <si>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</si>
  <si>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</si>
  <si>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</si>
  <si>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</si>
  <si>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</si>
  <si>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</si>
  <si>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</si>
  <si>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</si>
  <si>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</si>
  <si>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</si>
  <si>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</si>
  <si>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</si>
  <si>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</si>
  <si>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</si>
  <si>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</si>
  <si>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</si>
  <si>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</si>
  <si>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</si>
  <si>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</si>
  <si>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</si>
  <si>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</si>
  <si>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</si>
  <si>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</si>
  <si>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</si>
  <si>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</si>
  <si>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</si>
  <si>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</si>
  <si>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</si>
  <si>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</si>
  <si>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</si>
  <si>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</si>
  <si>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</si>
  <si>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</si>
  <si>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</si>
  <si>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</si>
  <si>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</si>
  <si>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</si>
  <si>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</si>
  <si>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</si>
  <si>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</si>
  <si>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</si>
  <si>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</si>
  <si>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</si>
  <si>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</si>
  <si>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</si>
  <si>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</si>
  <si>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</si>
  <si>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</si>
  <si>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</si>
  <si>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</si>
  <si>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</si>
  <si>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</si>
  <si>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</si>
  <si>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</si>
  <si>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</si>
  <si>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</si>
  <si>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</si>
  <si>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</si>
  <si>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</si>
  <si>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</si>
  <si>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</si>
  <si>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</si>
  <si>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</si>
  <si>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</si>
  <si>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</si>
  <si>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</si>
  <si>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</si>
  <si>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</si>
  <si>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</si>
  <si>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</si>
  <si>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</si>
  <si>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</si>
  <si>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</si>
  <si>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</si>
  <si>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</si>
  <si>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</si>
  <si>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</si>
  <si>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</si>
  <si>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</si>
  <si>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</si>
  <si>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</si>
  <si>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</si>
  <si>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</si>
  <si>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</si>
  <si>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</si>
  <si>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</si>
  <si>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</si>
  <si>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</si>
  <si>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</si>
  <si>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</si>
  <si>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</si>
  <si>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</si>
  <si>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</si>
  <si>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</si>
  <si>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</si>
  <si>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</si>
  <si>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</si>
  <si>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</si>
  <si>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</si>
  <si>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</si>
  <si>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</si>
  <si>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</si>
  <si>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</si>
  <si>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</si>
  <si>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</si>
  <si>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</si>
  <si>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</si>
  <si>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</si>
  <si>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</si>
  <si>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</si>
  <si>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</si>
  <si>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</si>
  <si>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</si>
  <si>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</si>
  <si>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</si>
  <si>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</si>
  <si>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</si>
  <si>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</si>
  <si>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</si>
  <si>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</si>
  <si>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</si>
  <si>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</si>
  <si>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</si>
  <si>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</si>
  <si>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</si>
  <si>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</si>
  <si>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</si>
  <si>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</si>
  <si>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</si>
  <si>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</si>
  <si>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</si>
  <si>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</si>
  <si>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</si>
  <si>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</si>
  <si>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</si>
  <si>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</si>
  <si>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</si>
  <si>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</si>
  <si>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</si>
  <si>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</si>
  <si>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</si>
  <si>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</si>
  <si>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</si>
  <si>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</si>
  <si>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</si>
  <si>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</si>
  <si>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</si>
  <si>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</si>
  <si>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</si>
  <si>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</si>
  <si>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</si>
  <si>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</si>
  <si>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</si>
  <si>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</si>
  <si>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</si>
  <si>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</si>
  <si>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</si>
  <si>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</si>
  <si>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</si>
  <si>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</si>
  <si>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</si>
  <si>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</si>
  <si>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</si>
  <si>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</si>
  <si>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</si>
  <si>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</si>
  <si>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</si>
  <si>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</si>
  <si>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</si>
  <si>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</si>
  <si>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</si>
  <si>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</si>
  <si>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</si>
  <si>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</si>
  <si>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</si>
  <si>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</si>
  <si>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</si>
  <si>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</si>
  <si>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</si>
  <si>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</si>
  <si>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</si>
  <si>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</si>
  <si>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</si>
  <si>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</si>
  <si>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</si>
  <si>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</si>
  <si>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</si>
  <si>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</si>
  <si>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</si>
  <si>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</si>
  <si>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</si>
  <si>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</si>
  <si>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</si>
  <si>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</si>
  <si>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</si>
  <si>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</si>
  <si>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</si>
  <si>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</si>
  <si>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</si>
  <si>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</si>
  <si>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</si>
  <si>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</si>
  <si>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</si>
  <si>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</si>
  <si>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</si>
  <si>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</si>
  <si>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</si>
  <si>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</si>
  <si>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</si>
  <si>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</si>
  <si>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</si>
  <si>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</si>
  <si>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</si>
  <si>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</si>
  <si>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</si>
  <si>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</si>
  <si>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</si>
  <si>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</si>
  <si>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</si>
  <si>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</si>
  <si>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</si>
  <si>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</si>
  <si>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</si>
  <si>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</si>
  <si>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</si>
  <si>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</si>
  <si>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</si>
  <si>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</si>
  <si>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</si>
  <si>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</si>
  <si>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</si>
  <si>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</si>
  <si>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</si>
  <si>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</si>
  <si>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</si>
  <si>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</si>
  <si>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</si>
  <si>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</si>
  <si>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</si>
  <si>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</si>
  <si>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</si>
  <si>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</si>
  <si>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</si>
  <si>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</si>
  <si>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</si>
  <si>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</si>
  <si>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</si>
  <si>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</si>
  <si>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</si>
  <si>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</si>
  <si>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</si>
  <si>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</si>
  <si>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</si>
  <si>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</si>
  <si>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</si>
  <si>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</si>
  <si>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</si>
  <si>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</si>
  <si>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</si>
  <si>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</si>
  <si>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</si>
  <si>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</si>
  <si>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</si>
  <si>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</si>
  <si>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</si>
  <si>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</si>
  <si>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</si>
  <si>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</si>
  <si>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</si>
  <si>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</si>
  <si>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</si>
  <si>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</si>
  <si>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</si>
  <si>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</si>
  <si>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</si>
  <si>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</si>
  <si>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</si>
  <si>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</si>
  <si>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</si>
  <si>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</si>
  <si>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</si>
  <si>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</si>
  <si>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</si>
  <si>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</si>
  <si>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</si>
  <si>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</si>
  <si>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</si>
  <si>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</si>
  <si>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</si>
  <si>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</si>
  <si>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</si>
  <si>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</si>
  <si>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</si>
  <si>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</si>
  <si>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</si>
  <si>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</si>
  <si>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</si>
  <si>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</si>
  <si>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</si>
  <si>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</si>
  <si>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</si>
  <si>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</si>
  <si>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</si>
  <si>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</si>
  <si>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</si>
  <si>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</si>
  <si>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</si>
  <si>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</si>
  <si>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</si>
  <si>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</si>
  <si>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</si>
  <si>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</si>
  <si>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</si>
  <si>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</si>
  <si>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</si>
  <si>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</si>
  <si>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</si>
  <si>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</si>
  <si>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</si>
  <si>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</si>
  <si>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</si>
  <si>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</si>
  <si>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</si>
  <si>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</si>
  <si>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</si>
  <si>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</si>
  <si>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</si>
  <si>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</si>
  <si>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</si>
  <si>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</si>
  <si>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</si>
  <si>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</si>
  <si>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</si>
  <si>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</si>
  <si>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</si>
  <si>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</si>
  <si>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</si>
  <si>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</si>
  <si>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</si>
  <si>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</si>
  <si>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</si>
  <si>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</si>
  <si>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</si>
  <si>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</si>
  <si>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</si>
  <si>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</si>
  <si>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</si>
  <si>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</si>
  <si>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</si>
  <si>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</si>
  <si>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</si>
  <si>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</si>
  <si>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</si>
  <si>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</si>
  <si>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</si>
  <si>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</si>
  <si>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</si>
  <si>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</si>
  <si>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</si>
  <si>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</si>
  <si>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</si>
  <si>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</si>
  <si>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</si>
  <si>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</si>
  <si>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</si>
  <si>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</si>
  <si>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</si>
  <si>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</si>
  <si>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</si>
  <si>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</si>
  <si>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</si>
  <si>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</si>
  <si>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</si>
  <si>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</si>
  <si>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</si>
  <si>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</si>
  <si>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</si>
  <si>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</si>
  <si>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</si>
  <si>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</si>
  <si>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</si>
  <si>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</si>
  <si>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</si>
  <si>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</si>
  <si>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</si>
  <si>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</si>
  <si>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</si>
  <si>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</si>
  <si>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</si>
  <si>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</si>
  <si>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</si>
  <si>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</si>
  <si>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</si>
  <si>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</si>
  <si>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</si>
  <si>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</si>
  <si>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</si>
  <si>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</si>
  <si>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</si>
  <si>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</si>
  <si>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</si>
  <si>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</si>
  <si>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</si>
  <si>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</si>
  <si>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</si>
  <si>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</si>
  <si>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</si>
  <si>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</si>
  <si>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</si>
  <si>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</si>
  <si>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</si>
  <si>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</si>
  <si>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</si>
  <si>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</si>
  <si>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</si>
  <si>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</si>
  <si>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</si>
  <si>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</si>
  <si>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</si>
  <si>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</si>
  <si>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</si>
  <si>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</si>
  <si>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</si>
  <si>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</si>
  <si>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</si>
  <si>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</si>
  <si>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</si>
  <si>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</si>
  <si>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</si>
  <si>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</si>
  <si>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</si>
  <si>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</si>
  <si>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</si>
  <si>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</si>
  <si>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</si>
  <si>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</si>
  <si>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</si>
  <si>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</si>
  <si>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</si>
  <si>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</si>
  <si>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</si>
  <si>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</si>
  <si>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</si>
  <si>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</si>
  <si>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</si>
  <si>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</si>
  <si>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</si>
  <si>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</si>
  <si>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</si>
  <si>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</si>
  <si>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</si>
  <si>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</si>
  <si>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</si>
  <si>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</si>
  <si>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</si>
  <si>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</si>
  <si>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</si>
  <si>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</si>
  <si>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</si>
  <si>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</si>
  <si>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</si>
  <si>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</si>
  <si>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</si>
  <si>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</si>
  <si>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</si>
  <si>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</si>
  <si>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</si>
  <si>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</si>
  <si>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</si>
  <si>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</si>
  <si>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</si>
  <si>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</si>
  <si>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</si>
  <si>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</si>
  <si>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</si>
  <si>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</si>
  <si>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</si>
  <si>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</si>
  <si>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</si>
  <si>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</si>
  <si>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</si>
  <si>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</si>
  <si>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</si>
  <si>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</si>
  <si>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</si>
  <si>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</si>
  <si>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</si>
  <si>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</si>
  <si>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</si>
  <si>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</si>
  <si>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</si>
  <si>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</si>
  <si>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</si>
  <si>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</si>
  <si>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</si>
  <si>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</si>
  <si>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</si>
  <si>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</si>
  <si>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</si>
  <si>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</si>
  <si>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</si>
  <si>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</si>
  <si>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</si>
  <si>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</si>
  <si>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</si>
  <si>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</si>
  <si>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</si>
  <si>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</si>
  <si>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</si>
  <si>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</si>
  <si>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</si>
  <si>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</si>
  <si>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</si>
  <si>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</si>
  <si>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</si>
  <si>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</si>
  <si>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</si>
  <si>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</si>
  <si>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</si>
  <si>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</si>
  <si>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</si>
  <si>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</si>
  <si>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</si>
  <si>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</si>
  <si>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</si>
  <si>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</si>
  <si>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</si>
  <si>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</si>
  <si>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</si>
  <si>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</si>
  <si>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</si>
  <si>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</si>
  <si>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</si>
  <si>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</si>
  <si>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</si>
  <si>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</si>
  <si>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</si>
  <si>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</si>
  <si>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</si>
  <si>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</si>
  <si>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</si>
  <si>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</si>
  <si>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</si>
  <si>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</si>
  <si>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</si>
  <si>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</si>
  <si>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</si>
  <si>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</si>
  <si>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</si>
  <si>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</si>
  <si>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</si>
  <si>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</si>
  <si>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</si>
  <si>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</si>
  <si>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</si>
  <si>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</si>
  <si>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</si>
  <si>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</si>
  <si>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</si>
  <si>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</si>
  <si>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</si>
  <si>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</si>
  <si>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</si>
  <si>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</si>
  <si>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</si>
  <si>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</si>
  <si>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</si>
  <si>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</si>
  <si>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</si>
  <si>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</si>
  <si>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</si>
  <si>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</si>
  <si>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</si>
  <si>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</si>
  <si>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</si>
  <si>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</si>
  <si>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</si>
  <si>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</si>
  <si>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</si>
  <si>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</si>
  <si>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</si>
  <si>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</si>
  <si>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</si>
  <si>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</si>
  <si>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</si>
  <si>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</si>
  <si>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</si>
  <si>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</si>
  <si>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</si>
  <si>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</si>
  <si>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</si>
  <si>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</si>
  <si>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</si>
  <si>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</si>
  <si>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</si>
  <si>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</si>
  <si>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</si>
  <si>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</si>
  <si>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</si>
  <si>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</si>
  <si>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</si>
  <si>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</si>
  <si>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</si>
  <si>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</si>
  <si>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</si>
  <si>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</si>
  <si>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</si>
  <si>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</si>
  <si>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</si>
  <si>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</si>
  <si>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</si>
  <si>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</si>
  <si>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</si>
  <si>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</si>
  <si>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</si>
  <si>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</si>
  <si>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</si>
  <si>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</si>
  <si>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</si>
  <si>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</si>
  <si>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</si>
  <si>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</si>
  <si>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</si>
  <si>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</si>
  <si>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</si>
  <si>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</si>
  <si>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</si>
  <si>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</si>
  <si>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</si>
  <si>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</si>
  <si>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</si>
  <si>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</si>
  <si>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</si>
  <si>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</si>
  <si>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</si>
  <si>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</si>
  <si>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</si>
  <si>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</si>
  <si>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</si>
  <si>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</si>
  <si>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</si>
  <si>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</si>
  <si>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</si>
  <si>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</si>
  <si>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</si>
  <si>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</si>
  <si>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</si>
  <si>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</si>
  <si>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</si>
  <si>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</si>
  <si>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</si>
  <si>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</si>
  <si>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</si>
  <si>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</si>
  <si>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</si>
  <si>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</si>
  <si>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</si>
  <si>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</si>
  <si>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</si>
  <si>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</si>
  <si>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</si>
  <si>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</si>
  <si>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</si>
  <si>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</si>
  <si>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</si>
  <si>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</si>
  <si>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</si>
  <si>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</si>
  <si>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</si>
  <si>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</si>
  <si>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</si>
  <si>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</si>
  <si>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</si>
  <si>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</si>
  <si>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</si>
  <si>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</si>
  <si>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</si>
  <si>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</si>
  <si>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</si>
  <si>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</si>
  <si>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</si>
  <si>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</si>
  <si>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</si>
  <si>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</si>
  <si>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</si>
  <si>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</si>
  <si>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</si>
  <si>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</si>
  <si>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</si>
  <si>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</si>
  <si>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</si>
  <si>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</si>
  <si>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</si>
  <si>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</si>
  <si>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</si>
  <si>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</si>
  <si>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</si>
  <si>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</si>
  <si>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</si>
  <si>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</si>
  <si>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</si>
  <si>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</si>
  <si>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</si>
  <si>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</si>
  <si>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</si>
  <si>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</si>
  <si>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</si>
  <si>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</si>
  <si>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</si>
  <si>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</si>
  <si>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</si>
  <si>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</si>
  <si>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</si>
  <si>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</si>
  <si>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</si>
  <si>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</si>
  <si>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</si>
  <si>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</si>
  <si>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</si>
  <si>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</si>
  <si>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</si>
  <si>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</si>
  <si>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</si>
  <si>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</si>
  <si>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</si>
  <si>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</si>
  <si>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</si>
  <si>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</si>
  <si>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</si>
  <si>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</si>
  <si>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</si>
  <si>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</si>
  <si>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</si>
  <si>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</si>
  <si>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</si>
  <si>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</si>
  <si>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</si>
  <si>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</si>
  <si>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</si>
  <si>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</si>
  <si>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</si>
  <si>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</si>
  <si>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</si>
  <si>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</si>
  <si>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</si>
  <si>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</si>
  <si>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</si>
  <si>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</si>
  <si>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</si>
  <si>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</si>
  <si>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</si>
  <si>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</si>
  <si>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</si>
  <si>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</si>
  <si>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</si>
  <si>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</si>
  <si>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</si>
  <si>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</si>
  <si>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</si>
  <si>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</si>
  <si>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</si>
  <si>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</si>
  <si>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</si>
  <si>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</si>
  <si>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</si>
  <si>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</si>
  <si>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</si>
  <si>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</si>
  <si>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</si>
  <si>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</si>
  <si>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</si>
  <si>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</si>
  <si>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</si>
  <si>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</si>
  <si>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</si>
  <si>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</si>
  <si>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</si>
  <si>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</si>
  <si>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</si>
  <si>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</si>
  <si>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</si>
  <si>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</si>
  <si>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</si>
  <si>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</si>
  <si>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</si>
  <si>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</si>
  <si>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</si>
  <si>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</si>
  <si>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</si>
  <si>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</si>
  <si>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</si>
  <si>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</si>
  <si>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</si>
  <si>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</si>
  <si>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</si>
  <si>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</si>
  <si>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</si>
  <si>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</si>
  <si>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</si>
  <si>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</si>
  <si>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</si>
  <si>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</si>
  <si>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</si>
  <si>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</si>
  <si>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</si>
  <si>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</si>
  <si>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</si>
  <si>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</si>
  <si>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</si>
  <si>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</si>
  <si>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</si>
  <si>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</si>
  <si>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</si>
  <si>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</si>
  <si>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</si>
  <si>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</si>
  <si>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</si>
  <si>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</si>
  <si>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</si>
  <si>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</si>
  <si>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</si>
  <si>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</si>
  <si>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</si>
  <si>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</si>
  <si>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</si>
  <si>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</si>
  <si>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</si>
  <si>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</si>
  <si>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</si>
  <si>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</si>
  <si>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</si>
  <si>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</si>
  <si>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</si>
  <si>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</si>
  <si>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</si>
  <si>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</si>
  <si>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</si>
  <si>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</si>
  <si>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</si>
  <si>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</si>
  <si>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</si>
  <si>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</si>
  <si>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</si>
  <si>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</si>
  <si>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</si>
  <si>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</si>
  <si>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</si>
  <si>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</si>
  <si>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</si>
  <si>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</si>
  <si>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</si>
  <si>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</si>
  <si>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</si>
  <si>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</si>
  <si>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</si>
  <si>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</si>
  <si>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</si>
  <si>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</si>
  <si>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</si>
  <si>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</si>
  <si>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</si>
  <si>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</si>
  <si>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</si>
  <si>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</si>
  <si>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</si>
  <si>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</si>
  <si>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</si>
  <si>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</si>
  <si>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</si>
  <si>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</si>
  <si>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</si>
  <si>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</si>
  <si>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</si>
  <si>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</si>
  <si>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</si>
  <si>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</si>
  <si>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</si>
  <si>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</si>
  <si>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</si>
  <si>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</si>
  <si>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</si>
  <si>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</si>
  <si>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</si>
  <si>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</si>
  <si>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</si>
  <si>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</si>
  <si>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</si>
  <si>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</si>
  <si>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</si>
  <si>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</si>
  <si>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</si>
  <si>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</si>
  <si>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</si>
  <si>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</si>
  <si>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</si>
  <si>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</si>
  <si>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</si>
  <si>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</si>
  <si>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</si>
  <si>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</si>
  <si>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</si>
  <si>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</si>
  <si>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</si>
  <si>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</si>
  <si>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</si>
  <si>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</si>
  <si>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</si>
  <si>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</si>
  <si>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</si>
  <si>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</si>
  <si>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</si>
  <si>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</si>
  <si>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</si>
  <si>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</si>
  <si>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</si>
  <si>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</si>
  <si>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</si>
  <si>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</si>
  <si>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</si>
  <si>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</si>
  <si>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</si>
  <si>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</si>
  <si>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</si>
  <si>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</si>
  <si>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</si>
  <si>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</si>
  <si>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</si>
  <si>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</si>
  <si>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</si>
  <si>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</si>
  <si>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</si>
  <si>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</si>
  <si>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</si>
  <si>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</si>
  <si>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</si>
  <si>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</si>
  <si>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</si>
  <si>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</si>
  <si>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</si>
  <si>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</si>
  <si>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</si>
  <si>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</si>
  <si>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</si>
  <si>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</si>
  <si>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</si>
  <si>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</si>
  <si>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</si>
  <si>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</si>
  <si>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</si>
  <si>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</si>
  <si>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</si>
  <si>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</si>
  <si>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</si>
  <si>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</si>
  <si>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</si>
  <si>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</si>
  <si>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</si>
  <si>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</si>
  <si>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</si>
  <si>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</si>
  <si>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</si>
  <si>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</si>
  <si>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</si>
  <si>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</si>
  <si>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</si>
  <si>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</si>
  <si>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</si>
  <si>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</si>
  <si>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</si>
  <si>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</si>
  <si>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</si>
  <si>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</si>
  <si>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</si>
  <si>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</si>
  <si>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</si>
  <si>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</si>
  <si>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</si>
  <si>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</si>
  <si>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</si>
  <si>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</si>
  <si>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</si>
  <si>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</si>
  <si>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</si>
  <si>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</si>
  <si>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</si>
  <si>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</si>
  <si>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</si>
  <si>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</si>
  <si>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</si>
  <si>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</si>
  <si>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</si>
  <si>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</si>
  <si>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</si>
  <si>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</si>
  <si>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</si>
  <si>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</si>
  <si>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</si>
  <si>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</si>
  <si>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</si>
  <si>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</si>
  <si>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</si>
  <si>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</si>
  <si>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</si>
  <si>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</si>
  <si>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</si>
  <si>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</si>
  <si>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</si>
  <si>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</si>
  <si>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</si>
  <si>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</si>
  <si>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</si>
  <si>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</si>
  <si>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</si>
  <si>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</si>
  <si>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</si>
  <si>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</si>
  <si>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</si>
  <si>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</si>
  <si>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</si>
  <si>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</si>
  <si>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</si>
  <si>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</si>
  <si>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</si>
  <si>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</si>
  <si>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</si>
  <si>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</si>
  <si>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</si>
  <si>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</si>
  <si>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</si>
  <si>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</si>
  <si>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</si>
  <si>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</si>
  <si>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</si>
  <si>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</si>
  <si>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</si>
  <si>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</si>
  <si>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</si>
  <si>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</si>
  <si>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</si>
  <si>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</si>
  <si>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</si>
  <si>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</si>
  <si>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</si>
  <si>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</si>
  <si>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</si>
  <si>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</si>
  <si>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</si>
  <si>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</si>
  <si>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</si>
  <si>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</si>
  <si>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</si>
  <si>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</si>
  <si>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</si>
  <si>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</si>
  <si>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</si>
  <si>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</si>
  <si>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</si>
  <si>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</si>
  <si>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</si>
  <si>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</si>
  <si>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</si>
  <si>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</si>
  <si>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</si>
  <si>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</si>
  <si>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</si>
  <si>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</si>
  <si>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</si>
  <si>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</si>
  <si>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</si>
  <si>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</si>
  <si>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</si>
  <si>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</si>
  <si>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</si>
  <si>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</si>
  <si>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</si>
  <si>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</si>
  <si>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</si>
  <si>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</si>
  <si>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</si>
  <si>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</si>
  <si>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</si>
  <si>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</si>
  <si>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</si>
  <si>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</si>
  <si>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</si>
  <si>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</si>
  <si>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</si>
  <si>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</si>
  <si>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</si>
  <si>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</si>
  <si>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</si>
  <si>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</si>
  <si>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</si>
  <si>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</si>
  <si>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</si>
  <si>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</si>
  <si>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</si>
  <si>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</si>
  <si>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</si>
  <si>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</si>
  <si>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</si>
  <si>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</si>
  <si>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</si>
  <si>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</si>
  <si>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</si>
  <si>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</si>
  <si>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</si>
  <si>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</si>
  <si>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</si>
  <si>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</si>
  <si>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</si>
  <si>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</si>
  <si>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</si>
  <si>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</si>
  <si>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</si>
  <si>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</si>
  <si>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</si>
  <si>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</si>
  <si>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</si>
  <si>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</si>
  <si>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</si>
  <si>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</si>
  <si>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</si>
  <si>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</si>
  <si>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</si>
  <si>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</si>
  <si>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</si>
  <si>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</si>
  <si>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</si>
  <si>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</si>
  <si>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</si>
  <si>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</si>
  <si>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</si>
  <si>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</si>
  <si>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</si>
  <si>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</si>
  <si>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</si>
  <si>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</si>
  <si>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</si>
  <si>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</si>
  <si>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</si>
  <si>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</si>
  <si>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</si>
  <si>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</si>
  <si>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</si>
  <si>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</si>
  <si>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</si>
  <si>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</si>
  <si>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</si>
  <si>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</si>
  <si>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</si>
  <si>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</si>
  <si>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</si>
  <si>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</si>
  <si>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</si>
  <si>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</si>
  <si>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</si>
  <si>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</si>
  <si>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</si>
  <si>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</si>
  <si>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</si>
  <si>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</si>
  <si>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</si>
  <si>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</si>
  <si>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</si>
  <si>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</si>
  <si>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</si>
  <si>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</si>
  <si>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</si>
  <si>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</si>
  <si>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</si>
  <si>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</si>
  <si>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</si>
  <si>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</si>
  <si>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</si>
  <si>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</si>
  <si>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</si>
  <si>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</si>
  <si>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</si>
  <si>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</si>
  <si>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</si>
  <si>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</si>
  <si>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</si>
  <si>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</si>
  <si>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</si>
  <si>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</si>
  <si>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</si>
  <si>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</si>
  <si>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</si>
  <si>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</si>
  <si>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</si>
  <si>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</si>
  <si>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</si>
  <si>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</si>
  <si>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</si>
  <si>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</si>
  <si>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</si>
  <si>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</si>
  <si>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</si>
  <si>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</si>
  <si>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</si>
  <si>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</si>
  <si>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</si>
  <si>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</si>
  <si>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</si>
  <si>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</si>
  <si>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</si>
  <si>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</si>
  <si>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</si>
  <si>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</si>
  <si>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</si>
  <si>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</si>
  <si>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</si>
  <si>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</si>
  <si>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</si>
  <si>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</si>
  <si>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</si>
  <si>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</si>
  <si>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</si>
  <si>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</si>
  <si>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</si>
  <si>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</si>
  <si>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</si>
  <si>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</si>
  <si>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</si>
  <si>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</si>
  <si>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</si>
  <si>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</si>
  <si>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</si>
  <si>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</si>
  <si>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</si>
  <si>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</si>
  <si>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</si>
  <si>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</si>
  <si>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</si>
  <si>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</si>
  <si>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</si>
  <si>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</si>
  <si>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</si>
  <si>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</si>
  <si>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</si>
  <si>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</si>
  <si>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</si>
  <si>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</si>
  <si>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</si>
  <si>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</si>
  <si>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</si>
  <si>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</si>
  <si>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</si>
  <si>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</si>
  <si>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</si>
  <si>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</si>
  <si>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</si>
  <si>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</si>
  <si>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</si>
  <si>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</si>
  <si>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</si>
  <si>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</si>
  <si>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</si>
  <si>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</si>
  <si>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</si>
  <si>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</si>
  <si>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</si>
  <si>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</si>
  <si>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</si>
  <si>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</si>
  <si>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</si>
  <si>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</si>
  <si>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</si>
  <si>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</si>
  <si>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</si>
  <si>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</si>
  <si>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</si>
  <si>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</si>
  <si>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</si>
  <si>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</si>
  <si>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</si>
  <si>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</si>
  <si>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</si>
  <si>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</si>
  <si>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</si>
  <si>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</si>
  <si>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</si>
  <si>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</si>
  <si>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</si>
  <si>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</si>
  <si>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</si>
  <si>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</si>
  <si>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</si>
  <si>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</si>
  <si>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</si>
  <si>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</si>
  <si>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</si>
  <si>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</si>
  <si>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</si>
  <si>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</si>
  <si>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</si>
  <si>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</si>
  <si>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</si>
  <si>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</si>
  <si>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</si>
  <si>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</si>
  <si>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</si>
  <si>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</si>
  <si>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</si>
  <si>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</si>
  <si>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</si>
  <si>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</si>
  <si>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</si>
  <si>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</si>
  <si>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</si>
  <si>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</si>
  <si>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</si>
  <si>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</si>
  <si>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</si>
  <si>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</si>
  <si>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</si>
  <si>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</si>
  <si>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</si>
  <si>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</si>
  <si>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</si>
  <si>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</si>
  <si>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</si>
  <si>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</si>
  <si>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</si>
  <si>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</si>
  <si>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</si>
  <si>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</si>
  <si>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</si>
  <si>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</si>
  <si>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</si>
  <si>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</si>
  <si>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</si>
  <si>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</si>
  <si>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</si>
  <si>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</si>
  <si>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</si>
  <si>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</si>
  <si>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</si>
  <si>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</si>
  <si>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</si>
  <si>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</si>
  <si>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</si>
  <si>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</si>
  <si>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</si>
  <si>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</si>
  <si>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</si>
  <si>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</si>
  <si>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</si>
  <si>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</si>
  <si>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</si>
  <si>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</si>
  <si>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</si>
  <si>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</si>
  <si>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</si>
  <si>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</si>
  <si>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</si>
  <si>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</si>
  <si>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</si>
  <si>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</si>
  <si>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</si>
  <si>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</si>
  <si>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</si>
  <si>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</si>
  <si>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</si>
  <si>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</si>
  <si>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</si>
  <si>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</si>
  <si>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</si>
  <si>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</si>
  <si>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</si>
  <si>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</si>
  <si>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</si>
  <si>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</si>
  <si>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</si>
  <si>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</si>
  <si>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</si>
  <si>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</si>
  <si>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</si>
  <si>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</si>
  <si>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</si>
  <si>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</si>
  <si>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</si>
  <si>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</si>
  <si>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</si>
  <si>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</si>
  <si>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</si>
  <si>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</si>
  <si>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</si>
  <si>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</si>
  <si>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</si>
  <si>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</si>
  <si>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</si>
  <si>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</si>
  <si>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</si>
  <si>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</si>
  <si>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</si>
  <si>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</si>
  <si>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</si>
  <si>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</si>
  <si>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</si>
  <si>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</si>
  <si>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</si>
  <si>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</si>
  <si>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</si>
  <si>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</si>
  <si>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</si>
  <si>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</si>
  <si>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</si>
  <si>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</si>
  <si>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</si>
  <si>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</si>
  <si>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</si>
  <si>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</si>
  <si>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</si>
  <si>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</si>
  <si>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</si>
  <si>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</si>
  <si>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</si>
  <si>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</si>
  <si>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</si>
  <si>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</si>
  <si>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</si>
  <si>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</si>
  <si>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</si>
  <si>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</si>
  <si>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</si>
  <si>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</si>
  <si>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</si>
  <si>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</si>
  <si>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</si>
  <si>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</si>
  <si>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</si>
  <si>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</si>
  <si>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</si>
  <si>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</si>
  <si>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</si>
  <si>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</si>
  <si>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</si>
  <si>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</si>
  <si>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</si>
  <si>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</si>
  <si>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</si>
  <si>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</si>
  <si>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</si>
  <si>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</si>
  <si>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</si>
  <si>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</si>
  <si>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</si>
  <si>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</si>
  <si>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</si>
  <si>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</si>
  <si>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</si>
  <si>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</si>
  <si>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</si>
  <si>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</si>
  <si>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</si>
  <si>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</si>
  <si>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</si>
  <si>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</si>
  <si>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</si>
  <si>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</si>
  <si>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</si>
  <si>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</si>
  <si>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</si>
  <si>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</si>
  <si>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</si>
  <si>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</si>
  <si>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</si>
  <si>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</si>
  <si>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</si>
  <si>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</si>
  <si>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</si>
  <si>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</si>
  <si>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</si>
  <si>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</si>
  <si>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</si>
  <si>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</si>
  <si>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</si>
  <si>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</si>
  <si>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</si>
  <si>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</si>
  <si>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</si>
  <si>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</si>
  <si>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</si>
  <si>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</si>
  <si>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</si>
  <si>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</si>
  <si>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</si>
  <si>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</si>
  <si>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</si>
  <si>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</si>
  <si>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</si>
  <si>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</si>
  <si>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</si>
  <si>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</si>
  <si>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</si>
  <si>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</si>
  <si>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</si>
  <si>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</si>
  <si>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</si>
  <si>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</si>
  <si>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</si>
  <si>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</si>
  <si>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</si>
  <si>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</si>
  <si>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</si>
  <si>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</si>
  <si>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</si>
  <si>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</si>
  <si>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</si>
  <si>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</si>
  <si>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</si>
  <si>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</si>
  <si>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</si>
  <si>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</si>
  <si>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</si>
  <si>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</si>
  <si>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</si>
  <si>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</si>
  <si>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</si>
  <si>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</si>
  <si>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</si>
  <si>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</si>
  <si>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</si>
  <si>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</si>
  <si>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</si>
  <si>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</si>
  <si>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</si>
  <si>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</si>
  <si>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</si>
  <si>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</si>
  <si>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</si>
  <si>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</si>
  <si>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</si>
  <si>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</si>
  <si>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</si>
  <si>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</si>
  <si>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</si>
  <si>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</si>
  <si>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</si>
  <si>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</si>
  <si>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</si>
  <si>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</si>
  <si>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</si>
  <si>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</si>
  <si>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</si>
  <si>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</si>
  <si>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</si>
  <si>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</si>
  <si>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</si>
  <si>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</si>
  <si>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</si>
  <si>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</si>
  <si>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</si>
  <si>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</si>
  <si>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</si>
  <si>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</si>
  <si>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</si>
  <si>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</si>
  <si>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</si>
  <si>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</si>
  <si>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</si>
  <si>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</si>
  <si>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</si>
  <si>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</si>
  <si>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</si>
  <si>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</si>
  <si>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</si>
  <si>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</si>
  <si>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</si>
  <si>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</si>
  <si>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</si>
  <si>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</si>
  <si>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</si>
  <si>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</si>
  <si>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</si>
  <si>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</si>
  <si>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</si>
  <si>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</si>
  <si>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</si>
  <si>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</si>
  <si>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</si>
  <si>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</si>
  <si>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</si>
  <si>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</si>
  <si>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</si>
  <si>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</si>
  <si>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</si>
  <si>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</si>
  <si>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</si>
  <si>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</si>
  <si>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</si>
  <si>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</si>
  <si>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</si>
  <si>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</si>
  <si>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</si>
  <si>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</si>
  <si>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</si>
  <si>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</si>
  <si>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</si>
  <si>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</si>
  <si>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</si>
  <si>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</si>
  <si>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</si>
  <si>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</si>
  <si>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</si>
  <si>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</si>
  <si>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</si>
  <si>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</si>
  <si>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</si>
  <si>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</si>
  <si>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</si>
  <si>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</si>
  <si>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</si>
  <si>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</si>
  <si>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</si>
  <si>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</si>
  <si>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</si>
  <si>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</si>
  <si>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</si>
  <si>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</si>
  <si>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</si>
  <si>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</si>
  <si>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</si>
  <si>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</si>
  <si>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</si>
  <si>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</si>
  <si>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</si>
  <si>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</si>
  <si>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</si>
  <si>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</si>
  <si>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</si>
  <si>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</si>
  <si>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</si>
  <si>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</si>
  <si>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</si>
  <si>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</si>
  <si>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</si>
  <si>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</si>
  <si>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</si>
  <si>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</si>
  <si>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</si>
  <si>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</si>
  <si>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</si>
  <si>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</si>
  <si>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</si>
  <si>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</si>
  <si>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</si>
  <si>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</si>
  <si>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</si>
  <si>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</si>
  <si>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</si>
  <si>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</si>
  <si>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</si>
  <si>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</si>
  <si>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</si>
  <si>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</si>
  <si>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</si>
  <si>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</si>
  <si>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</si>
  <si>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</si>
  <si>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</si>
  <si>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</si>
  <si>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</si>
  <si>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</si>
  <si>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</si>
  <si>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</si>
  <si>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</si>
  <si>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</si>
  <si>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</si>
  <si>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</si>
  <si>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</si>
  <si>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</si>
  <si>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</si>
  <si>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</si>
  <si>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</si>
  <si>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</si>
  <si>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</si>
  <si>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</si>
  <si>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</si>
  <si>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</si>
  <si>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</si>
  <si>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</si>
  <si>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</si>
  <si>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</si>
  <si>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</si>
  <si>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</si>
  <si>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</si>
  <si>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</si>
  <si>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</si>
  <si>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</si>
  <si>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</si>
  <si>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</si>
  <si>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</si>
  <si>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</si>
  <si>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</si>
  <si>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</si>
  <si>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</si>
  <si>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</si>
  <si>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</si>
  <si>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</si>
  <si>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</si>
  <si>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</si>
  <si>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</si>
  <si>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</si>
  <si>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</si>
  <si>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</si>
  <si>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</si>
  <si>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</si>
  <si>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</si>
  <si>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</si>
  <si>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</si>
  <si>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</si>
  <si>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</si>
  <si>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</si>
  <si>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</si>
  <si>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</si>
  <si>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</si>
  <si>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</si>
  <si>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</si>
  <si>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</si>
  <si>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</si>
  <si>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</si>
  <si>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</si>
  <si>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</si>
  <si>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</si>
  <si>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</si>
  <si>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</si>
  <si>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</si>
  <si>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</si>
  <si>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</si>
  <si>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</si>
  <si>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</si>
  <si>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</si>
  <si>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</si>
  <si>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</si>
  <si>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</si>
  <si>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</si>
  <si>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</si>
  <si>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</si>
  <si>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</si>
  <si>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</si>
  <si>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</si>
  <si>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</si>
  <si>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</si>
  <si>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</si>
  <si>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</si>
  <si>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</si>
  <si>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</si>
  <si>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</si>
  <si>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</si>
  <si>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</si>
  <si>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</si>
  <si>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</si>
  <si>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</si>
  <si>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</si>
  <si>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</si>
  <si>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</si>
  <si>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</si>
  <si>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</si>
  <si>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</si>
  <si>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</si>
  <si>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</si>
  <si>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</si>
  <si>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</si>
  <si>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</si>
  <si>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</si>
  <si>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</si>
  <si>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</si>
  <si>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</si>
  <si>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</si>
  <si>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</si>
  <si>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</si>
  <si>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</si>
  <si>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</si>
  <si>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</si>
  <si>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</si>
  <si>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</si>
  <si>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</si>
  <si>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</si>
  <si>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</si>
  <si>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</si>
  <si>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</si>
  <si>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</si>
  <si>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</si>
  <si>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</si>
  <si>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</si>
  <si>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</si>
  <si>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</si>
  <si>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</si>
  <si>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</si>
  <si>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</si>
  <si>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</si>
  <si>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</si>
  <si>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</si>
  <si>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</si>
  <si>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</si>
  <si>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</si>
  <si>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</si>
  <si>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</si>
  <si>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</si>
  <si>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</si>
  <si>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</si>
  <si>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</si>
  <si>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</si>
  <si>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</si>
  <si>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</si>
  <si>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</si>
  <si>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</si>
  <si>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</si>
  <si>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</si>
  <si>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</si>
  <si>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</si>
  <si>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</si>
  <si>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</si>
  <si>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</si>
  <si>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</si>
  <si>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</si>
  <si>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</si>
  <si>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</si>
  <si>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</si>
  <si>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</si>
  <si>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</si>
  <si>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</si>
  <si>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</si>
  <si>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</si>
  <si>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</si>
  <si>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</si>
  <si>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</si>
  <si>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</si>
  <si>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</si>
  <si>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</si>
  <si>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</si>
  <si>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</si>
  <si>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</si>
  <si>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</si>
  <si>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</si>
  <si>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</si>
  <si>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</si>
  <si>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</si>
  <si>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</si>
  <si>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</si>
  <si>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</si>
  <si>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</si>
  <si>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</si>
  <si>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</si>
  <si>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</si>
  <si>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</si>
  <si>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</si>
  <si>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</si>
  <si>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</si>
  <si>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</si>
  <si>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</si>
  <si>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</si>
  <si>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</si>
  <si>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</si>
  <si>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</si>
  <si>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</si>
  <si>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</si>
  <si>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</si>
  <si>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</si>
  <si>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</si>
  <si>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</si>
  <si>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</si>
  <si>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</si>
  <si>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</si>
  <si>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</si>
  <si>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</si>
  <si>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</si>
  <si>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</si>
  <si>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</si>
  <si>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</si>
  <si>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</si>
  <si>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</si>
  <si>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</si>
  <si>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</si>
  <si>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</si>
  <si>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</si>
  <si>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</si>
  <si>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</si>
  <si>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</si>
  <si>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</si>
  <si>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</si>
  <si>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</si>
  <si>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</si>
  <si>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</si>
  <si>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</si>
  <si>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</si>
  <si>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</si>
  <si>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</si>
  <si>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</si>
  <si>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</si>
  <si>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</si>
  <si>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</si>
  <si>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</si>
  <si>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</si>
  <si>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</si>
  <si>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</si>
  <si>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</si>
  <si>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</si>
  <si>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</si>
  <si>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</si>
  <si>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</si>
  <si>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</si>
  <si>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</si>
  <si>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</si>
  <si>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</si>
  <si>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</si>
  <si>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</si>
  <si>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</si>
  <si>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</si>
  <si>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</si>
  <si>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</si>
  <si>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</si>
  <si>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</si>
  <si>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</si>
  <si>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</si>
  <si>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</si>
  <si>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</si>
  <si>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</si>
  <si>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</si>
  <si>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</si>
  <si>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</si>
  <si>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</si>
  <si>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</si>
  <si>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</si>
  <si>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</si>
  <si>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</si>
  <si>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</si>
  <si>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</si>
  <si>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</si>
  <si>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</si>
  <si>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</si>
  <si>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</si>
  <si>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</si>
  <si>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</si>
  <si>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</si>
  <si>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</si>
  <si>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</si>
  <si>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</si>
  <si>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</si>
  <si>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</si>
  <si>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</si>
  <si>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</si>
  <si>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</si>
  <si>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</si>
  <si>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</si>
  <si>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</si>
  <si>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</si>
  <si>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</si>
  <si>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</si>
  <si>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</si>
  <si>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</si>
  <si>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</si>
  <si>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</si>
  <si>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</si>
  <si>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</si>
  <si>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</si>
  <si>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</si>
  <si>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</si>
  <si>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</si>
  <si>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</si>
  <si>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</si>
  <si>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</si>
  <si>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</si>
  <si>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</si>
  <si>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</si>
  <si>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</si>
  <si>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</si>
  <si>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</si>
  <si>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</si>
  <si>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</si>
  <si>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</si>
  <si>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</si>
  <si>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</si>
  <si>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</si>
  <si>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</si>
  <si>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</si>
  <si>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</si>
  <si>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</si>
  <si>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</si>
  <si>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</si>
  <si>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</si>
  <si>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</si>
  <si>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</si>
  <si>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</si>
  <si>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</si>
  <si>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</si>
  <si>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</si>
  <si>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</si>
  <si>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</si>
  <si>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</si>
  <si>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</si>
  <si>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</si>
  <si>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</si>
  <si>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</si>
  <si>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</si>
  <si>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</si>
  <si>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</si>
  <si>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</si>
  <si>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</si>
  <si>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</si>
  <si>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</si>
  <si>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</si>
  <si>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</si>
  <si>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</si>
  <si>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</si>
  <si>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</si>
  <si>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</si>
  <si>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</si>
  <si>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</si>
  <si>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</si>
  <si>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</si>
  <si>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</si>
  <si>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</si>
  <si>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</si>
  <si>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</si>
  <si>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</si>
  <si>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</si>
  <si>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</si>
  <si>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</si>
  <si>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</si>
  <si>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</si>
  <si>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</si>
  <si>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</si>
  <si>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</si>
  <si>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</si>
  <si>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</si>
  <si>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</si>
  <si>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</si>
  <si>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</si>
  <si>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</si>
  <si>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</si>
  <si>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</si>
  <si>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</si>
  <si>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</si>
  <si>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</si>
  <si>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</si>
  <si>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</si>
  <si>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</si>
  <si>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</si>
  <si>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</si>
  <si>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</si>
  <si>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</si>
  <si>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</si>
  <si>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</si>
  <si>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</si>
  <si>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</si>
  <si>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</si>
  <si>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</si>
  <si>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</si>
  <si>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</si>
  <si>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</si>
  <si>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</si>
  <si>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</si>
  <si>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</si>
  <si>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</si>
  <si>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</si>
  <si>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</si>
  <si>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</si>
  <si>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</si>
  <si>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</si>
  <si>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</si>
  <si>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</si>
  <si>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</si>
  <si>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</si>
  <si>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</si>
  <si>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</si>
  <si>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</si>
  <si>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</si>
  <si>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</si>
  <si>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</si>
  <si>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</si>
  <si>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</si>
  <si>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</si>
  <si>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</si>
  <si>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</si>
  <si>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</si>
  <si>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</si>
  <si>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</si>
  <si>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</si>
  <si>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</si>
  <si>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</si>
  <si>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</si>
  <si>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</si>
  <si>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</si>
  <si>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</si>
  <si>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</si>
  <si>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</si>
  <si>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</si>
  <si>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</si>
  <si>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</si>
  <si>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</si>
  <si>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</si>
  <si>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</si>
  <si>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</si>
  <si>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</si>
  <si>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</si>
  <si>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</si>
  <si>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</si>
  <si>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</si>
  <si>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</si>
  <si>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</si>
  <si>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</si>
  <si>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</si>
  <si>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</si>
  <si>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</si>
  <si>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</si>
  <si>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</si>
  <si>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</si>
  <si>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</si>
  <si>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</si>
  <si>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</si>
  <si>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</si>
  <si>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</si>
  <si>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</si>
  <si>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</si>
  <si>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</si>
  <si>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</si>
  <si>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</si>
  <si>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</si>
  <si>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</si>
  <si>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</si>
  <si>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</si>
  <si>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</si>
  <si>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</si>
  <si>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</si>
  <si>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</si>
  <si>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</si>
  <si>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</si>
  <si>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</si>
  <si>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</si>
  <si>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</si>
  <si>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</si>
  <si>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</si>
  <si>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</si>
  <si>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</si>
  <si>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</si>
  <si>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</si>
  <si>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</si>
  <si>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</si>
  <si>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</si>
  <si>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</si>
  <si>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</si>
  <si>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</si>
  <si>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</si>
  <si>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</si>
  <si>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</si>
  <si>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</si>
  <si>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</si>
  <si>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</si>
  <si>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</si>
  <si>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</si>
  <si>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</si>
  <si>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</si>
  <si>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</si>
  <si>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</si>
  <si>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</si>
  <si>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</si>
  <si>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</si>
  <si>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</si>
  <si>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</si>
  <si>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</si>
  <si>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</si>
  <si>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</si>
  <si>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</si>
  <si>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</si>
  <si>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</si>
  <si>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</si>
  <si>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</si>
  <si>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</si>
  <si>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</si>
  <si>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</si>
  <si>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</si>
  <si>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</si>
  <si>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</si>
  <si>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</si>
  <si>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</si>
  <si>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</si>
  <si>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</si>
  <si>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</si>
  <si>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</si>
  <si>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</si>
  <si>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</si>
  <si>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</si>
  <si>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</si>
  <si>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</si>
  <si>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</si>
  <si>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</si>
  <si>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</si>
  <si>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</si>
  <si>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</si>
  <si>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</si>
  <si>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</si>
  <si>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</si>
  <si>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</si>
  <si>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</si>
  <si>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</si>
  <si>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</si>
  <si>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</si>
  <si>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</si>
  <si>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</si>
  <si>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</si>
  <si>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</si>
  <si>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</si>
  <si>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</si>
  <si>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</si>
  <si>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</si>
  <si>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</si>
  <si>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</si>
  <si>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</si>
  <si>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</si>
  <si>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</si>
  <si>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</si>
  <si>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</si>
  <si>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</si>
  <si>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</si>
  <si>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</si>
  <si>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</si>
  <si>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</si>
  <si>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</si>
  <si>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</si>
  <si>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</si>
  <si>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</si>
  <si>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</si>
  <si>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</si>
  <si>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</si>
  <si>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</si>
  <si>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</si>
  <si>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</si>
  <si>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</si>
  <si>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</si>
  <si>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</si>
  <si>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</si>
  <si>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</si>
  <si>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</si>
  <si>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</si>
  <si>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</si>
  <si>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</si>
  <si>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</si>
  <si>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</si>
  <si>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</si>
  <si>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</si>
  <si>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</si>
  <si>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</si>
  <si>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</si>
  <si>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</si>
  <si>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</si>
  <si>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</si>
  <si>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</si>
  <si>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</si>
  <si>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</si>
  <si>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</si>
  <si>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</si>
  <si>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</si>
  <si>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</si>
  <si>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</si>
  <si>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</si>
  <si>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</si>
  <si>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</si>
  <si>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</si>
  <si>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</si>
  <si>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</si>
  <si>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</si>
  <si>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</si>
  <si>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</si>
  <si>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</si>
  <si>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</si>
  <si>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</si>
  <si>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</si>
  <si>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</si>
  <si>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</si>
  <si>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</si>
  <si>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</si>
  <si>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</si>
  <si>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</si>
  <si>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</si>
  <si>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</si>
  <si>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</si>
  <si>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</si>
  <si>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</si>
  <si>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</si>
  <si>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</si>
  <si>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</si>
  <si>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</si>
  <si>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</si>
  <si>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</si>
  <si>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</si>
  <si>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</si>
  <si>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</si>
  <si>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</si>
  <si>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</si>
  <si>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</si>
  <si>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</si>
  <si>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</si>
  <si>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</si>
  <si>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</si>
  <si>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</si>
  <si>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</si>
  <si>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</si>
  <si>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</si>
  <si>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</si>
  <si>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</si>
  <si>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</si>
  <si>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</si>
  <si>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</si>
  <si>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</si>
  <si>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</si>
  <si>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</si>
  <si>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</si>
  <si>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</si>
  <si>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</si>
  <si>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</si>
  <si>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</si>
  <si>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</si>
  <si>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</si>
  <si>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</si>
  <si>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</si>
  <si>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</si>
  <si>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</si>
  <si>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</si>
  <si>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</si>
  <si>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</si>
  <si>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</si>
  <si>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</si>
  <si>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</si>
  <si>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</si>
  <si>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</si>
  <si>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</si>
  <si>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</si>
  <si>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</si>
  <si>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</si>
  <si>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</si>
  <si>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</si>
  <si>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</si>
  <si>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</si>
  <si>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</si>
  <si>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</si>
  <si>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</si>
  <si>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</si>
  <si>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</si>
  <si>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</si>
  <si>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</si>
  <si>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</si>
  <si>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</si>
  <si>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</si>
  <si>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</si>
  <si>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</si>
  <si>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</si>
  <si>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</si>
  <si>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</si>
  <si>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</si>
  <si>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</si>
  <si>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</si>
  <si>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</si>
  <si>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</si>
  <si>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</si>
  <si>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</si>
  <si>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</si>
  <si>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</si>
  <si>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</si>
  <si>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</si>
  <si>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</si>
  <si>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</si>
  <si>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</si>
  <si>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</si>
  <si>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</si>
  <si>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</si>
  <si>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</si>
  <si>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</si>
  <si>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</si>
  <si>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</si>
  <si>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</si>
  <si>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</si>
  <si>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</si>
  <si>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</si>
  <si>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</si>
  <si>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</si>
  <si>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</si>
  <si>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</si>
  <si>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</si>
  <si>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</si>
  <si>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</si>
  <si>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</si>
  <si>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</si>
  <si>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</si>
  <si>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</si>
  <si>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</si>
  <si>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</si>
  <si>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</si>
  <si>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</si>
  <si>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</si>
  <si>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</si>
  <si>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</si>
  <si>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</si>
  <si>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</si>
  <si>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</si>
  <si>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</si>
  <si>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</si>
  <si>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</si>
  <si>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</si>
  <si>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</si>
  <si>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</si>
  <si>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</si>
  <si>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</si>
  <si>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</si>
  <si>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</si>
  <si>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</si>
  <si>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</si>
  <si>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</si>
  <si>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</si>
  <si>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</si>
  <si>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</si>
  <si>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</si>
  <si>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</si>
  <si>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</si>
  <si>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</si>
  <si>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</si>
  <si>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</si>
  <si>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</si>
  <si>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</si>
  <si>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</si>
  <si>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</si>
  <si>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</si>
  <si>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</si>
  <si>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</si>
  <si>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</si>
  <si>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</si>
  <si>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</si>
  <si>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</si>
  <si>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</si>
  <si>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</si>
  <si>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</si>
  <si>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</si>
  <si>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</si>
  <si>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</si>
  <si>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</si>
  <si>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</si>
  <si>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</si>
  <si>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</si>
  <si>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</si>
  <si>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</si>
  <si>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</si>
  <si>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</si>
  <si>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</si>
  <si>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</si>
  <si>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</si>
  <si>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</si>
  <si>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</si>
  <si>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</si>
  <si>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</si>
  <si>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</si>
  <si>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</si>
  <si>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</si>
  <si>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</si>
  <si>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</si>
  <si>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</si>
  <si>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</si>
  <si>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</si>
  <si>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</si>
  <si>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</si>
  <si>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</si>
  <si>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</si>
  <si>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</si>
  <si>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</si>
  <si>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</si>
  <si>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</si>
  <si>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</si>
  <si>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</si>
  <si>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</si>
  <si>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</si>
  <si>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</si>
  <si>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</si>
  <si>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</si>
  <si>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</si>
  <si>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</si>
  <si>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</si>
  <si>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</si>
  <si>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</si>
  <si>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</si>
  <si>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</si>
  <si>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</si>
  <si>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</si>
  <si>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</si>
  <si>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</si>
  <si>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</si>
  <si>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</si>
  <si>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</si>
  <si>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</si>
  <si>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</si>
  <si>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</si>
  <si>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</si>
  <si>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</si>
  <si>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</si>
  <si>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</si>
  <si>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</si>
  <si>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</si>
  <si>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</si>
  <si>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</si>
  <si>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</si>
  <si>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</si>
  <si>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</si>
  <si>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</si>
  <si>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</si>
  <si>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</si>
  <si>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</si>
  <si>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</si>
  <si>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</si>
  <si>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</si>
  <si>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</si>
  <si>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</si>
  <si>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</si>
  <si>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</si>
  <si>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</si>
  <si>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</si>
  <si>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</si>
  <si>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</si>
  <si>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</si>
  <si>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</si>
  <si>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</si>
  <si>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</si>
  <si>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</si>
  <si>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</si>
  <si>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</si>
  <si>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</si>
  <si>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</si>
  <si>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</si>
  <si>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</si>
  <si>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</si>
  <si>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</si>
  <si>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</si>
  <si>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</si>
  <si>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</si>
  <si>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</si>
  <si>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</si>
  <si>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</si>
  <si>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</si>
  <si>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</si>
  <si>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</si>
  <si>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</si>
  <si>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</si>
  <si>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</si>
  <si>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</si>
  <si>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</si>
  <si>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</si>
  <si>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</si>
  <si>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</si>
  <si>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</si>
  <si>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</si>
  <si>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</si>
  <si>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</si>
  <si>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</si>
  <si>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</si>
  <si>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</si>
  <si>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</si>
  <si>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</si>
  <si>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</si>
  <si>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</si>
  <si>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</si>
  <si>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</si>
  <si>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</si>
  <si>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</si>
  <si>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</si>
  <si>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</si>
  <si>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</si>
  <si>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</si>
  <si>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</si>
  <si>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</si>
  <si>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</si>
  <si>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</si>
  <si>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</si>
  <si>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</si>
  <si>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</si>
  <si>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</si>
  <si>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</si>
  <si>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</si>
  <si>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</si>
  <si>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</si>
  <si>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</si>
  <si>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</si>
  <si>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</si>
  <si>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</si>
  <si>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</si>
  <si>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</si>
  <si>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</si>
  <si>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</si>
  <si>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</si>
  <si>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</si>
  <si>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</si>
  <si>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</si>
  <si>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</si>
  <si>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</si>
  <si>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</si>
  <si>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</si>
  <si>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</si>
  <si>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</si>
  <si>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</si>
  <si>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</si>
  <si>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</si>
  <si>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</si>
  <si>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</si>
  <si>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</si>
  <si>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</si>
  <si>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</si>
  <si>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</si>
  <si>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</si>
  <si>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</si>
  <si>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</si>
  <si>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</si>
  <si>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</si>
  <si>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</si>
  <si>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</si>
  <si>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</si>
  <si>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</si>
  <si>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</si>
  <si>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</si>
  <si>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</si>
  <si>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</si>
  <si>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</si>
  <si>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</si>
  <si>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</si>
  <si>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</si>
  <si>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</si>
  <si>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</si>
  <si>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</si>
  <si>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</si>
  <si>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</si>
  <si>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</si>
  <si>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</si>
  <si>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</si>
  <si>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</si>
  <si>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</si>
  <si>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</si>
  <si>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</si>
  <si>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</si>
  <si>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</si>
  <si>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</si>
  <si>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</si>
  <si>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</si>
  <si>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</si>
  <si>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</si>
  <si>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</si>
  <si>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</si>
  <si>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</si>
  <si>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</si>
  <si>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</si>
  <si>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</si>
  <si>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</si>
  <si>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</si>
  <si>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</si>
  <si>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</si>
  <si>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</si>
  <si>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</si>
  <si>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</si>
  <si>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</si>
  <si>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</si>
  <si>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</si>
  <si>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</si>
  <si>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</si>
  <si>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</si>
  <si>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</si>
  <si>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</si>
  <si>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</si>
  <si>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</si>
  <si>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</si>
  <si>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</si>
  <si>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</si>
  <si>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</si>
  <si>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</si>
  <si>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</si>
  <si>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</si>
  <si>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</si>
  <si>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</si>
  <si>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</si>
  <si>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</si>
  <si>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</si>
  <si>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</si>
  <si>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</si>
  <si>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</si>
  <si>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</si>
  <si>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</si>
  <si>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</si>
  <si>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</si>
  <si>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</si>
  <si>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</si>
  <si>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</si>
  <si>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</si>
  <si>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</si>
  <si>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</si>
  <si>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</si>
  <si>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</si>
  <si>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</si>
  <si>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</si>
  <si>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</si>
  <si>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</si>
  <si>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</si>
  <si>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</si>
  <si>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</si>
  <si>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</si>
  <si>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</si>
  <si>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</si>
  <si>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</si>
  <si>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</si>
  <si>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</si>
  <si>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</si>
  <si>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</si>
  <si>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</si>
  <si>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</si>
  <si>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</si>
  <si>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</si>
  <si>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</si>
  <si>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</si>
  <si>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</si>
  <si>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</si>
  <si>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</si>
  <si>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</si>
  <si>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</si>
  <si>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</si>
  <si>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</si>
  <si>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</si>
  <si>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</si>
  <si>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</si>
  <si>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</si>
  <si>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</si>
  <si>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</si>
  <si>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</si>
  <si>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</si>
  <si>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</si>
  <si>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</si>
  <si>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</si>
  <si>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</si>
  <si>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</si>
  <si>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</si>
  <si>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</si>
  <si>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</si>
  <si>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</si>
  <si>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</si>
  <si>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</si>
  <si>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</si>
  <si>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</si>
  <si>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</si>
  <si>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</si>
  <si>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</si>
  <si>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</si>
  <si>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</si>
  <si>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</si>
  <si>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</si>
  <si>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</si>
  <si>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</si>
  <si>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</si>
  <si>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</si>
  <si>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</si>
  <si>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</si>
  <si>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</si>
  <si>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</si>
  <si>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</si>
  <si>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</si>
  <si>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</si>
  <si>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</si>
  <si>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</si>
  <si>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</si>
  <si>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</si>
  <si>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</si>
  <si>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</si>
  <si>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</si>
  <si>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</si>
  <si>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</si>
  <si>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</si>
  <si>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</si>
  <si>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</si>
  <si>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</si>
  <si>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</si>
  <si>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</si>
  <si>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</si>
  <si>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</si>
  <si>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</si>
  <si>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</si>
  <si>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</si>
  <si>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</si>
  <si>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</si>
  <si>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</si>
  <si>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</si>
  <si>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</si>
  <si>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</si>
  <si>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</si>
  <si>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</si>
  <si>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</si>
  <si>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</si>
  <si>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</si>
  <si>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</si>
  <si>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</si>
  <si>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</si>
  <si>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</si>
  <si>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</si>
  <si>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</si>
  <si>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</si>
  <si>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</si>
  <si>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</si>
  <si>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</si>
  <si>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</si>
  <si>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</si>
  <si>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</si>
  <si>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</si>
  <si>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</si>
  <si>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</si>
  <si>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</si>
  <si>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</si>
  <si>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</si>
  <si>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</si>
  <si>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</si>
  <si>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</si>
  <si>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</si>
  <si>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</si>
  <si>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</si>
  <si>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</si>
  <si>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</si>
  <si>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</si>
  <si>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</si>
  <si>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</si>
  <si>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</si>
  <si>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</si>
  <si>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</si>
  <si>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</si>
  <si>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</si>
  <si>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</si>
  <si>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</si>
  <si>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</si>
  <si>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</si>
  <si>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</si>
  <si>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</si>
  <si>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</si>
  <si>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</si>
  <si>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</si>
  <si>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</si>
  <si>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</si>
  <si>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</si>
  <si>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</si>
  <si>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</si>
  <si>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</si>
  <si>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</si>
  <si>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</si>
  <si>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</si>
  <si>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</si>
  <si>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</si>
  <si>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</si>
  <si>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</si>
  <si>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</si>
  <si>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</si>
  <si>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</si>
  <si>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</si>
  <si>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</si>
  <si>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</si>
  <si>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</si>
  <si>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</si>
  <si>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</si>
  <si>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</si>
  <si>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</si>
  <si>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</si>
  <si>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</si>
  <si>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</si>
  <si>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</si>
  <si>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</si>
  <si>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</si>
  <si>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</si>
  <si>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</si>
  <si>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</si>
  <si>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</si>
  <si>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</si>
  <si>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</si>
  <si>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</si>
  <si>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</si>
  <si>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</si>
  <si>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</si>
  <si>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</si>
  <si>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</si>
  <si>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</si>
  <si>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</si>
  <si>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</si>
  <si>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</si>
  <si>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</si>
  <si>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</si>
  <si>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</si>
  <si>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</si>
  <si>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</si>
  <si>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</si>
  <si>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</si>
  <si>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</si>
  <si>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</si>
  <si>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</si>
  <si>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</si>
  <si>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</si>
  <si>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</si>
  <si>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</si>
  <si>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</si>
  <si>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</si>
  <si>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</si>
  <si>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</si>
  <si>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</si>
  <si>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</si>
  <si>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</si>
  <si>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</si>
  <si>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</si>
  <si>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</si>
  <si>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</si>
  <si>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</si>
  <si>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</si>
  <si>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</si>
  <si>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</si>
  <si>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</si>
  <si>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</si>
  <si>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</si>
  <si>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</si>
  <si>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</si>
  <si>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</si>
  <si>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</si>
  <si>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</si>
  <si>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</si>
  <si>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</si>
  <si>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</si>
  <si>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</si>
  <si>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</si>
  <si>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</si>
  <si>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</si>
  <si>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</si>
  <si>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</si>
  <si>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</si>
  <si>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</si>
  <si>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</si>
  <si>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</si>
  <si>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</si>
  <si>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</si>
  <si>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</si>
  <si>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</si>
  <si>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</si>
  <si>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</si>
  <si>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</si>
  <si>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</si>
  <si>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</si>
  <si>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</si>
  <si>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</si>
  <si>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</si>
  <si>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</si>
  <si>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</si>
  <si>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</si>
  <si>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</si>
  <si>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</si>
  <si>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</si>
  <si>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</si>
  <si>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</si>
  <si>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</si>
  <si>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</si>
  <si>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</si>
  <si>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</si>
  <si>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</si>
  <si>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</si>
  <si>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</si>
  <si>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</si>
  <si>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</si>
  <si>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</si>
  <si>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</si>
  <si>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</si>
  <si>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</si>
  <si>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</si>
  <si>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</si>
  <si>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</si>
  <si>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</si>
  <si>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</si>
  <si>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</si>
  <si>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</si>
  <si>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</si>
  <si>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</si>
  <si>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</si>
  <si>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</si>
  <si>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</si>
  <si>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</si>
  <si>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</si>
  <si>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</si>
  <si>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</si>
  <si>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</si>
  <si>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</si>
  <si>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</si>
  <si>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</si>
  <si>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</si>
  <si>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</si>
  <si>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</si>
  <si>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</si>
  <si>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</si>
  <si>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</si>
  <si>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</si>
  <si>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</si>
  <si>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</si>
  <si>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</si>
  <si>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</si>
  <si>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</si>
  <si>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</si>
  <si>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</si>
  <si>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</si>
  <si>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</si>
  <si>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</si>
  <si>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</si>
  <si>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</si>
  <si>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</si>
  <si>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</si>
  <si>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</si>
  <si>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</si>
  <si>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</si>
  <si>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</si>
  <si>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</si>
  <si>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</si>
  <si>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</si>
  <si>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</si>
  <si>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</si>
  <si>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</si>
  <si>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</si>
  <si>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</si>
  <si>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</si>
  <si>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</si>
  <si>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</si>
  <si>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</si>
  <si>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</si>
  <si>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</si>
  <si>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</si>
  <si>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</si>
  <si>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</si>
  <si>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</si>
  <si>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</si>
  <si>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</si>
  <si>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</si>
  <si>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</si>
  <si>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</si>
  <si>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</si>
  <si>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</si>
  <si>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</si>
  <si>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</si>
  <si>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</si>
  <si>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</si>
  <si>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</si>
  <si>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</si>
  <si>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</si>
  <si>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</si>
  <si>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</si>
  <si>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</si>
  <si>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</si>
  <si>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</si>
  <si>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</si>
  <si>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</si>
  <si>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</si>
  <si>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</si>
  <si>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</si>
  <si>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</si>
  <si>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</si>
  <si>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</si>
  <si>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</si>
  <si>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</si>
  <si>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</si>
  <si>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</si>
  <si>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</si>
  <si>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</si>
  <si>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</si>
  <si>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</si>
  <si>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</si>
  <si>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</si>
  <si>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</si>
  <si>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</si>
  <si>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</si>
  <si>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</si>
  <si>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</si>
  <si>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</si>
  <si>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</si>
  <si>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</si>
  <si>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</si>
  <si>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</si>
  <si>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</si>
  <si>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</si>
  <si>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</si>
  <si>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</si>
  <si>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</si>
  <si>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</si>
  <si>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</si>
  <si>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</si>
  <si>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</si>
  <si>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</si>
  <si>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</si>
  <si>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</si>
  <si>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</si>
  <si>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</si>
  <si>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</si>
  <si>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</si>
  <si>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</si>
  <si>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</si>
  <si>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</si>
  <si>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</si>
  <si>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</si>
  <si>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</si>
  <si>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</si>
  <si>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</si>
  <si>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</si>
  <si>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</si>
  <si>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</si>
  <si>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</si>
  <si>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</si>
  <si>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</si>
  <si>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</si>
  <si>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</si>
  <si>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</si>
  <si>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</si>
  <si>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</si>
  <si>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</si>
  <si>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</si>
  <si>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</si>
  <si>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</si>
  <si>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</si>
  <si>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</si>
  <si>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</si>
  <si>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</si>
  <si>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</si>
  <si>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</si>
  <si>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</si>
  <si>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</si>
  <si>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</si>
  <si>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</si>
  <si>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</si>
  <si>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</si>
  <si>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</si>
  <si>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</si>
  <si>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</si>
  <si>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</si>
  <si>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</si>
  <si>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</si>
  <si>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</si>
  <si>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</si>
  <si>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</si>
  <si>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</si>
  <si>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</si>
  <si>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</si>
  <si>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</si>
  <si>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</si>
  <si>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</si>
  <si>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</si>
  <si>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</si>
  <si>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</si>
  <si>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</si>
  <si>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</si>
  <si>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</si>
  <si>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</si>
  <si>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</si>
  <si>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</si>
  <si>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</si>
  <si>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</si>
  <si>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</si>
  <si>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</si>
  <si>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</si>
  <si>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</si>
  <si>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</si>
  <si>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</si>
  <si>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</si>
  <si>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</si>
  <si>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</si>
  <si>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</si>
  <si>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</si>
  <si>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</si>
  <si>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</si>
  <si>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</si>
  <si>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</si>
  <si>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</si>
  <si>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</si>
  <si>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</si>
  <si>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</si>
  <si>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</si>
  <si>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</si>
  <si>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</si>
  <si>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</si>
  <si>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</si>
  <si>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</si>
  <si>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</si>
  <si>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</si>
  <si>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</si>
  <si>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</si>
  <si>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</si>
  <si>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</si>
  <si>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</si>
  <si>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</si>
  <si>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</si>
  <si>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</si>
  <si>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</si>
  <si>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</si>
  <si>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</si>
  <si>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</si>
  <si>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</si>
  <si>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</si>
  <si>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</si>
  <si>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</si>
  <si>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</si>
  <si>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</si>
  <si>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</si>
  <si>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</si>
  <si>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</si>
  <si>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</si>
  <si>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</si>
  <si>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</si>
  <si>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</si>
  <si>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住宅</t>
    <phoneticPr fontId="3" type="noConversion"/>
  </si>
  <si>
    <t>是</t>
  </si>
  <si>
    <t>地上</t>
  </si>
  <si>
    <t>否</t>
  </si>
  <si>
    <t>住宅</t>
    <phoneticPr fontId="7" type="noConversion"/>
  </si>
  <si>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</si>
  <si>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</si>
  <si>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</si>
  <si>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</si>
  <si>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</si>
  <si>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</si>
  <si>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</si>
  <si>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</si>
  <si>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</si>
  <si>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</si>
  <si>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</si>
  <si>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</si>
  <si>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</si>
  <si>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</si>
  <si>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</si>
  <si>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</si>
  <si>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</si>
  <si>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</si>
  <si>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</si>
  <si>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</si>
  <si>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</si>
  <si>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</si>
  <si>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</si>
  <si>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</si>
  <si>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</si>
  <si>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</si>
  <si>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</si>
  <si>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</si>
  <si>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</si>
  <si>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</si>
  <si>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</si>
  <si>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</si>
  <si>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</si>
  <si>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</si>
  <si>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</si>
  <si>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</si>
  <si>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</si>
  <si>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</si>
  <si>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</si>
  <si>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</si>
  <si>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</si>
  <si>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</si>
  <si>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</si>
  <si>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</si>
  <si>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</si>
  <si>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</si>
  <si>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</si>
  <si>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</si>
  <si>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</si>
  <si>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</si>
  <si>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</si>
  <si>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</si>
  <si>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</si>
  <si>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</si>
  <si>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</si>
  <si>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</si>
  <si>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</si>
  <si>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</si>
  <si>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</si>
  <si>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</si>
  <si>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</si>
  <si>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</si>
  <si>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</si>
  <si>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</si>
  <si>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</si>
  <si>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</si>
  <si>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</si>
  <si>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</si>
  <si>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</si>
  <si>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</si>
  <si>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</si>
  <si>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</si>
  <si>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</si>
  <si>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</si>
  <si>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</si>
  <si>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</si>
  <si>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</si>
  <si>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</si>
  <si>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</si>
  <si>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</si>
  <si>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</si>
  <si>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</si>
  <si>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</si>
  <si>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</si>
  <si>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</si>
  <si>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</si>
  <si>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</si>
  <si>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</si>
  <si>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</si>
  <si>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</si>
  <si>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</si>
  <si>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</si>
  <si>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</si>
  <si>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</si>
  <si>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</si>
  <si>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</si>
  <si>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</si>
  <si>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</si>
  <si>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</si>
  <si>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</si>
  <si>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</si>
  <si>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</si>
  <si>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</si>
  <si>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</si>
  <si>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</si>
  <si>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</si>
  <si>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</si>
  <si>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</si>
  <si>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</si>
  <si>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</si>
  <si>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</si>
  <si>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</si>
  <si>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</si>
  <si>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</si>
  <si>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</si>
  <si>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</si>
  <si>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</si>
  <si>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</si>
  <si>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</si>
  <si>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</si>
  <si>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</si>
  <si>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</si>
  <si>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</si>
  <si>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</si>
  <si>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</si>
  <si>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</si>
  <si>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</si>
  <si>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</si>
  <si>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</si>
  <si>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</si>
  <si>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</si>
  <si>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</si>
  <si>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</si>
  <si>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</si>
  <si>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</si>
  <si>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</si>
  <si>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</si>
  <si>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</si>
  <si>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</si>
  <si>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</si>
  <si>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</si>
  <si>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</si>
  <si>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</si>
  <si>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</si>
  <si>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</si>
  <si>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</si>
  <si>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</si>
  <si>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</si>
  <si>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</si>
  <si>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</si>
  <si>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</si>
  <si>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</si>
  <si>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</si>
  <si>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</si>
  <si>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</si>
  <si>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</si>
  <si>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</si>
  <si>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</si>
  <si>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</si>
  <si>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</si>
  <si>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</si>
  <si>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</si>
  <si>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</si>
  <si>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</si>
  <si>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</si>
  <si>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</si>
  <si>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</si>
  <si>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</si>
  <si>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</si>
  <si>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</si>
  <si>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</si>
  <si>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</si>
  <si>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</si>
  <si>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</si>
  <si>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</si>
  <si>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</si>
  <si>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</si>
  <si>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</si>
  <si>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</si>
  <si>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</si>
  <si>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</si>
  <si>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</si>
  <si>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</si>
  <si>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</si>
  <si>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</si>
  <si>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</si>
  <si>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</si>
  <si>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</si>
  <si>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</si>
  <si>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</si>
  <si>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</si>
  <si>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</si>
  <si>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</si>
  <si>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</si>
  <si>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</si>
  <si>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</si>
  <si>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</si>
  <si>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</si>
  <si>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</si>
  <si>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</si>
  <si>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</si>
  <si>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</si>
  <si>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</si>
  <si>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</si>
  <si>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</si>
  <si>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</si>
  <si>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</si>
  <si>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</si>
  <si>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</si>
  <si>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</si>
  <si>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</si>
  <si>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</si>
  <si>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</si>
  <si>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</si>
  <si>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</si>
  <si>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</si>
  <si>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</si>
  <si>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</si>
  <si>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</si>
  <si>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</si>
  <si>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</si>
  <si>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</si>
  <si>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</si>
  <si>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</si>
  <si>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</si>
  <si>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</si>
  <si>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</si>
  <si>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</si>
  <si>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不利影响因素</t>
    <phoneticPr fontId="3" type="noConversion"/>
  </si>
  <si>
    <t>较规则</t>
  </si>
  <si>
    <t>较适宜</t>
  </si>
  <si>
    <t>无</t>
    <phoneticPr fontId="26" type="noConversion"/>
  </si>
  <si>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</si>
  <si>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</si>
  <si>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</si>
  <si>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</si>
  <si>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</si>
  <si>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</si>
  <si>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</si>
  <si>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</si>
  <si>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</si>
  <si>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</si>
  <si>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</si>
  <si>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</si>
  <si>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</si>
  <si>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</si>
  <si>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</si>
  <si>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</si>
  <si>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</si>
  <si>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</si>
  <si>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</si>
  <si>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</si>
  <si>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</si>
  <si>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</si>
  <si>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</si>
  <si>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住宅</t>
    <phoneticPr fontId="26" type="noConversion"/>
  </si>
  <si>
    <r>
      <t>70</t>
    </r>
    <r>
      <rPr>
        <sz val="11"/>
        <color indexed="8"/>
        <rFont val="宋体"/>
        <family val="3"/>
        <charset val="134"/>
      </rPr>
      <t>年</t>
    </r>
    <phoneticPr fontId="26" type="noConversion"/>
  </si>
  <si>
    <t>住宅</t>
    <phoneticPr fontId="21" type="noConversion"/>
  </si>
  <si>
    <t>楼面地价</t>
  </si>
  <si>
    <t>项目全部</t>
  </si>
  <si>
    <t>土地</t>
  </si>
  <si>
    <r>
      <rPr>
        <sz val="10"/>
        <rFont val="宋体"/>
        <family val="3"/>
        <charset val="134"/>
      </rPr>
      <t>南京</t>
    </r>
  </si>
  <si>
    <t>多层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</si>
</sst>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82" fillId="0" borderId="0">
      <alignment wrapText="1"/>
    </xf>
  </cellStyleXfs>
  <cellXfs count="37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160" fillId="0" borderId="0" xfId="18" applyFont="1" applyAlignment="1">
      <alignment horizontal="left" vertical="center"/>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60" fillId="0" borderId="0" xfId="18" applyFont="1" applyAlignment="1">
      <alignment horizontal="left" vertical="center"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72" fillId="12" borderId="2" xfId="0" applyFont="1" applyFill="1" applyBorder="1" applyAlignment="1" applyProtection="1">
      <alignment horizontal="center" vertical="center"/>
      <protection locked="0"/>
    </xf>
    <xf numFmtId="0" fontId="78" fillId="0" borderId="2" xfId="19" applyNumberFormat="1" applyFont="1" applyFill="1" applyBorder="1" applyAlignment="1">
      <alignment horizontal="center" vertical="center" wrapText="1"/>
    </xf>
    <xf numFmtId="0" fontId="78" fillId="12" borderId="2" xfId="0" applyFont="1" applyFill="1" applyBorder="1" applyAlignment="1" applyProtection="1">
      <alignment horizontal="center" vertical="center"/>
      <protection locked="0"/>
    </xf>
    <xf numFmtId="0" fontId="82" fillId="0" borderId="2" xfId="19" applyBorder="1" applyAlignment="1">
      <alignment horizontal="center" vertical="center" wrapText="1"/>
    </xf>
  </cellXfs>
  <cellStyles count="20">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2" xfId="19" xr:uid="{E6B4AD70-88D5-44A3-A8D1-CD7B7FAFEFAA}"/>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30</xdr:row>
      <xdr:rowOff>28575</xdr:rowOff>
    </xdr:from>
    <xdr:to>
      <xdr:col>10</xdr:col>
      <xdr:colOff>19050</xdr:colOff>
      <xdr:row>58</xdr:row>
      <xdr:rowOff>18465</xdr:rowOff>
    </xdr:to>
    <xdr:pic>
      <xdr:nvPicPr>
        <xdr:cNvPr id="2" name="图片 1">
          <a:extLst>
            <a:ext uri="{FF2B5EF4-FFF2-40B4-BE49-F238E27FC236}">
              <a16:creationId xmlns:a16="http://schemas.microsoft.com/office/drawing/2014/main" id="{3DA80F10-1483-B33E-BFD8-31B49E453B3C}"/>
            </a:ext>
          </a:extLst>
        </xdr:cNvPr>
        <xdr:cNvPicPr>
          <a:picLocks noChangeAspect="1"/>
        </xdr:cNvPicPr>
      </xdr:nvPicPr>
      <xdr:blipFill>
        <a:blip xmlns:r="http://schemas.openxmlformats.org/officeDocument/2006/relationships" r:embed="rId1"/>
        <a:stretch>
          <a:fillRect/>
        </a:stretch>
      </xdr:blipFill>
      <xdr:spPr>
        <a:xfrm>
          <a:off x="0" y="5172075"/>
          <a:ext cx="6877050" cy="4790490"/>
        </a:xfrm>
        <a:prstGeom prst="rect">
          <a:avLst/>
        </a:prstGeom>
      </xdr:spPr>
    </xdr:pic>
    <xdr:clientData/>
  </xdr:twoCellAnchor>
  <xdr:twoCellAnchor editAs="oneCell">
    <xdr:from>
      <xdr:col>0</xdr:col>
      <xdr:colOff>1</xdr:colOff>
      <xdr:row>0</xdr:row>
      <xdr:rowOff>0</xdr:rowOff>
    </xdr:from>
    <xdr:to>
      <xdr:col>9</xdr:col>
      <xdr:colOff>604099</xdr:colOff>
      <xdr:row>28</xdr:row>
      <xdr:rowOff>28575</xdr:rowOff>
    </xdr:to>
    <xdr:pic>
      <xdr:nvPicPr>
        <xdr:cNvPr id="3" name="图片 2">
          <a:extLst>
            <a:ext uri="{FF2B5EF4-FFF2-40B4-BE49-F238E27FC236}">
              <a16:creationId xmlns:a16="http://schemas.microsoft.com/office/drawing/2014/main" id="{1F111B99-BAE1-8689-0F3D-23B815D5DA64}"/>
            </a:ext>
          </a:extLst>
        </xdr:cNvPr>
        <xdr:cNvPicPr>
          <a:picLocks noChangeAspect="1"/>
        </xdr:cNvPicPr>
      </xdr:nvPicPr>
      <xdr:blipFill>
        <a:blip xmlns:r="http://schemas.openxmlformats.org/officeDocument/2006/relationships" r:embed="rId2"/>
        <a:stretch>
          <a:fillRect/>
        </a:stretch>
      </xdr:blipFill>
      <xdr:spPr>
        <a:xfrm>
          <a:off x="1" y="0"/>
          <a:ext cx="6776298" cy="4829175"/>
        </a:xfrm>
        <a:prstGeom prst="rect">
          <a:avLst/>
        </a:prstGeom>
      </xdr:spPr>
    </xdr:pic>
    <xdr:clientData/>
  </xdr:twoCellAnchor>
  <xdr:twoCellAnchor editAs="oneCell">
    <xdr:from>
      <xdr:col>0</xdr:col>
      <xdr:colOff>0</xdr:colOff>
      <xdr:row>59</xdr:row>
      <xdr:rowOff>47625</xdr:rowOff>
    </xdr:from>
    <xdr:to>
      <xdr:col>10</xdr:col>
      <xdr:colOff>4745</xdr:colOff>
      <xdr:row>88</xdr:row>
      <xdr:rowOff>113544</xdr:rowOff>
    </xdr:to>
    <xdr:pic>
      <xdr:nvPicPr>
        <xdr:cNvPr id="4" name="图片 3">
          <a:extLst>
            <a:ext uri="{FF2B5EF4-FFF2-40B4-BE49-F238E27FC236}">
              <a16:creationId xmlns:a16="http://schemas.microsoft.com/office/drawing/2014/main" id="{2657FFCC-4614-5828-FC72-C57D4D03A0E4}"/>
            </a:ext>
          </a:extLst>
        </xdr:cNvPr>
        <xdr:cNvPicPr>
          <a:picLocks noChangeAspect="1"/>
        </xdr:cNvPicPr>
      </xdr:nvPicPr>
      <xdr:blipFill>
        <a:blip xmlns:r="http://schemas.openxmlformats.org/officeDocument/2006/relationships" r:embed="rId3"/>
        <a:stretch>
          <a:fillRect/>
        </a:stretch>
      </xdr:blipFill>
      <xdr:spPr>
        <a:xfrm>
          <a:off x="0" y="10163175"/>
          <a:ext cx="6862745" cy="5037969"/>
        </a:xfrm>
        <a:prstGeom prst="rect">
          <a:avLst/>
        </a:prstGeom>
      </xdr:spPr>
    </xdr:pic>
    <xdr:clientData/>
  </xdr:twoCellAnchor>
  <xdr:twoCellAnchor editAs="oneCell">
    <xdr:from>
      <xdr:col>9</xdr:col>
      <xdr:colOff>400050</xdr:colOff>
      <xdr:row>0</xdr:row>
      <xdr:rowOff>0</xdr:rowOff>
    </xdr:from>
    <xdr:to>
      <xdr:col>23</xdr:col>
      <xdr:colOff>255461</xdr:colOff>
      <xdr:row>24</xdr:row>
      <xdr:rowOff>31914</xdr:rowOff>
    </xdr:to>
    <xdr:pic>
      <xdr:nvPicPr>
        <xdr:cNvPr id="5" name="图片 4">
          <a:extLst>
            <a:ext uri="{FF2B5EF4-FFF2-40B4-BE49-F238E27FC236}">
              <a16:creationId xmlns:a16="http://schemas.microsoft.com/office/drawing/2014/main" id="{EE1219A0-968F-025B-C4FE-4CF96ED8B3A8}"/>
            </a:ext>
          </a:extLst>
        </xdr:cNvPr>
        <xdr:cNvPicPr>
          <a:picLocks noChangeAspect="1"/>
        </xdr:cNvPicPr>
      </xdr:nvPicPr>
      <xdr:blipFill>
        <a:blip xmlns:r="http://schemas.openxmlformats.org/officeDocument/2006/relationships" r:embed="rId4"/>
        <a:stretch>
          <a:fillRect/>
        </a:stretch>
      </xdr:blipFill>
      <xdr:spPr>
        <a:xfrm>
          <a:off x="6572250" y="0"/>
          <a:ext cx="9456611" cy="4146714"/>
        </a:xfrm>
        <a:prstGeom prst="rect">
          <a:avLst/>
        </a:prstGeom>
      </xdr:spPr>
    </xdr:pic>
    <xdr:clientData/>
  </xdr:twoCellAnchor>
  <xdr:twoCellAnchor>
    <xdr:from>
      <xdr:col>14</xdr:col>
      <xdr:colOff>180975</xdr:colOff>
      <xdr:row>12</xdr:row>
      <xdr:rowOff>142876</xdr:rowOff>
    </xdr:from>
    <xdr:to>
      <xdr:col>14</xdr:col>
      <xdr:colOff>504825</xdr:colOff>
      <xdr:row>14</xdr:row>
      <xdr:rowOff>85726</xdr:rowOff>
    </xdr:to>
    <xdr:sp macro="" textlink="">
      <xdr:nvSpPr>
        <xdr:cNvPr id="6" name="五角星 7">
          <a:extLst>
            <a:ext uri="{FF2B5EF4-FFF2-40B4-BE49-F238E27FC236}">
              <a16:creationId xmlns:a16="http://schemas.microsoft.com/office/drawing/2014/main" id="{34670875-61F6-4D93-BEB4-09719E320A36}"/>
            </a:ext>
          </a:extLst>
        </xdr:cNvPr>
        <xdr:cNvSpPr/>
      </xdr:nvSpPr>
      <xdr:spPr>
        <a:xfrm>
          <a:off x="9782175" y="2200276"/>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209550</xdr:colOff>
      <xdr:row>14</xdr:row>
      <xdr:rowOff>38100</xdr:rowOff>
    </xdr:from>
    <xdr:to>
      <xdr:col>15</xdr:col>
      <xdr:colOff>533400</xdr:colOff>
      <xdr:row>15</xdr:row>
      <xdr:rowOff>152400</xdr:rowOff>
    </xdr:to>
    <xdr:sp macro="" textlink="">
      <xdr:nvSpPr>
        <xdr:cNvPr id="8" name="五角星 7">
          <a:extLst>
            <a:ext uri="{FF2B5EF4-FFF2-40B4-BE49-F238E27FC236}">
              <a16:creationId xmlns:a16="http://schemas.microsoft.com/office/drawing/2014/main" id="{8986CB55-4AFF-4106-AB84-1DC1B82A1054}"/>
            </a:ext>
          </a:extLst>
        </xdr:cNvPr>
        <xdr:cNvSpPr/>
      </xdr:nvSpPr>
      <xdr:spPr>
        <a:xfrm>
          <a:off x="10496550" y="2438400"/>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17</xdr:col>
      <xdr:colOff>200025</xdr:colOff>
      <xdr:row>10</xdr:row>
      <xdr:rowOff>104775</xdr:rowOff>
    </xdr:from>
    <xdr:to>
      <xdr:col>17</xdr:col>
      <xdr:colOff>523875</xdr:colOff>
      <xdr:row>12</xdr:row>
      <xdr:rowOff>47625</xdr:rowOff>
    </xdr:to>
    <xdr:sp macro="" textlink="">
      <xdr:nvSpPr>
        <xdr:cNvPr id="9" name="五角星 7">
          <a:extLst>
            <a:ext uri="{FF2B5EF4-FFF2-40B4-BE49-F238E27FC236}">
              <a16:creationId xmlns:a16="http://schemas.microsoft.com/office/drawing/2014/main" id="{9EF64964-0CE5-4172-9F93-B9CA77D6B05A}"/>
            </a:ext>
          </a:extLst>
        </xdr:cNvPr>
        <xdr:cNvSpPr/>
      </xdr:nvSpPr>
      <xdr:spPr>
        <a:xfrm>
          <a:off x="11858625" y="1819275"/>
          <a:ext cx="323850" cy="285750"/>
        </a:xfrm>
        <a:prstGeom prst="star5">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22772.01平方米。根据《建设工程规划许可证》[]、《出让合同》[]，估价对象规划建筑面积为40989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2025年6月9日（评估专业人员勘察现场之日）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根据《国有土地使用证》[]，估价对象（分摊）出让国有建设用地使用权面积为22772.01平方米。根据《建设工程规划许可证》[]、《出让合同》[]，估价对象规划建筑面积为40989平方米。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估价期日：2025年6月9日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22772.01</v>
      </c>
    </row>
    <row r="44" spans="1:2">
      <c r="A44" s="2182" t="s">
        <v>2022</v>
      </c>
      <c r="B44" s="2183" t="str">
        <f>'预评函-2'!O3</f>
        <v>规划建筑面积/㎡</v>
      </c>
    </row>
    <row r="45" spans="1:2">
      <c r="A45" s="2182" t="s">
        <v>2004</v>
      </c>
      <c r="B45" s="2183">
        <f>'预评函-2'!O5</f>
        <v>40989</v>
      </c>
    </row>
    <row r="46" spans="1:2">
      <c r="A46" s="2182" t="s">
        <v>2005</v>
      </c>
      <c r="B46" s="2183">
        <f ca="1">'预评函-2'!P5</f>
        <v>2252</v>
      </c>
    </row>
    <row r="47" spans="1:2">
      <c r="A47" s="2182" t="s">
        <v>2006</v>
      </c>
      <c r="B47" s="2183">
        <f ca="1">'预评函-2'!Q5</f>
        <v>1251</v>
      </c>
    </row>
    <row r="48" spans="1:2">
      <c r="A48" s="2182" t="s">
        <v>2007</v>
      </c>
      <c r="B48" s="2183">
        <f ca="1">'预评函-2'!R5</f>
        <v>5129</v>
      </c>
    </row>
    <row r="49" spans="1:2">
      <c r="A49" s="2182" t="s">
        <v>2023</v>
      </c>
      <c r="B49" s="2183" t="str">
        <f>'预评函-2'!A6</f>
        <v>抵押价格</v>
      </c>
    </row>
    <row r="50" spans="1:2">
      <c r="A50" s="2182" t="s">
        <v>2008</v>
      </c>
      <c r="B50" s="2183">
        <f ca="1">'预评函-2'!R6</f>
        <v>5129</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2663</v>
      </c>
      <c r="B1" s="3033"/>
      <c r="C1" s="3033"/>
      <c r="D1" s="3033"/>
      <c r="E1" s="3033"/>
      <c r="F1" s="3034"/>
      <c r="I1" s="3051" t="s">
        <v>3276</v>
      </c>
      <c r="J1" s="3064"/>
      <c r="K1" s="3064"/>
      <c r="L1" s="3064"/>
      <c r="M1" s="3064"/>
      <c r="N1" s="3197"/>
      <c r="O1" s="3197"/>
      <c r="P1" s="3197"/>
      <c r="Q1" s="3197"/>
      <c r="R1" s="3197"/>
    </row>
    <row r="2" spans="1:18">
      <c r="A2" s="3035"/>
      <c r="B2" s="3036"/>
      <c r="C2" s="3036"/>
      <c r="D2" s="3036"/>
      <c r="E2" s="3036"/>
      <c r="F2" s="3037"/>
      <c r="I2" s="3444" t="s">
        <v>3277</v>
      </c>
      <c r="J2" s="3444"/>
      <c r="K2" s="3444"/>
      <c r="L2" s="3444"/>
      <c r="M2" s="3444"/>
      <c r="N2" s="3444"/>
      <c r="O2" s="3444"/>
      <c r="P2" s="3444"/>
      <c r="Q2" s="3444"/>
      <c r="R2" s="3444"/>
    </row>
    <row r="3" spans="1:18">
      <c r="A3" s="2989" t="s">
        <v>2664</v>
      </c>
      <c r="B3" s="3038">
        <f>项目基本情况!D3</f>
        <v>45817</v>
      </c>
      <c r="C3" s="3039"/>
      <c r="D3" s="3039"/>
      <c r="E3" s="3039"/>
      <c r="F3" s="3037"/>
      <c r="I3" s="3055"/>
      <c r="J3" s="3055" t="s">
        <v>3278</v>
      </c>
      <c r="K3" s="3055" t="s">
        <v>3279</v>
      </c>
      <c r="L3" s="3055" t="s">
        <v>3280</v>
      </c>
      <c r="M3" s="3055" t="s">
        <v>3281</v>
      </c>
      <c r="N3" s="3394" t="s">
        <v>3282</v>
      </c>
      <c r="O3" s="3394" t="s">
        <v>3283</v>
      </c>
      <c r="P3" s="3394" t="s">
        <v>3284</v>
      </c>
      <c r="Q3" s="3394" t="s">
        <v>3285</v>
      </c>
      <c r="R3" s="3394" t="s">
        <v>3274</v>
      </c>
    </row>
    <row r="4" spans="1:18">
      <c r="A4" s="2989" t="s">
        <v>2665</v>
      </c>
      <c r="B4" s="3040" t="s">
        <v>2666</v>
      </c>
      <c r="C4" s="3040" t="s">
        <v>2667</v>
      </c>
      <c r="D4" s="3040" t="s">
        <v>2668</v>
      </c>
      <c r="E4" s="3040" t="s">
        <v>2669</v>
      </c>
      <c r="F4" s="3037"/>
      <c r="I4" s="3055" t="s">
        <v>3286</v>
      </c>
      <c r="J4" s="3055">
        <v>80</v>
      </c>
      <c r="K4" s="3055">
        <v>70</v>
      </c>
      <c r="L4" s="3055">
        <v>20</v>
      </c>
      <c r="M4" s="3055">
        <v>30</v>
      </c>
      <c r="N4" s="3040">
        <v>45</v>
      </c>
      <c r="O4" s="3040">
        <v>60</v>
      </c>
      <c r="P4" s="3040">
        <v>50</v>
      </c>
      <c r="Q4" s="3040">
        <v>20</v>
      </c>
      <c r="R4" s="3040">
        <v>375</v>
      </c>
    </row>
    <row r="5" spans="1:18">
      <c r="A5" s="3041"/>
      <c r="B5" s="3038"/>
      <c r="C5" s="3040">
        <f>ROUNDDOWN(MIN((B5-B3)/365,A5),2)</f>
        <v>-125.52</v>
      </c>
      <c r="D5" s="3042">
        <f>IF(ISERROR(ROUND(POWER(1+E5,A5-C5)*(POWER(1+E5,C5)-1)/(POWER(1+E5,A5)-1),3)),0,ROUND(POWER(1+E5,A5-C5)*(POWER(1+E5,C5)-1)/(POWER(1+E5,A5)-1),4))</f>
        <v>0</v>
      </c>
      <c r="E5" s="3043"/>
      <c r="F5" s="3037"/>
      <c r="I5" s="3055" t="s">
        <v>3287</v>
      </c>
      <c r="J5" s="3055">
        <v>70</v>
      </c>
      <c r="K5" s="3055">
        <v>60</v>
      </c>
      <c r="L5" s="3055">
        <v>15</v>
      </c>
      <c r="M5" s="3055">
        <v>25</v>
      </c>
      <c r="N5" s="3040">
        <v>40</v>
      </c>
      <c r="O5" s="3040">
        <v>50</v>
      </c>
      <c r="P5" s="3040">
        <v>40</v>
      </c>
      <c r="Q5" s="3040">
        <v>15</v>
      </c>
      <c r="R5" s="3040">
        <v>315</v>
      </c>
    </row>
    <row r="6" spans="1:18">
      <c r="A6" s="3041"/>
      <c r="B6" s="3038"/>
      <c r="C6" s="3040">
        <f>ROUNDDOWN(MIN((B6-B3)/365,A6),2)</f>
        <v>-125.52</v>
      </c>
      <c r="D6" s="3042">
        <f>IF(ISERROR(ROUND(POWER(1+E6,A6-C6)*(POWER(1+E6,C6)-1)/(POWER(1+E6,A6)-1),3)),0,ROUND(POWER(1+E6,A6-C6)*(POWER(1+E6,C6)-1)/(POWER(1+E6,A6)-1),4))</f>
        <v>0</v>
      </c>
      <c r="E6" s="3043"/>
      <c r="F6" s="3037"/>
      <c r="I6" s="3055" t="s">
        <v>3288</v>
      </c>
      <c r="J6" s="3055">
        <v>60</v>
      </c>
      <c r="K6" s="3055">
        <v>50</v>
      </c>
      <c r="L6" s="3055">
        <v>10</v>
      </c>
      <c r="M6" s="3055">
        <v>20</v>
      </c>
      <c r="N6" s="3040">
        <v>35</v>
      </c>
      <c r="O6" s="3040">
        <v>40</v>
      </c>
      <c r="P6" s="3040">
        <v>30</v>
      </c>
      <c r="Q6" s="3040">
        <v>10</v>
      </c>
      <c r="R6" s="3040">
        <v>255</v>
      </c>
    </row>
    <row r="7" spans="1:18">
      <c r="A7" s="3041"/>
      <c r="B7" s="3038"/>
      <c r="C7" s="3040">
        <f>ROUNDDOWN(MIN((B7-B3)/365,A7),2)</f>
        <v>-125.52</v>
      </c>
      <c r="D7" s="3042">
        <f>IF(ISERROR(ROUND(POWER(1+E7,A7-C7)*(POWER(1+E7,C7)-1)/(POWER(1+E7,A7)-1),3)),0,ROUND(POWER(1+E7,A7-C7)*(POWER(1+E7,C7)-1)/(POWER(1+E7,A7)-1),4))</f>
        <v>0</v>
      </c>
      <c r="E7" s="3043"/>
      <c r="F7" s="3037"/>
    </row>
    <row r="8" spans="1:18">
      <c r="A8" s="3035"/>
      <c r="B8" s="3036"/>
      <c r="C8" s="3036"/>
      <c r="D8" s="3036"/>
      <c r="E8" s="3036"/>
      <c r="F8" s="3037"/>
    </row>
    <row r="9" spans="1:18">
      <c r="A9" s="2989" t="s">
        <v>2670</v>
      </c>
      <c r="B9" s="3040"/>
      <c r="C9" s="3040"/>
      <c r="D9" s="3040"/>
      <c r="E9" s="3040"/>
      <c r="F9" s="3044"/>
    </row>
    <row r="10" spans="1:18">
      <c r="A10" s="2989" t="s">
        <v>2671</v>
      </c>
      <c r="B10" s="3040"/>
      <c r="C10" s="3040"/>
      <c r="D10" s="3040" t="s">
        <v>2669</v>
      </c>
      <c r="E10" s="3040"/>
      <c r="F10" s="3044" t="s">
        <v>2668</v>
      </c>
    </row>
    <row r="11" spans="1:18">
      <c r="A11" s="2989" t="s">
        <v>2672</v>
      </c>
      <c r="B11" s="3045"/>
      <c r="C11" s="3040" t="s">
        <v>2673</v>
      </c>
      <c r="D11" s="3045"/>
      <c r="E11" s="3040" t="s">
        <v>2674</v>
      </c>
      <c r="F11" s="3046">
        <f>ROUND(1-(1/(POWER(1+D11,B11))),4)</f>
        <v>0</v>
      </c>
    </row>
    <row r="12" spans="1:18">
      <c r="A12" s="2989" t="s">
        <v>2675</v>
      </c>
      <c r="B12" s="3045"/>
      <c r="C12" s="3040" t="s">
        <v>2676</v>
      </c>
      <c r="D12" s="3045"/>
      <c r="E12" s="3040" t="s">
        <v>2677</v>
      </c>
      <c r="F12" s="3046">
        <f>ROUND(1-(1/(POWER(1+D12,B12))),4)</f>
        <v>0</v>
      </c>
    </row>
    <row r="13" spans="1:18">
      <c r="A13" s="2989" t="s">
        <v>2678</v>
      </c>
      <c r="B13" s="3040"/>
      <c r="C13" s="3039"/>
      <c r="D13" s="3036"/>
      <c r="E13" s="3036"/>
      <c r="F13" s="3037"/>
    </row>
    <row r="14" spans="1:18">
      <c r="A14" s="2989" t="s">
        <v>2679</v>
      </c>
      <c r="B14" s="3045"/>
      <c r="C14" s="3039"/>
      <c r="D14" s="3036"/>
      <c r="E14" s="3036"/>
      <c r="F14" s="3037"/>
    </row>
    <row r="15" spans="1:18">
      <c r="A15" s="2989" t="s">
        <v>2680</v>
      </c>
      <c r="B15" s="3040" t="e">
        <f>ROUND(B14*F12/F11,2)</f>
        <v>#DIV/0!</v>
      </c>
      <c r="C15" s="3040" t="e">
        <f>ROUND(F12/F11,4)</f>
        <v>#DIV/0!</v>
      </c>
      <c r="D15" s="3036"/>
      <c r="E15" s="3036"/>
      <c r="F15" s="3037"/>
    </row>
    <row r="16" spans="1:18">
      <c r="A16" s="2989" t="s">
        <v>2681</v>
      </c>
      <c r="B16" s="3040"/>
      <c r="C16" s="3039"/>
      <c r="D16" s="3036"/>
      <c r="E16" s="3036"/>
      <c r="F16" s="3037"/>
    </row>
    <row r="17" spans="1:14">
      <c r="A17" s="2989" t="s">
        <v>2680</v>
      </c>
      <c r="B17" s="3045"/>
      <c r="C17" s="3039"/>
      <c r="D17" s="3036"/>
      <c r="E17" s="3036"/>
      <c r="F17" s="3037"/>
    </row>
    <row r="18" spans="1:14" ht="14.25" thickBot="1">
      <c r="A18" s="3047" t="s">
        <v>2679</v>
      </c>
      <c r="B18" s="3048" t="e">
        <f>ROUND(B17*F11/F12,2)</f>
        <v>#DIV/0!</v>
      </c>
      <c r="C18" s="3048" t="e">
        <f>ROUND(F11/F12,4)</f>
        <v>#DIV/0!</v>
      </c>
      <c r="D18" s="3049"/>
      <c r="E18" s="3049"/>
      <c r="F18" s="3050"/>
    </row>
    <row r="19" spans="1:14" ht="14.25" thickBot="1"/>
    <row r="20" spans="1:14" ht="14.25" thickTop="1">
      <c r="A20" s="3051" t="s">
        <v>2682</v>
      </c>
      <c r="B20" s="3052"/>
      <c r="C20" s="3052"/>
      <c r="D20" s="3052"/>
      <c r="E20" s="3052"/>
      <c r="F20" s="3052"/>
      <c r="G20" s="3053"/>
      <c r="I20" s="3397" t="s">
        <v>3289</v>
      </c>
      <c r="J20" s="3397" t="s">
        <v>3290</v>
      </c>
      <c r="K20" s="3397"/>
      <c r="L20" s="3397"/>
      <c r="M20" s="3397"/>
      <c r="N20" s="3398"/>
    </row>
    <row r="21" spans="1:14">
      <c r="A21" s="3054"/>
      <c r="B21" s="3055" t="s">
        <v>2683</v>
      </c>
      <c r="C21" s="3055" t="s">
        <v>2684</v>
      </c>
      <c r="D21" s="3055" t="s">
        <v>2685</v>
      </c>
      <c r="E21" s="3055" t="s">
        <v>2686</v>
      </c>
      <c r="F21" s="3055" t="s">
        <v>2687</v>
      </c>
      <c r="G21" s="3056" t="s">
        <v>2688</v>
      </c>
      <c r="I21" s="3399">
        <v>5</v>
      </c>
      <c r="J21" s="3399">
        <v>54.2</v>
      </c>
      <c r="K21" s="3399"/>
      <c r="L21" s="3399"/>
      <c r="M21" s="3399"/>
    </row>
    <row r="22" spans="1:14">
      <c r="A22" s="3054" t="s">
        <v>2689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3291</v>
      </c>
      <c r="M23" s="3399"/>
      <c r="N23" s="3400" t="s">
        <v>3292</v>
      </c>
    </row>
    <row r="24" spans="1:14">
      <c r="A24" s="3059" t="s">
        <v>2691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3293</v>
      </c>
      <c r="M24" s="3399"/>
      <c r="N24" s="3400">
        <v>10</v>
      </c>
    </row>
    <row r="25" spans="1:14">
      <c r="A25" s="3059" t="s">
        <v>2692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3294</v>
      </c>
      <c r="M25" s="3399"/>
      <c r="N25" s="3400">
        <v>8</v>
      </c>
    </row>
    <row r="26" spans="1:14">
      <c r="A26" s="3060"/>
      <c r="B26" s="3061"/>
      <c r="C26" s="3061"/>
      <c r="D26" s="3061"/>
      <c r="E26" s="3061"/>
      <c r="F26" s="3061"/>
      <c r="G26" s="3062"/>
      <c r="I26" s="3399">
        <v>30</v>
      </c>
      <c r="J26" s="3399">
        <v>90.5</v>
      </c>
      <c r="K26" s="3399">
        <f t="shared" si="0"/>
        <v>4.2000000000000028</v>
      </c>
      <c r="L26" s="3399" t="s">
        <v>3295</v>
      </c>
      <c r="M26" s="3399"/>
      <c r="N26" s="3400">
        <v>5</v>
      </c>
    </row>
    <row r="27" spans="1:14">
      <c r="A27" s="3063" t="s">
        <v>2693</v>
      </c>
      <c r="B27" s="3064"/>
      <c r="C27" s="3064"/>
      <c r="D27" s="3064"/>
      <c r="E27" s="3064"/>
      <c r="F27" s="3064"/>
      <c r="G27" s="3065"/>
      <c r="I27" s="3399">
        <v>35</v>
      </c>
      <c r="J27" s="3399">
        <v>93.8</v>
      </c>
      <c r="K27" s="3399">
        <f t="shared" si="0"/>
        <v>3.2999999999999972</v>
      </c>
      <c r="L27" s="3399" t="s">
        <v>3296</v>
      </c>
      <c r="M27" s="3399"/>
      <c r="N27" s="3400">
        <v>3</v>
      </c>
    </row>
    <row r="28" spans="1:14">
      <c r="A28" s="3063" t="s">
        <v>2694</v>
      </c>
      <c r="B28" s="3064"/>
      <c r="C28" s="3064"/>
      <c r="D28" s="3064"/>
      <c r="E28" s="3064"/>
      <c r="F28" s="3064"/>
      <c r="G28" s="3065"/>
      <c r="I28" s="3399">
        <v>40</v>
      </c>
      <c r="J28" s="3399">
        <v>96.4</v>
      </c>
      <c r="K28" s="3399">
        <f t="shared" si="0"/>
        <v>2.6000000000000085</v>
      </c>
      <c r="L28" s="3399" t="s">
        <v>3297</v>
      </c>
      <c r="M28" s="3399"/>
      <c r="N28" s="3400">
        <v>2</v>
      </c>
    </row>
    <row r="29" spans="1:14">
      <c r="A29" s="3063" t="s">
        <v>2695</v>
      </c>
      <c r="B29" s="3064"/>
      <c r="C29" s="3064"/>
      <c r="D29" s="3064"/>
      <c r="E29" s="3064"/>
      <c r="F29" s="3064"/>
      <c r="G29" s="3065"/>
      <c r="I29" s="3399">
        <v>45</v>
      </c>
      <c r="J29" s="3399">
        <v>98.4</v>
      </c>
      <c r="K29" s="3399">
        <f t="shared" si="0"/>
        <v>2</v>
      </c>
      <c r="L29" s="3399"/>
      <c r="M29" s="3399"/>
    </row>
    <row r="30" spans="1:14">
      <c r="A30" s="3063" t="s">
        <v>2696</v>
      </c>
      <c r="B30" s="3064"/>
      <c r="C30" s="3064"/>
      <c r="D30" s="3064"/>
      <c r="E30" s="3064"/>
      <c r="F30" s="3064"/>
      <c r="G30" s="3065"/>
      <c r="I30" s="3399">
        <v>50</v>
      </c>
      <c r="J30" s="3399">
        <v>100</v>
      </c>
      <c r="K30" s="3399">
        <f t="shared" si="0"/>
        <v>1.5999999999999943</v>
      </c>
      <c r="L30" s="3399"/>
      <c r="M30" s="3399"/>
    </row>
    <row r="31" spans="1:14">
      <c r="A31" s="3063" t="s">
        <v>2697</v>
      </c>
      <c r="B31" s="3064"/>
      <c r="C31" s="3064"/>
      <c r="D31" s="3064"/>
      <c r="E31" s="3064"/>
      <c r="F31" s="3064"/>
      <c r="G31" s="3065"/>
      <c r="I31" s="3399" t="s">
        <v>3298</v>
      </c>
      <c r="J31" s="3399"/>
      <c r="K31" s="3399"/>
      <c r="L31" s="3399"/>
      <c r="M31" s="3399"/>
    </row>
    <row r="32" spans="1:14">
      <c r="A32" s="3063" t="s">
        <v>2698</v>
      </c>
      <c r="B32" s="3064"/>
      <c r="C32" s="3064"/>
      <c r="D32" s="3064"/>
      <c r="E32" s="3064"/>
      <c r="F32" s="3064"/>
      <c r="G32" s="3065"/>
      <c r="I32" s="3399"/>
      <c r="J32" s="3399"/>
      <c r="K32" s="3399"/>
      <c r="L32" s="3399"/>
      <c r="M32" s="3399"/>
    </row>
    <row r="33" spans="1:14">
      <c r="A33" s="3063" t="s">
        <v>2699</v>
      </c>
      <c r="B33" s="3064"/>
      <c r="C33" s="3064"/>
      <c r="D33" s="3064"/>
      <c r="E33" s="3064"/>
      <c r="F33" s="3064"/>
      <c r="G33" s="3065"/>
      <c r="I33" s="3399" t="s">
        <v>3289</v>
      </c>
      <c r="J33" s="3399" t="s">
        <v>3299</v>
      </c>
      <c r="K33" s="3399"/>
      <c r="L33" s="3399"/>
      <c r="M33" s="3399"/>
    </row>
    <row r="34" spans="1:14">
      <c r="A34" s="3063" t="s">
        <v>2700</v>
      </c>
      <c r="B34" s="3064"/>
      <c r="C34" s="3064"/>
      <c r="D34" s="3064"/>
      <c r="E34" s="3064"/>
      <c r="F34" s="3064"/>
      <c r="G34" s="3065"/>
      <c r="I34" s="3399">
        <v>5</v>
      </c>
      <c r="J34" s="3399">
        <v>55.1</v>
      </c>
      <c r="K34" s="3399"/>
      <c r="L34" s="3399"/>
      <c r="M34" s="3399"/>
    </row>
    <row r="35" spans="1:14">
      <c r="A35" s="3063" t="s">
        <v>2701</v>
      </c>
      <c r="B35" s="3064"/>
      <c r="C35" s="3064"/>
      <c r="D35" s="3064"/>
      <c r="E35" s="3064"/>
      <c r="F35" s="3064"/>
      <c r="G35" s="3065"/>
      <c r="I35" s="3399">
        <v>10</v>
      </c>
      <c r="J35" s="3399">
        <v>67</v>
      </c>
      <c r="K35" s="3399">
        <f>J35-J34</f>
        <v>11.899999999999999</v>
      </c>
      <c r="L35" s="3399"/>
      <c r="M35" s="3399"/>
    </row>
    <row r="36" spans="1:14">
      <c r="A36" s="3063" t="s">
        <v>2702</v>
      </c>
      <c r="B36" s="3064"/>
      <c r="C36" s="3064"/>
      <c r="D36" s="3064"/>
      <c r="E36" s="3064"/>
      <c r="F36" s="3064"/>
      <c r="G36" s="3065"/>
      <c r="I36" s="3399">
        <v>15</v>
      </c>
      <c r="J36" s="3399">
        <v>76.3</v>
      </c>
      <c r="K36" s="3399">
        <f t="shared" ref="K36:K41" si="1">J36-J35</f>
        <v>9.2999999999999972</v>
      </c>
      <c r="L36" s="3399" t="s">
        <v>3291</v>
      </c>
      <c r="M36" s="3399"/>
      <c r="N36" s="3400" t="s">
        <v>3292</v>
      </c>
    </row>
    <row r="37" spans="1:14">
      <c r="A37" s="3063" t="s">
        <v>2703</v>
      </c>
      <c r="B37" s="3064"/>
      <c r="C37" s="3064"/>
      <c r="D37" s="3064"/>
      <c r="E37" s="3064"/>
      <c r="F37" s="3064"/>
      <c r="G37" s="3065"/>
      <c r="I37" s="3399">
        <v>20</v>
      </c>
      <c r="J37" s="3399">
        <v>83.6</v>
      </c>
      <c r="K37" s="3399">
        <f t="shared" si="1"/>
        <v>7.2999999999999972</v>
      </c>
      <c r="L37" s="3399" t="s">
        <v>3293</v>
      </c>
      <c r="M37" s="3399"/>
      <c r="N37" s="3400">
        <v>10</v>
      </c>
    </row>
    <row r="38" spans="1:14">
      <c r="A38" s="3063" t="s">
        <v>2704</v>
      </c>
      <c r="B38" s="3064"/>
      <c r="C38" s="3064"/>
      <c r="D38" s="3064"/>
      <c r="E38" s="3064"/>
      <c r="F38" s="3064"/>
      <c r="G38" s="3065"/>
      <c r="I38" s="3399">
        <v>25</v>
      </c>
      <c r="J38" s="3399">
        <v>89.3</v>
      </c>
      <c r="K38" s="3399">
        <f t="shared" si="1"/>
        <v>5.7000000000000028</v>
      </c>
      <c r="L38" s="3399" t="s">
        <v>3294</v>
      </c>
      <c r="M38" s="3399"/>
      <c r="N38" s="3400">
        <v>8</v>
      </c>
    </row>
    <row r="39" spans="1:14">
      <c r="A39" s="3063"/>
      <c r="B39" s="3064"/>
      <c r="C39" s="3064"/>
      <c r="D39" s="3064"/>
      <c r="E39" s="3064"/>
      <c r="F39" s="3064"/>
      <c r="G39" s="3065"/>
      <c r="I39" s="3399">
        <v>30</v>
      </c>
      <c r="J39" s="3399">
        <v>93.8</v>
      </c>
      <c r="K39" s="3399">
        <f t="shared" si="1"/>
        <v>4.5</v>
      </c>
      <c r="L39" s="3399" t="s">
        <v>3295</v>
      </c>
      <c r="M39" s="3399"/>
      <c r="N39" s="3400">
        <v>6</v>
      </c>
    </row>
    <row r="40" spans="1:14">
      <c r="A40" s="3066" t="s">
        <v>2705</v>
      </c>
      <c r="B40" s="3067"/>
      <c r="C40" s="3067"/>
      <c r="D40" s="3067"/>
      <c r="E40" s="3067"/>
      <c r="F40" s="3067"/>
      <c r="G40" s="3068"/>
      <c r="I40" s="3399">
        <v>35</v>
      </c>
      <c r="J40" s="3399">
        <v>97.2</v>
      </c>
      <c r="K40" s="3399">
        <f t="shared" si="1"/>
        <v>3.4000000000000057</v>
      </c>
      <c r="L40" s="3399" t="s">
        <v>3296</v>
      </c>
      <c r="M40" s="3399"/>
      <c r="N40" s="3400">
        <v>3</v>
      </c>
    </row>
    <row r="41" spans="1:14">
      <c r="A41" s="3069" t="s">
        <v>2706</v>
      </c>
      <c r="B41" s="3070" t="s">
        <v>2707</v>
      </c>
      <c r="C41" s="3071" t="s">
        <v>2708</v>
      </c>
      <c r="D41" s="3071" t="s">
        <v>2709</v>
      </c>
      <c r="E41" s="3072"/>
      <c r="F41" s="3073"/>
      <c r="G41" s="3074"/>
      <c r="I41" s="3399">
        <v>40</v>
      </c>
      <c r="J41" s="3399">
        <v>100</v>
      </c>
      <c r="K41" s="3399">
        <f t="shared" si="1"/>
        <v>2.7999999999999972</v>
      </c>
      <c r="L41" s="3399"/>
      <c r="M41" s="3399"/>
    </row>
    <row r="42" spans="1:14">
      <c r="A42" s="3069" t="s">
        <v>2710</v>
      </c>
      <c r="B42" s="3070" t="s">
        <v>2711</v>
      </c>
      <c r="C42" s="3071" t="s">
        <v>2711</v>
      </c>
      <c r="D42" s="3075" t="s">
        <v>2712</v>
      </c>
      <c r="E42" s="3067" t="s">
        <v>2713</v>
      </c>
      <c r="F42" s="3067"/>
      <c r="G42" s="3068"/>
      <c r="I42" s="3399"/>
      <c r="J42" s="3399"/>
      <c r="K42" s="3399"/>
      <c r="L42" s="3399"/>
      <c r="M42" s="3399"/>
    </row>
    <row r="43" spans="1:14">
      <c r="A43" s="3069" t="s">
        <v>2714</v>
      </c>
      <c r="B43" s="3070" t="s">
        <v>2715</v>
      </c>
      <c r="C43" s="3071" t="s">
        <v>2716</v>
      </c>
      <c r="D43" s="3071" t="s">
        <v>2717</v>
      </c>
      <c r="E43" s="3072" t="s">
        <v>2718</v>
      </c>
      <c r="F43" s="3073"/>
      <c r="G43" s="3074"/>
      <c r="I43" s="3399" t="s">
        <v>3289</v>
      </c>
      <c r="J43" s="3399" t="s">
        <v>3300</v>
      </c>
      <c r="K43" s="3399"/>
      <c r="L43" s="3399"/>
      <c r="M43" s="3399"/>
    </row>
    <row r="44" spans="1:14">
      <c r="A44" s="3069" t="s">
        <v>2719</v>
      </c>
      <c r="B44" s="3070" t="s">
        <v>2720</v>
      </c>
      <c r="C44" s="3071" t="s">
        <v>2721</v>
      </c>
      <c r="D44" s="3075">
        <v>0.5</v>
      </c>
      <c r="E44" s="3072" t="s">
        <v>2722</v>
      </c>
      <c r="F44" s="3073"/>
      <c r="G44" s="3074"/>
      <c r="I44" s="3399">
        <v>30</v>
      </c>
      <c r="J44" s="3399">
        <v>81.7</v>
      </c>
      <c r="K44" s="3399"/>
      <c r="L44" s="3399"/>
      <c r="M44" s="3399"/>
    </row>
    <row r="45" spans="1:14" ht="14.25" thickBot="1">
      <c r="A45" s="3076" t="s">
        <v>2723</v>
      </c>
      <c r="B45" s="3077" t="s">
        <v>2711</v>
      </c>
      <c r="C45" s="3078" t="s">
        <v>2711</v>
      </c>
      <c r="D45" s="3078" t="s">
        <v>2724</v>
      </c>
      <c r="E45" s="3079" t="s">
        <v>2725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3275</v>
      </c>
    </row>
    <row r="50" spans="1:4">
      <c r="A50" s="3394" t="s">
        <v>3265</v>
      </c>
      <c r="B50" s="3394" t="s">
        <v>3262</v>
      </c>
      <c r="C50" s="3394" t="s">
        <v>3263</v>
      </c>
      <c r="D50" s="3394" t="s">
        <v>3264</v>
      </c>
    </row>
    <row r="51" spans="1:4">
      <c r="A51" s="3394" t="s">
        <v>3266</v>
      </c>
      <c r="B51" s="3040">
        <f>B52+B53</f>
        <v>15000</v>
      </c>
      <c r="C51" s="3395">
        <f>D51/B51</f>
        <v>2666.6666666666665</v>
      </c>
      <c r="D51" s="3040">
        <f>D52+D53</f>
        <v>40000000</v>
      </c>
    </row>
    <row r="52" spans="1:4">
      <c r="A52" s="2751" t="s">
        <v>3267</v>
      </c>
      <c r="B52" s="3391">
        <v>10000</v>
      </c>
      <c r="C52" s="3391">
        <v>1500</v>
      </c>
      <c r="D52" s="2356">
        <f>C52*B52</f>
        <v>15000000</v>
      </c>
    </row>
    <row r="53" spans="1:4">
      <c r="A53" s="2751" t="s">
        <v>3268</v>
      </c>
      <c r="B53" s="3391">
        <v>5000</v>
      </c>
      <c r="C53" s="3391">
        <v>5000</v>
      </c>
      <c r="D53" s="2356">
        <f>C53*B53</f>
        <v>25000000</v>
      </c>
    </row>
    <row r="54" spans="1:4">
      <c r="A54" s="3394" t="s">
        <v>3269</v>
      </c>
      <c r="B54" s="3040">
        <f>B51</f>
        <v>15000</v>
      </c>
      <c r="C54" s="3045">
        <v>700</v>
      </c>
      <c r="D54" s="3040">
        <f t="shared" ref="D54:D55" si="3">C54*B54</f>
        <v>10500000</v>
      </c>
    </row>
    <row r="55" spans="1:4">
      <c r="A55" s="3394" t="s">
        <v>3270</v>
      </c>
      <c r="B55" s="3040">
        <f>B51</f>
        <v>15000</v>
      </c>
      <c r="C55" s="3045">
        <v>1500</v>
      </c>
      <c r="D55" s="3040">
        <f t="shared" si="3"/>
        <v>22500000</v>
      </c>
    </row>
    <row r="56" spans="1:4">
      <c r="A56" s="3394" t="s">
        <v>3271</v>
      </c>
      <c r="B56" s="3040">
        <f>B51</f>
        <v>15000</v>
      </c>
      <c r="C56" s="3396">
        <f>C51+C54+C55</f>
        <v>4866.6666666666661</v>
      </c>
      <c r="D56" s="3040">
        <f>D51+D54+D55</f>
        <v>73000000</v>
      </c>
    </row>
    <row r="58" spans="1:4">
      <c r="A58" s="3394" t="s">
        <v>3272</v>
      </c>
      <c r="B58" s="3392">
        <v>0.05</v>
      </c>
      <c r="C58" s="3040">
        <f>C56*(1+B58)</f>
        <v>5110</v>
      </c>
      <c r="D58" s="3040">
        <f>D56*B58</f>
        <v>3650000</v>
      </c>
    </row>
    <row r="60" spans="1:4">
      <c r="A60" s="3394" t="s">
        <v>3273</v>
      </c>
      <c r="B60" s="3045">
        <v>3500</v>
      </c>
      <c r="C60" s="3045">
        <f>C53</f>
        <v>5000</v>
      </c>
      <c r="D60" s="3040">
        <f>C60*B60</f>
        <v>17500000</v>
      </c>
    </row>
    <row r="62" spans="1:4">
      <c r="A62" s="3394" t="s">
        <v>3274</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H23" sqref="H2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60" t="str">
        <f>IF(B10="北京市","北京市",C10)&amp;F10&amp;A17&amp;"国有建设用地使用权"&amp;B9&amp;"预评估"</f>
        <v>出让国有建设用地使用权抵押价格预评估</v>
      </c>
      <c r="C1" s="3461"/>
      <c r="D1" s="3461"/>
      <c r="E1" s="3461"/>
      <c r="F1" s="3461"/>
      <c r="G1" s="3461"/>
      <c r="H1" s="3461"/>
      <c r="I1" s="3462"/>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45817</v>
      </c>
      <c r="C3" s="2532" t="s">
        <v>1513</v>
      </c>
      <c r="D3" s="1379">
        <f>B3</f>
        <v>45817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3308</v>
      </c>
      <c r="C8" s="1388"/>
      <c r="D8" s="3466" t="s">
        <v>1464</v>
      </c>
      <c r="E8" s="1532" t="s">
        <v>3309</v>
      </c>
      <c r="F8" s="1389"/>
      <c r="G8" s="2603"/>
      <c r="H8" s="2603"/>
      <c r="I8" s="2604"/>
      <c r="J8" s="2603"/>
      <c r="K8" s="2587"/>
      <c r="L8" s="2583"/>
      <c r="M8" s="2583"/>
      <c r="N8" s="2584"/>
      <c r="O8" s="2585"/>
      <c r="P8" s="2584"/>
      <c r="Q8" s="2584"/>
      <c r="R8" s="2584"/>
      <c r="S8" s="2584"/>
      <c r="T8" s="2584"/>
      <c r="U8" s="2584"/>
    </row>
    <row r="9" spans="1:21" ht="15" thickBot="1">
      <c r="A9" s="2534" t="s">
        <v>1463</v>
      </c>
      <c r="B9" s="1390" t="s">
        <v>3309</v>
      </c>
      <c r="C9" s="1391"/>
      <c r="D9" s="3467"/>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3310</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3311</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63"/>
      <c r="C12" s="3464"/>
      <c r="D12" s="3465"/>
      <c r="E12" s="1407" t="s">
        <v>1579</v>
      </c>
      <c r="F12" s="3481" t="s">
        <v>2163</v>
      </c>
      <c r="G12" s="3482"/>
      <c r="H12" s="3482"/>
      <c r="I12" s="3483"/>
      <c r="J12" s="2603"/>
      <c r="K12" s="2587"/>
      <c r="L12" s="2583"/>
      <c r="M12" s="2583"/>
      <c r="N12" s="2584"/>
      <c r="O12" s="2585"/>
      <c r="P12" s="2584"/>
      <c r="Q12" s="2584"/>
      <c r="R12" s="2584"/>
      <c r="S12" s="2584"/>
      <c r="T12" s="2584"/>
      <c r="U12" s="2584"/>
    </row>
    <row r="13" spans="1:21">
      <c r="A13" s="1399" t="s">
        <v>1577</v>
      </c>
      <c r="B13" s="3463"/>
      <c r="C13" s="3464"/>
      <c r="D13" s="3465"/>
      <c r="E13" s="1407" t="s">
        <v>1579</v>
      </c>
      <c r="F13" s="3481" t="s">
        <v>2164</v>
      </c>
      <c r="G13" s="3482"/>
      <c r="H13" s="3482"/>
      <c r="I13" s="3483"/>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2727</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2728</v>
      </c>
      <c r="E16" s="1428" t="s">
        <v>1212</v>
      </c>
      <c r="F16" s="1428" t="s">
        <v>2729</v>
      </c>
      <c r="G16" s="1428" t="s">
        <v>2730</v>
      </c>
      <c r="H16" s="1398" t="s">
        <v>776</v>
      </c>
      <c r="I16" s="1398" t="s">
        <v>2727</v>
      </c>
      <c r="J16" s="2603"/>
      <c r="K16" s="1398" t="str">
        <f>IF(D17="","",D16&amp;TEXT(D17,"yyyy年m月d日;;"))</f>
        <v>商业2063年11月6日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2731</v>
      </c>
      <c r="B17" s="2538" t="s">
        <v>1473</v>
      </c>
      <c r="C17" s="3081">
        <v>70804</v>
      </c>
      <c r="D17" s="3081">
        <v>59846</v>
      </c>
      <c r="E17" s="3081"/>
      <c r="F17" s="3081"/>
      <c r="G17" s="3081"/>
      <c r="H17" s="3081"/>
      <c r="I17" s="3081"/>
      <c r="J17" s="2603"/>
      <c r="K17" s="2582" t="str">
        <f>CONCATENATE(K16,L16,M16,N16,O16,P16,Q16,R16,S16,T16,,U16)</f>
        <v>商业2063年11月6日</v>
      </c>
      <c r="L17" s="2583"/>
      <c r="M17" s="2583"/>
      <c r="N17" s="2584"/>
      <c r="O17" s="2585"/>
      <c r="P17" s="2584"/>
      <c r="Q17" s="2584"/>
      <c r="R17" s="2584"/>
      <c r="S17" s="2584"/>
      <c r="T17" s="2584"/>
      <c r="U17" s="2584"/>
    </row>
    <row r="18" spans="1:21">
      <c r="A18" s="1463"/>
      <c r="B18" s="2538" t="s">
        <v>1474</v>
      </c>
      <c r="C18" s="1396">
        <v>70</v>
      </c>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f>IF(A17="出让",IF(C17="","",ROUNDDOWN(MIN((C17-$D$3)/365,C18),2)),C18)</f>
        <v>68.45</v>
      </c>
      <c r="D19" s="1458">
        <f>IF(A17="出让",IF(D17="","",ROUNDDOWN(MIN((D17-$D$3)/365,D18),2)),D18)</f>
        <v>38.43</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8"/>
      <c r="E20" s="3479"/>
      <c r="F20" s="3479"/>
      <c r="G20" s="3479"/>
      <c r="H20" s="3479"/>
      <c r="I20" s="3480"/>
      <c r="J20" s="2603"/>
      <c r="K20" s="2587"/>
      <c r="L20" s="2583"/>
      <c r="M20" s="2583"/>
      <c r="N20" s="2584"/>
      <c r="O20" s="2585"/>
      <c r="P20" s="2584"/>
      <c r="Q20" s="2584"/>
      <c r="R20" s="2584"/>
      <c r="S20" s="2584"/>
      <c r="T20" s="2584"/>
      <c r="U20" s="2584"/>
    </row>
    <row r="21" spans="1:21">
      <c r="A21" s="1463" t="s">
        <v>1476</v>
      </c>
      <c r="B21" s="1464" t="s">
        <v>1477</v>
      </c>
      <c r="C21" s="1459">
        <f>'数据-汇总表'!E3</f>
        <v>40989</v>
      </c>
      <c r="D21" s="1460" t="s">
        <v>1478</v>
      </c>
      <c r="E21" s="3468" t="s">
        <v>1516</v>
      </c>
      <c r="F21" s="3469"/>
      <c r="G21" s="3469"/>
      <c r="H21" s="3469"/>
      <c r="I21" s="3470"/>
      <c r="J21" s="2603"/>
      <c r="K21" s="2587"/>
      <c r="L21" s="2583"/>
      <c r="M21" s="2583"/>
      <c r="N21" s="2584"/>
      <c r="O21" s="2585"/>
      <c r="P21" s="2584"/>
      <c r="Q21" s="2584"/>
      <c r="R21" s="2584"/>
      <c r="S21" s="2584"/>
      <c r="T21" s="2584"/>
      <c r="U21" s="2584"/>
    </row>
    <row r="22" spans="1:21">
      <c r="A22" s="2366" t="s">
        <v>877</v>
      </c>
      <c r="B22" s="1378" t="s">
        <v>1479</v>
      </c>
      <c r="C22" s="1398">
        <f>'数据-汇总表'!D3</f>
        <v>22772.01</v>
      </c>
      <c r="D22" s="1399" t="s">
        <v>1478</v>
      </c>
      <c r="E22" s="3468" t="s">
        <v>2165</v>
      </c>
      <c r="F22" s="3469"/>
      <c r="G22" s="3469"/>
      <c r="H22" s="3469"/>
      <c r="I22" s="3470"/>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71" t="s">
        <v>1484</v>
      </c>
      <c r="C24" s="3472"/>
      <c r="D24" s="3473" t="s">
        <v>1485</v>
      </c>
      <c r="E24" s="3474"/>
      <c r="F24" s="1414" t="s">
        <v>1486</v>
      </c>
      <c r="G24" s="2603"/>
      <c r="H24" s="2603"/>
      <c r="I24" s="2604"/>
      <c r="J24" s="2603"/>
      <c r="K24" s="3459"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59"/>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59"/>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45" t="s">
        <v>1519</v>
      </c>
      <c r="B31" s="1464" t="s">
        <v>1520</v>
      </c>
      <c r="C31" s="3484"/>
      <c r="D31" s="3485"/>
      <c r="E31" s="2603"/>
      <c r="F31" s="2603"/>
      <c r="G31" s="2603"/>
      <c r="H31" s="2603"/>
      <c r="I31" s="2604"/>
      <c r="J31" s="2603"/>
      <c r="K31" s="2590"/>
      <c r="L31" s="2584"/>
      <c r="M31" s="2584"/>
      <c r="N31" s="2584"/>
      <c r="O31" s="2584"/>
      <c r="P31" s="2584"/>
      <c r="Q31" s="2584"/>
      <c r="R31" s="2584"/>
      <c r="S31" s="2584"/>
      <c r="T31" s="2584"/>
      <c r="U31" s="2584"/>
    </row>
    <row r="32" spans="1:21">
      <c r="A32" s="3445"/>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45"/>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46"/>
      <c r="B34" s="1378" t="s">
        <v>1523</v>
      </c>
      <c r="C34" s="3447"/>
      <c r="D34" s="3448"/>
      <c r="E34" s="2603"/>
      <c r="F34" s="2603"/>
      <c r="G34" s="2603"/>
      <c r="H34" s="2603"/>
      <c r="I34" s="2604"/>
      <c r="J34" s="2603"/>
      <c r="K34" s="2590"/>
      <c r="L34" s="2584"/>
      <c r="M34" s="2584"/>
      <c r="N34" s="2584"/>
      <c r="O34" s="2584"/>
      <c r="P34" s="2584"/>
      <c r="Q34" s="2584"/>
      <c r="R34" s="2584"/>
      <c r="S34" s="2584"/>
      <c r="T34" s="2584"/>
      <c r="U34" s="2584"/>
    </row>
    <row r="35" spans="1:28">
      <c r="A35" s="3449" t="s">
        <v>785</v>
      </c>
      <c r="B35" s="1428"/>
      <c r="C35" s="1472" t="str">
        <f>IF(B35="场地平整","——","具体情况：")</f>
        <v>具体情况：</v>
      </c>
      <c r="D35" s="3451"/>
      <c r="E35" s="3452"/>
      <c r="F35" s="3452"/>
      <c r="G35" s="3452"/>
      <c r="H35" s="3452"/>
      <c r="I35" s="3453"/>
      <c r="J35" s="2603"/>
      <c r="K35" s="2591"/>
      <c r="L35" s="2583"/>
      <c r="M35" s="2583"/>
      <c r="N35" s="2584"/>
      <c r="O35" s="2585"/>
      <c r="P35" s="2584"/>
      <c r="Q35" s="2584"/>
      <c r="R35" s="2584"/>
      <c r="S35" s="2584"/>
      <c r="T35" s="2584"/>
      <c r="U35" s="2584"/>
    </row>
    <row r="36" spans="1:28">
      <c r="A36" s="3445"/>
      <c r="B36" s="3454" t="s">
        <v>1572</v>
      </c>
      <c r="C36" s="3455"/>
      <c r="D36" s="1487"/>
      <c r="E36" s="3456"/>
      <c r="F36" s="3456"/>
      <c r="G36" s="1399" t="str">
        <f>IF(B35="场地未平整","估价结果处理","")</f>
        <v/>
      </c>
      <c r="H36" s="3457"/>
      <c r="I36" s="3457"/>
      <c r="J36" s="2603"/>
      <c r="K36" s="2591"/>
      <c r="L36" s="2583"/>
      <c r="M36" s="2583"/>
      <c r="N36" s="2584"/>
      <c r="O36" s="2585"/>
      <c r="P36" s="2584"/>
      <c r="Q36" s="2584"/>
      <c r="R36" s="2584"/>
      <c r="S36" s="2584"/>
      <c r="T36" s="2584"/>
      <c r="U36" s="2584"/>
    </row>
    <row r="37" spans="1:28" ht="28.5">
      <c r="A37" s="3445"/>
      <c r="B37" s="3475"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45"/>
      <c r="B38" s="3476"/>
      <c r="C38" s="1386" t="s">
        <v>788</v>
      </c>
      <c r="D38" s="1486">
        <f>ROUNDDOWN(MIN(('数据-取费表'!$B$2-D37)/365,D34),1)</f>
        <v>125.5</v>
      </c>
      <c r="E38" s="1433" t="s">
        <v>789</v>
      </c>
      <c r="F38" s="2603"/>
      <c r="G38" s="2603"/>
      <c r="H38" s="2603"/>
      <c r="I38" s="2604"/>
      <c r="J38" s="2603"/>
      <c r="K38" s="2591"/>
      <c r="L38" s="2584"/>
      <c r="M38" s="2584"/>
      <c r="N38" s="2584"/>
      <c r="O38" s="2584"/>
      <c r="P38" s="2584"/>
      <c r="Q38" s="2584"/>
      <c r="R38" s="2584"/>
      <c r="S38" s="2584"/>
      <c r="T38" s="2584"/>
      <c r="U38" s="2584"/>
    </row>
    <row r="39" spans="1:28">
      <c r="A39" s="3446"/>
      <c r="B39" s="3477"/>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8" t="s">
        <v>1503</v>
      </c>
      <c r="T40" s="1407" t="str">
        <f>NUMBERSTRING(7-K40,1)&amp;"通"</f>
        <v>七通</v>
      </c>
      <c r="U40" s="2584"/>
    </row>
    <row r="41" spans="1:28">
      <c r="A41" s="1380"/>
      <c r="B41" s="3450" t="s">
        <v>1250</v>
      </c>
      <c r="C41" s="3450"/>
      <c r="D41" s="3450"/>
      <c r="E41" s="3450"/>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8"/>
      <c r="T41" s="1438" t="str">
        <f>IF(T40="一通",L41,IF(T40="二通",M41,IF(T40="三通",N41,IF(T40="四通",O41,IF(T40="五通",P41,IF(T40="六通",Q41,R41))))))</f>
        <v>、、、、、、</v>
      </c>
      <c r="U41" s="2584"/>
    </row>
    <row r="42" spans="1:28">
      <c r="A42" s="1440"/>
      <c r="B42" s="1466" t="s">
        <v>1422</v>
      </c>
      <c r="C42" s="1466" t="s">
        <v>1423</v>
      </c>
      <c r="D42" s="1466" t="s">
        <v>1424</v>
      </c>
      <c r="E42" s="1466" t="s">
        <v>2732</v>
      </c>
      <c r="F42" s="1466" t="s">
        <v>2733</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22772.01</v>
      </c>
      <c r="B3" s="19">
        <f>IF(C3="否",G5-AT5,G5)</f>
        <v>40989</v>
      </c>
      <c r="C3" s="20" t="s">
        <v>3315</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40989</v>
      </c>
      <c r="H5" s="23">
        <f t="shared" ref="H5:AT5" si="0">SUM(H13:H641)</f>
        <v>40989</v>
      </c>
      <c r="I5" s="23">
        <f t="shared" si="0"/>
        <v>40989</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40989</v>
      </c>
      <c r="BA5" s="25">
        <f t="shared" si="1"/>
        <v>40989</v>
      </c>
      <c r="BB5" s="25">
        <f t="shared" si="1"/>
        <v>40989</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22772.01</v>
      </c>
      <c r="F6" s="23" t="s">
        <v>0</v>
      </c>
      <c r="G6" s="23" t="s">
        <v>1</v>
      </c>
      <c r="H6" s="29">
        <f>SUMIF(I$12:AB$12,"总值",I6:AB6)</f>
        <v>22772.01</v>
      </c>
      <c r="I6" s="23">
        <f t="shared" ref="I6:AB6" si="2">ROUND($A$3*I5/$B$3,2)</f>
        <v>22772.01</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22772.01</v>
      </c>
      <c r="AZ6" s="23" t="s">
        <v>2</v>
      </c>
      <c r="BA6" s="23">
        <f>ROUND($AY$6*BA5/$AZ$5,2)</f>
        <v>22772.01</v>
      </c>
      <c r="BB6" s="23">
        <f>ROUND($AY$6*BB5/$AZ$5,2)</f>
        <v>22772.01</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3314</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851</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住宅</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t="s">
        <v>3312</v>
      </c>
      <c r="D13" s="2301" t="s">
        <v>3313</v>
      </c>
      <c r="E13" s="23">
        <f t="shared" ref="E13:E20" si="6">IF($C$3="是",ROUND($A$3*G13/$B$3,2),ROUND($A$3*(G13-AT13)/$B$3,2))</f>
        <v>22772.01</v>
      </c>
      <c r="F13" s="76"/>
      <c r="G13" s="77">
        <f t="shared" ref="G13:G20" si="7">H13+AC13+AT13</f>
        <v>40989</v>
      </c>
      <c r="H13" s="29">
        <f t="shared" ref="H13:H20" si="8">SUMIF(I$12:AB$12,"总值",I13:AB13)</f>
        <v>40989</v>
      </c>
      <c r="I13" s="2303">
        <v>40989</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09">
        <f t="shared" ref="AY13:AY20" si="11">ROUND($AY$6*AZ13/$AZ$5,2)</f>
        <v>22772.01</v>
      </c>
      <c r="AZ13" s="23">
        <f t="shared" ref="AZ13:AZ20" si="12">BA13+BL13</f>
        <v>40989</v>
      </c>
      <c r="BA13" s="23">
        <f t="shared" ref="BA13:BA20" si="13">SUM(BB13:BK13)</f>
        <v>40989</v>
      </c>
      <c r="BB13" s="23">
        <f t="shared" ref="BB13:BB20" si="14">IF($D13="是",I13-J13,0)</f>
        <v>40989</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5" t="s">
        <v>169</v>
      </c>
      <c r="B2" s="3495"/>
      <c r="C2" s="3495"/>
      <c r="D2" s="1631" t="s">
        <v>170</v>
      </c>
      <c r="E2" s="97" t="s">
        <v>171</v>
      </c>
      <c r="F2" s="2610"/>
      <c r="G2" s="1041"/>
      <c r="H2" s="1042"/>
      <c r="I2" s="1043" t="s">
        <v>795</v>
      </c>
      <c r="J2" s="2610"/>
      <c r="K2" s="2610"/>
      <c r="L2" s="2610"/>
      <c r="M2" s="2610"/>
      <c r="N2" s="2610"/>
      <c r="O2" s="2610"/>
      <c r="P2" s="2610"/>
    </row>
    <row r="3" spans="1:16" ht="15.75" thickBot="1">
      <c r="A3" s="3496" t="s">
        <v>172</v>
      </c>
      <c r="B3" s="3496"/>
      <c r="C3" s="3496"/>
      <c r="D3" s="98">
        <f>'数据-基础表'!AY6</f>
        <v>22772.01</v>
      </c>
      <c r="E3" s="98">
        <f>'数据-基础表'!AZ5</f>
        <v>40989</v>
      </c>
      <c r="F3" s="2610"/>
      <c r="G3" s="106" t="s">
        <v>796</v>
      </c>
      <c r="H3" s="102" t="s">
        <v>797</v>
      </c>
      <c r="I3" s="996">
        <f>ROUND('数据-基础表'!B3/'数据-基础表'!A3,2)</f>
        <v>1.8</v>
      </c>
      <c r="J3" s="2610"/>
      <c r="K3" s="2610"/>
      <c r="L3" s="2610"/>
      <c r="M3" s="2610"/>
      <c r="N3" s="2610"/>
      <c r="O3" s="2610"/>
      <c r="P3" s="2610"/>
    </row>
    <row r="4" spans="1:16" ht="15">
      <c r="A4" s="3497"/>
      <c r="B4" s="3498"/>
      <c r="C4" s="3499"/>
      <c r="D4" s="99" t="s">
        <v>170</v>
      </c>
      <c r="E4" s="100" t="s">
        <v>171</v>
      </c>
      <c r="F4" s="2610"/>
      <c r="G4" s="119"/>
      <c r="H4" s="102" t="s">
        <v>798</v>
      </c>
      <c r="I4" s="996">
        <f>ROUND(SUMIF('数据-基础表'!I9:AS9,"地上",'数据-基础表'!I5:AS5)/'数据-基础表'!A3,2)</f>
        <v>1.8</v>
      </c>
      <c r="J4" s="2610"/>
      <c r="K4" s="2610"/>
      <c r="L4" s="2610"/>
      <c r="M4" s="2610"/>
      <c r="N4" s="2610"/>
      <c r="O4" s="2610"/>
      <c r="P4" s="2610"/>
    </row>
    <row r="5" spans="1:16">
      <c r="A5" s="101" t="s">
        <v>173</v>
      </c>
      <c r="B5" s="3500" t="s">
        <v>196</v>
      </c>
      <c r="C5" s="3500"/>
      <c r="D5" s="102">
        <f>ROUND($D$3*E5/$E$3,2)</f>
        <v>22772.01</v>
      </c>
      <c r="E5" s="103">
        <f>SUMIF('数据-基础表'!$11:$11,"住宅",'数据-基础表'!$5:$5)</f>
        <v>40989</v>
      </c>
      <c r="F5" s="2610"/>
      <c r="G5" s="106" t="s">
        <v>799</v>
      </c>
      <c r="H5" s="102" t="s">
        <v>797</v>
      </c>
      <c r="I5" s="996">
        <f>ROUND(E31/D31,2)</f>
        <v>1.8</v>
      </c>
      <c r="J5" s="2610"/>
      <c r="K5" s="2610"/>
      <c r="L5" s="2610"/>
      <c r="M5" s="2610"/>
      <c r="N5" s="2610"/>
      <c r="O5" s="2610"/>
      <c r="P5" s="2610"/>
    </row>
    <row r="6" spans="1:16" ht="15" thickBot="1">
      <c r="A6" s="104"/>
      <c r="B6" s="3500" t="s">
        <v>174</v>
      </c>
      <c r="C6" s="3500"/>
      <c r="D6" s="102">
        <f>ROUND($D$3*E6/$E$3,2)</f>
        <v>0</v>
      </c>
      <c r="E6" s="103">
        <f>E3-E5</f>
        <v>0</v>
      </c>
      <c r="F6" s="2610"/>
      <c r="G6" s="119"/>
      <c r="H6" s="102" t="s">
        <v>798</v>
      </c>
      <c r="I6" s="996">
        <f>ROUND(F31/D31,2)</f>
        <v>1.8</v>
      </c>
      <c r="J6" s="2610"/>
      <c r="K6" s="2610"/>
      <c r="L6" s="2610"/>
      <c r="M6" s="2610"/>
      <c r="N6" s="2610"/>
      <c r="O6" s="2610"/>
      <c r="P6" s="2610"/>
    </row>
    <row r="7" spans="1:16" ht="15">
      <c r="A7" s="3492"/>
      <c r="B7" s="3493"/>
      <c r="C7" s="3494"/>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22772.01</v>
      </c>
      <c r="E8" s="107">
        <f>SUMIF('数据-基础表'!BB10:BK10,"地上",'数据-基础表'!BB5:BK5)</f>
        <v>40989</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22772.01</v>
      </c>
      <c r="E16" s="111">
        <f>SUM(E8:E15)</f>
        <v>40989</v>
      </c>
      <c r="F16" s="2610"/>
      <c r="G16" s="2610"/>
      <c r="H16" s="882" t="s">
        <v>185</v>
      </c>
      <c r="I16" s="883"/>
      <c r="J16" s="1633"/>
      <c r="K16" s="3486" t="s">
        <v>1849</v>
      </c>
      <c r="L16" s="3487"/>
      <c r="M16" s="3487"/>
      <c r="N16" s="3487"/>
      <c r="O16" s="3487"/>
      <c r="P16" s="3488"/>
    </row>
    <row r="17" spans="1:19" ht="15">
      <c r="A17" s="112" t="s">
        <v>182</v>
      </c>
      <c r="B17" s="113" t="s">
        <v>183</v>
      </c>
      <c r="C17" s="1886" t="s">
        <v>1670</v>
      </c>
      <c r="D17" s="99" t="s">
        <v>170</v>
      </c>
      <c r="E17" s="115" t="s">
        <v>171</v>
      </c>
      <c r="F17" s="116"/>
      <c r="G17" s="1158"/>
      <c r="H17" s="884" t="s">
        <v>184</v>
      </c>
      <c r="I17" s="885" t="s">
        <v>1669</v>
      </c>
      <c r="J17" s="1633"/>
      <c r="K17" s="3489" t="s">
        <v>1850</v>
      </c>
      <c r="L17" s="3490"/>
      <c r="M17" s="3491"/>
      <c r="N17" s="3489" t="s">
        <v>1851</v>
      </c>
      <c r="O17" s="3490"/>
      <c r="P17" s="3491"/>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3316</v>
      </c>
      <c r="D19" s="102">
        <f t="shared" ref="D19:D26" si="1">ROUND($D$3*E19/$E$3,2)</f>
        <v>22772.01</v>
      </c>
      <c r="E19" s="124">
        <f t="shared" ref="E19:E26" si="2">SUM(F19:G19)</f>
        <v>40989</v>
      </c>
      <c r="F19" s="2611">
        <f>'数据-基础表'!I13</f>
        <v>40989</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22772.01</v>
      </c>
      <c r="S19" s="124">
        <f t="shared" si="5"/>
        <v>40989</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22772.01</v>
      </c>
      <c r="E27" s="129">
        <f>IF(SUM(E19:E26)='数据-基础表'!BA5,SUM(E19:E26),IF(F27="地上面积有误","面积有误","地下面积有误"))</f>
        <v>40989</v>
      </c>
      <c r="F27" s="124">
        <f>IF(SUM(F19:F26)=E8,SUM(F19:F26),"地上面积有误")</f>
        <v>40989</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22772.01</v>
      </c>
      <c r="S27" s="102">
        <f>IF(SUM(S19:S26)=$E$3,SUM(S19:S26),SUM(S19:S26)&amp;"误差"&amp;ROUND(SUM(S19:S26)-E3,2))</f>
        <v>40989</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22772.01</v>
      </c>
      <c r="E31" s="1162">
        <f>E27+E30</f>
        <v>40989</v>
      </c>
      <c r="F31" s="1163">
        <f>F27+F30</f>
        <v>40989</v>
      </c>
      <c r="G31" s="1164">
        <f>G27+G30</f>
        <v>0</v>
      </c>
      <c r="H31" s="2610"/>
      <c r="I31" s="2610"/>
      <c r="J31" s="2610"/>
      <c r="K31" s="2610"/>
      <c r="L31" s="2610"/>
      <c r="M31" s="2610"/>
      <c r="N31" s="2610"/>
      <c r="O31" s="2610"/>
      <c r="P31" s="2610"/>
    </row>
    <row r="32" spans="1:19">
      <c r="A32" s="1633"/>
      <c r="B32" s="1929" t="s">
        <v>1678</v>
      </c>
      <c r="C32" s="2087"/>
      <c r="D32" s="119"/>
      <c r="E32" s="119">
        <f>SUMIF(C19:C26,"*住宅*",E19:E26)</f>
        <v>40989</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F6" activePane="bottomRight" state="frozen"/>
      <selection pane="topRight" activeCell="D1" sqref="D1"/>
      <selection pane="bottomLeft" activeCell="A4" sqref="A4"/>
      <selection pane="bottomRight" activeCell="N27" sqref="N27"/>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45817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3232</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70804</v>
      </c>
      <c r="F6" s="158">
        <f>SUMIF(项目基本情况!C$15:I$15,C6,项目基本情况!C$19:I$19)</f>
        <v>68.45</v>
      </c>
      <c r="G6" s="159">
        <f t="shared" ref="G6:G13" si="0">IF(ISERROR(ROUND(POWER(1+H6,D6-F6)*(POWER(1+H6,F6)-1)/(POWER(1+H6,D6)-1),3)),0,ROUND(POWER(1+H6,D6-F6)*(POWER(1+H6,F6)-1)/(POWER(1+H6,D6)-1),3))</f>
        <v>0.997</v>
      </c>
      <c r="H6" s="2311">
        <v>4.4999999999999998E-2</v>
      </c>
      <c r="I6" s="2311">
        <v>0.05</v>
      </c>
      <c r="J6" s="160">
        <v>7.0000000000000007E-2</v>
      </c>
      <c r="K6" s="163">
        <f>SUMIF('数据-汇总表'!C$19:C$33,'数据-取费表'!A6,'数据-汇总表'!E$19:E$33)</f>
        <v>40989</v>
      </c>
      <c r="L6" s="2312">
        <v>2000</v>
      </c>
      <c r="M6" s="161">
        <f t="shared" ref="M6:M14" si="1">ROUND(K6*L6/10000,0)</f>
        <v>8198</v>
      </c>
      <c r="N6" s="2313">
        <v>0</v>
      </c>
      <c r="O6" s="161">
        <f>IF($N$5="成新度","——",ROUND(M6*N6,0))</f>
        <v>0</v>
      </c>
      <c r="P6" s="162">
        <f>IF($N$5="成新度","——",M6-O6)</f>
        <v>8198</v>
      </c>
      <c r="Q6" s="2314">
        <v>0.1</v>
      </c>
      <c r="R6" s="163">
        <f>SUMIF('数据-汇总表'!C$19:C$33,A6,'数据-汇总表'!R$19:R$33)</f>
        <v>22772.01</v>
      </c>
      <c r="S6" s="122">
        <f>IF('数据-汇总表'!$I$17="按面积比例",SUMIF('数据-汇总表'!C$19:C$33,A6,'数据-汇总表'!K$19:K$33),SUMIF('数据-汇总表'!C$19:C$33,A6,'数据-汇总表'!N$19:N$33))</f>
        <v>0</v>
      </c>
      <c r="T6" s="1827" t="str">
        <f>IF($T$4="按面积比例",IF(ISERROR(ROUND($M$14*S6/S$16,0)),"0",ROUND($M$14*S6/S$16,0)),"需自行计算录入")</f>
        <v>0</v>
      </c>
      <c r="U6" s="164"/>
      <c r="V6" s="165"/>
      <c r="W6" s="165"/>
      <c r="X6" s="1908"/>
      <c r="Y6" s="166"/>
      <c r="Z6" s="167"/>
      <c r="AA6" s="160"/>
      <c r="AB6" s="160"/>
      <c r="AC6" s="1911"/>
      <c r="AD6" s="168"/>
      <c r="AE6" s="886">
        <f ca="1">IF(AN6="",0,SUMIF(INDIRECT("'"&amp;AN6&amp;"'"&amp;"!E:E"),$AE$5,INDIRECT("'"&amp;AN6&amp;"'"&amp;"!F:F")))</f>
        <v>0</v>
      </c>
      <c r="AF6" s="127"/>
      <c r="AG6" s="1053">
        <f>IF(AF6="",0,AE6-AF6)</f>
        <v>0</v>
      </c>
      <c r="AH6" s="127"/>
      <c r="AI6" s="171"/>
      <c r="AJ6" s="127"/>
      <c r="AK6" s="172"/>
      <c r="AL6" s="173"/>
      <c r="AM6" s="2322"/>
      <c r="AN6" s="1124"/>
      <c r="AO6" s="2610"/>
      <c r="AP6" s="96">
        <f>ROUND(1-1/(1+H6)^F6,3)</f>
        <v>0.95099999999999996</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hidden="1">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0.997</v>
      </c>
      <c r="H16" s="184">
        <f>ROUND(SUMPRODUCT(H6:H13,K6:K13)/SUMPRODUCT((H6:H13&gt;0)*(K6:K13)),3)</f>
        <v>4.4999999999999998E-2</v>
      </c>
      <c r="I16" s="185"/>
      <c r="J16" s="185"/>
      <c r="K16" s="186">
        <f>SUM(K6:K15)</f>
        <v>40989</v>
      </c>
      <c r="L16" s="187">
        <f>ROUND(M16*10000/SUM(K6:K14),0)</f>
        <v>2000</v>
      </c>
      <c r="M16" s="187">
        <f>SUM(M6:M14)</f>
        <v>8198</v>
      </c>
      <c r="N16" s="188">
        <f>ROUND(SUMPRODUCT(M6:M14,N6:N14)/M16,3)</f>
        <v>0</v>
      </c>
      <c r="O16" s="187">
        <f>SUM(O6:O14)</f>
        <v>0</v>
      </c>
      <c r="P16" s="187">
        <f>SUM(P6:P14)</f>
        <v>8198</v>
      </c>
      <c r="Q16" s="189">
        <f>ROUND(SUMPRODUCT(Q6:Q13,K6:K13)/SUMPRODUCT((Q6:Q13&gt;0)*(K6:K13)),2)</f>
        <v>0.1</v>
      </c>
      <c r="R16" s="1898">
        <f>SUM(R6:R13)</f>
        <v>22772.01</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0.95099999999999996</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2262</v>
      </c>
      <c r="D19" s="2619"/>
      <c r="E19" s="2610"/>
      <c r="F19" s="2610"/>
      <c r="G19" s="2610"/>
      <c r="H19" s="2610"/>
      <c r="I19" s="2610"/>
      <c r="J19" s="2610"/>
      <c r="K19" s="3735" t="s">
        <v>3550</v>
      </c>
      <c r="L19" s="3733">
        <f>'数据-汇总表'!E3</f>
        <v>40989</v>
      </c>
      <c r="M19" s="3733">
        <v>1700</v>
      </c>
      <c r="N19" s="3733">
        <f>L19*M19/10000</f>
        <v>6968.13</v>
      </c>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1.5</v>
      </c>
      <c r="C20" s="2629" t="s">
        <v>1692</v>
      </c>
      <c r="D20" s="2619"/>
      <c r="E20" s="2610"/>
      <c r="F20" s="2610"/>
      <c r="G20" s="2610"/>
      <c r="H20" s="2610"/>
      <c r="I20" s="2610"/>
      <c r="J20" s="2610"/>
      <c r="K20" s="3735" t="s">
        <v>3551</v>
      </c>
      <c r="L20" s="3733">
        <f>L19*0.2</f>
        <v>8197.8000000000011</v>
      </c>
      <c r="M20" s="3733">
        <v>1700</v>
      </c>
      <c r="N20" s="3733">
        <f>L20*M20/10000</f>
        <v>1393.6260000000002</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3733"/>
      <c r="L21" s="3733">
        <f>L19+L20</f>
        <v>49186.8</v>
      </c>
      <c r="M21" s="3733">
        <f>N21/L19*10000</f>
        <v>2040.0000000000005</v>
      </c>
      <c r="N21" s="3733">
        <f>N19+N20</f>
        <v>8361.7560000000012</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1.5</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3733"/>
      <c r="L23" s="3733" t="s">
        <v>3579</v>
      </c>
      <c r="M23" s="3733" t="s">
        <v>3555</v>
      </c>
      <c r="N23" s="3733" t="s">
        <v>3562</v>
      </c>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1.5</v>
      </c>
      <c r="C24" s="2610"/>
      <c r="D24" s="2619"/>
      <c r="E24" s="2610"/>
      <c r="F24" s="2610"/>
      <c r="G24" s="2610"/>
      <c r="H24" s="2610"/>
      <c r="I24" s="2610"/>
      <c r="J24" s="2610"/>
      <c r="K24" s="3736" t="s">
        <v>3578</v>
      </c>
      <c r="L24" s="3734">
        <v>1718</v>
      </c>
      <c r="M24" s="3734">
        <v>2049</v>
      </c>
      <c r="N24" s="3734">
        <v>2476</v>
      </c>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75</v>
      </c>
      <c r="C27" s="2630" t="s">
        <v>2263</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75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3258</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0.05</v>
      </c>
      <c r="C34" s="2632" t="s">
        <v>2255</v>
      </c>
      <c r="D34" s="2633" t="s">
        <v>2260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2256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3301</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3259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3260</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2277</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3261</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0.9</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3549</v>
      </c>
      <c r="D53" s="2636" t="s">
        <v>2261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c r="C54" s="2623">
        <v>8</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c r="C55" s="2623">
        <v>6</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c r="C56" s="2623">
        <v>4</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0.9</v>
      </c>
      <c r="C57" s="2623">
        <v>0.9</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c r="C58" s="2623"/>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disablePrompts="1"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1" t="s">
        <v>1198</v>
      </c>
      <c r="B1" s="3502"/>
      <c r="C1" s="3502"/>
      <c r="D1" s="3502"/>
      <c r="E1" s="3502"/>
      <c r="F1" s="3502"/>
      <c r="G1" s="3502"/>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8" sqref="G8"/>
    </sheetView>
  </sheetViews>
  <sheetFormatPr defaultColWidth="14.625" defaultRowHeight="13.5"/>
  <cols>
    <col min="1" max="1" width="24.375" style="2696" customWidth="1"/>
    <col min="2" max="16384" width="14.625" style="2696"/>
  </cols>
  <sheetData>
    <row r="1" spans="1:10" ht="16.5">
      <c r="A1" s="2695" t="s">
        <v>2118</v>
      </c>
      <c r="B1" s="2695">
        <f>SUM(B14:B23)</f>
        <v>40989</v>
      </c>
      <c r="C1" s="2703"/>
      <c r="D1" s="2703"/>
      <c r="E1" s="2703"/>
      <c r="F1" s="2703"/>
      <c r="G1" s="2704"/>
      <c r="H1" s="2704"/>
      <c r="I1" s="2704"/>
      <c r="J1" s="2704"/>
    </row>
    <row r="2" spans="1:10" ht="16.5">
      <c r="A2" s="2695" t="s">
        <v>2119</v>
      </c>
      <c r="B2" s="2695">
        <f>SUM(C14:C23)</f>
        <v>22772.01</v>
      </c>
      <c r="C2" s="2703"/>
      <c r="D2" s="2703"/>
      <c r="E2" s="2703"/>
      <c r="F2" s="2703"/>
      <c r="G2" s="2704"/>
      <c r="H2" s="2704"/>
      <c r="I2" s="2704"/>
      <c r="J2" s="2704"/>
    </row>
    <row r="3" spans="1:10" ht="16.5">
      <c r="A3" s="2695" t="s">
        <v>2120</v>
      </c>
      <c r="B3" s="2697">
        <f>项目基本情况!D3</f>
        <v>45817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5129</v>
      </c>
      <c r="C5" s="2695">
        <f ca="1">ROUND(B5*10000/$B$1,0)</f>
        <v>1251</v>
      </c>
      <c r="D5" s="2695">
        <f ca="1">ROUND(B5*10000/$B$2,0)</f>
        <v>2252</v>
      </c>
      <c r="E5" s="2703"/>
      <c r="F5" s="2703"/>
      <c r="G5" s="2704"/>
      <c r="H5" s="2704"/>
      <c r="I5" s="2704"/>
      <c r="J5" s="2704"/>
    </row>
    <row r="6" spans="1:10" ht="16.5">
      <c r="A6" s="2695" t="s">
        <v>2126</v>
      </c>
      <c r="B6" s="2695">
        <f ca="1">SUM(G14:G23)</f>
        <v>5129</v>
      </c>
      <c r="C6" s="2695">
        <f ca="1">ROUND(B6*10000/$B$1,0)</f>
        <v>1251</v>
      </c>
      <c r="D6" s="2695">
        <f ca="1">ROUND(B6*10000/$B$2,0)</f>
        <v>2252</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'数据-汇总表'!E3</f>
        <v>40989</v>
      </c>
      <c r="C14" s="2701">
        <f>'数据-汇总表'!D3</f>
        <v>22772.01</v>
      </c>
      <c r="D14" s="2701">
        <f ca="1">结果表!G19</f>
        <v>5129</v>
      </c>
      <c r="E14" s="2701">
        <f ca="1">ROUND(D14*10000/B14,0)</f>
        <v>1251</v>
      </c>
      <c r="F14" s="2701">
        <f ca="1">ROUND(D14*10000/C14,0)</f>
        <v>2252</v>
      </c>
      <c r="G14" s="2701">
        <f ca="1">D14</f>
        <v>5129</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85" zoomScaleNormal="100" zoomScaleSheetLayoutView="85" zoomScalePageLayoutView="80" workbookViewId="0">
      <selection activeCell="K17" sqref="K17"/>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3576</v>
      </c>
      <c r="E1" s="1499" t="s">
        <v>1575</v>
      </c>
      <c r="F1" s="1501" t="s">
        <v>3577</v>
      </c>
      <c r="G1" s="287"/>
      <c r="H1" s="287"/>
      <c r="I1" s="287"/>
      <c r="J1" s="1636"/>
      <c r="K1" s="1636"/>
      <c r="L1" s="1636"/>
      <c r="M1" s="1636"/>
      <c r="N1" s="1636"/>
      <c r="O1" s="1636"/>
      <c r="P1" s="1636"/>
      <c r="Q1" s="1636"/>
      <c r="R1" s="1636"/>
      <c r="S1" s="1636"/>
      <c r="T1" s="1636"/>
      <c r="U1" s="1636"/>
      <c r="V1" s="1636"/>
    </row>
    <row r="2" spans="1:22" ht="21.75" customHeight="1" thickBot="1">
      <c r="A2" s="3547" t="str">
        <f>项目基本情况!K2</f>
        <v>出让国有建设用地使用权</v>
      </c>
      <c r="B2" s="3548"/>
      <c r="C2" s="3549"/>
      <c r="D2" s="3549"/>
      <c r="E2" s="3549"/>
      <c r="F2" s="3549"/>
      <c r="G2" s="3548"/>
      <c r="H2" s="3548"/>
      <c r="I2" s="3550"/>
      <c r="J2" s="1643"/>
      <c r="K2" s="1636"/>
      <c r="L2" s="1636"/>
      <c r="M2" s="1636"/>
      <c r="N2" s="1636"/>
      <c r="O2" s="1636"/>
      <c r="P2" s="1636"/>
      <c r="Q2" s="1636"/>
      <c r="R2" s="1636"/>
      <c r="S2" s="1636"/>
      <c r="T2" s="1636"/>
      <c r="U2" s="1636"/>
      <c r="V2" s="1636"/>
    </row>
    <row r="3" spans="1:22" ht="14.25">
      <c r="A3" s="3540" t="s">
        <v>264</v>
      </c>
      <c r="B3" s="3541"/>
      <c r="C3" s="3541"/>
      <c r="D3" s="3541"/>
      <c r="E3" s="3541"/>
      <c r="F3" s="3541"/>
      <c r="G3" s="3541"/>
      <c r="H3" s="3541"/>
      <c r="I3" s="3541"/>
      <c r="J3" s="1643"/>
      <c r="K3" s="1636"/>
      <c r="L3" s="1636"/>
      <c r="M3" s="1636"/>
      <c r="N3" s="1636"/>
      <c r="O3" s="1636"/>
      <c r="P3" s="1636"/>
      <c r="Q3" s="1636"/>
      <c r="R3" s="1636"/>
      <c r="S3" s="1636"/>
      <c r="T3" s="1636"/>
      <c r="U3" s="1636"/>
      <c r="V3" s="1636"/>
    </row>
    <row r="4" spans="1:22" ht="14.25">
      <c r="A4" s="238" t="s">
        <v>265</v>
      </c>
      <c r="B4" s="239" t="s">
        <v>266</v>
      </c>
      <c r="C4" s="240" t="s">
        <v>3570</v>
      </c>
      <c r="D4" s="240" t="s">
        <v>3571</v>
      </c>
      <c r="E4" s="3506" t="s">
        <v>267</v>
      </c>
      <c r="F4" s="3507"/>
      <c r="G4" s="3507"/>
      <c r="H4" s="3507"/>
      <c r="I4" s="3542"/>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05" t="s">
        <v>268</v>
      </c>
      <c r="B5" s="3534">
        <v>25</v>
      </c>
      <c r="C5" s="3532"/>
      <c r="D5" s="3536"/>
      <c r="E5" s="241" t="s">
        <v>269</v>
      </c>
      <c r="F5" s="242"/>
      <c r="G5" s="242"/>
      <c r="H5" s="242"/>
      <c r="I5" s="243"/>
      <c r="J5" s="1643"/>
      <c r="K5" s="1636"/>
      <c r="L5" s="1636"/>
      <c r="M5" s="1636"/>
      <c r="N5" s="1636"/>
      <c r="O5" s="1636"/>
      <c r="P5" s="1636"/>
      <c r="Q5" s="1636"/>
      <c r="R5" s="1636"/>
      <c r="S5" s="1636"/>
      <c r="T5" s="1636"/>
      <c r="U5" s="1636"/>
      <c r="V5" s="1636"/>
    </row>
    <row r="6" spans="1:22" ht="14.25">
      <c r="A6" s="3505"/>
      <c r="B6" s="3534"/>
      <c r="C6" s="3535"/>
      <c r="D6" s="3536"/>
      <c r="E6" s="241" t="s">
        <v>270</v>
      </c>
      <c r="F6" s="242"/>
      <c r="G6" s="242"/>
      <c r="H6" s="242"/>
      <c r="I6" s="243"/>
      <c r="J6" s="1643"/>
      <c r="K6" s="1636"/>
      <c r="L6" s="1636"/>
      <c r="M6" s="1636"/>
      <c r="N6" s="1636"/>
      <c r="O6" s="1636"/>
      <c r="P6" s="1636"/>
      <c r="Q6" s="1636"/>
      <c r="R6" s="1636"/>
      <c r="S6" s="1636"/>
      <c r="T6" s="1636"/>
      <c r="U6" s="1636"/>
      <c r="V6" s="1636"/>
    </row>
    <row r="7" spans="1:22" ht="14.25">
      <c r="A7" s="3505"/>
      <c r="B7" s="3534"/>
      <c r="C7" s="3533"/>
      <c r="D7" s="3536"/>
      <c r="E7" s="241" t="s">
        <v>271</v>
      </c>
      <c r="F7" s="242"/>
      <c r="G7" s="242"/>
      <c r="H7" s="242"/>
      <c r="I7" s="243"/>
      <c r="J7" s="1643"/>
      <c r="K7" s="1636"/>
      <c r="L7" s="1636"/>
      <c r="M7" s="1636"/>
      <c r="N7" s="1636"/>
      <c r="O7" s="1636"/>
      <c r="P7" s="1636"/>
      <c r="Q7" s="1636"/>
      <c r="R7" s="1636"/>
      <c r="S7" s="1636"/>
      <c r="T7" s="1636"/>
      <c r="U7" s="1636"/>
      <c r="V7" s="1636"/>
    </row>
    <row r="8" spans="1:22" ht="14.25">
      <c r="A8" s="3505" t="s">
        <v>272</v>
      </c>
      <c r="B8" s="3534">
        <v>15</v>
      </c>
      <c r="C8" s="3532"/>
      <c r="D8" s="3536"/>
      <c r="E8" s="241" t="s">
        <v>273</v>
      </c>
      <c r="F8" s="242"/>
      <c r="G8" s="242"/>
      <c r="H8" s="242"/>
      <c r="I8" s="243"/>
      <c r="J8" s="1643"/>
      <c r="K8" s="1636"/>
      <c r="L8" s="1636"/>
      <c r="M8" s="1636"/>
      <c r="N8" s="1636"/>
      <c r="O8" s="1636"/>
      <c r="P8" s="1636"/>
      <c r="Q8" s="1636"/>
      <c r="R8" s="1636"/>
      <c r="S8" s="1636"/>
      <c r="T8" s="1636"/>
      <c r="U8" s="1636"/>
      <c r="V8" s="1636"/>
    </row>
    <row r="9" spans="1:22" ht="14.25">
      <c r="A9" s="3505"/>
      <c r="B9" s="3534"/>
      <c r="C9" s="3533"/>
      <c r="D9" s="3536"/>
      <c r="E9" s="241" t="s">
        <v>274</v>
      </c>
      <c r="F9" s="242"/>
      <c r="G9" s="242"/>
      <c r="H9" s="242"/>
      <c r="I9" s="243"/>
      <c r="J9" s="1643"/>
      <c r="K9" s="1636"/>
      <c r="L9" s="1636"/>
      <c r="M9" s="1636"/>
      <c r="N9" s="1636"/>
      <c r="O9" s="1636"/>
      <c r="P9" s="1636"/>
      <c r="Q9" s="1636"/>
      <c r="R9" s="1636"/>
      <c r="S9" s="1636"/>
      <c r="T9" s="1636"/>
      <c r="U9" s="1636"/>
      <c r="V9" s="1636"/>
    </row>
    <row r="10" spans="1:22" ht="14.25">
      <c r="A10" s="3505" t="s">
        <v>275</v>
      </c>
      <c r="B10" s="3534">
        <v>15</v>
      </c>
      <c r="C10" s="3532"/>
      <c r="D10" s="3536"/>
      <c r="E10" s="241" t="s">
        <v>276</v>
      </c>
      <c r="F10" s="242"/>
      <c r="G10" s="242"/>
      <c r="H10" s="242"/>
      <c r="I10" s="243"/>
      <c r="J10" s="1643"/>
      <c r="K10" s="1636"/>
      <c r="L10" s="1636"/>
      <c r="M10" s="1636"/>
      <c r="N10" s="1636"/>
      <c r="O10" s="1636"/>
      <c r="P10" s="1636"/>
      <c r="Q10" s="1636"/>
      <c r="R10" s="1636"/>
      <c r="S10" s="1636"/>
      <c r="T10" s="1636"/>
      <c r="U10" s="1636"/>
      <c r="V10" s="1636"/>
    </row>
    <row r="11" spans="1:22" ht="14.25">
      <c r="A11" s="3505"/>
      <c r="B11" s="3534"/>
      <c r="C11" s="3533"/>
      <c r="D11" s="3536"/>
      <c r="E11" s="241" t="s">
        <v>277</v>
      </c>
      <c r="F11" s="242"/>
      <c r="G11" s="242"/>
      <c r="H11" s="242"/>
      <c r="I11" s="243"/>
      <c r="J11" s="1643"/>
      <c r="K11" s="1636"/>
      <c r="L11" s="1636"/>
      <c r="M11" s="1636"/>
      <c r="N11" s="1636"/>
      <c r="O11" s="1636"/>
      <c r="P11" s="1636"/>
      <c r="Q11" s="1636"/>
      <c r="R11" s="1636"/>
      <c r="S11" s="1636"/>
      <c r="T11" s="1636"/>
      <c r="U11" s="1636"/>
      <c r="V11" s="1636"/>
    </row>
    <row r="12" spans="1:22" ht="14.25">
      <c r="A12" s="3505" t="s">
        <v>278</v>
      </c>
      <c r="B12" s="3534">
        <v>15</v>
      </c>
      <c r="C12" s="3532"/>
      <c r="D12" s="3536"/>
      <c r="E12" s="241" t="s">
        <v>279</v>
      </c>
      <c r="F12" s="242"/>
      <c r="G12" s="242"/>
      <c r="H12" s="242"/>
      <c r="I12" s="243"/>
      <c r="J12" s="1643"/>
      <c r="K12" s="1636"/>
      <c r="L12" s="1636"/>
      <c r="M12" s="1636"/>
      <c r="N12" s="1636"/>
      <c r="O12" s="1636"/>
      <c r="P12" s="1636"/>
      <c r="Q12" s="1636"/>
      <c r="R12" s="1636"/>
      <c r="S12" s="1636"/>
      <c r="T12" s="1636"/>
      <c r="U12" s="1636"/>
      <c r="V12" s="1636"/>
    </row>
    <row r="13" spans="1:22" ht="14.25">
      <c r="A13" s="3505"/>
      <c r="B13" s="3534"/>
      <c r="C13" s="3533"/>
      <c r="D13" s="3536"/>
      <c r="E13" s="241" t="s">
        <v>280</v>
      </c>
      <c r="F13" s="242"/>
      <c r="G13" s="242"/>
      <c r="H13" s="242"/>
      <c r="I13" s="243"/>
      <c r="J13" s="1643"/>
      <c r="K13" s="1636"/>
      <c r="L13" s="1636"/>
      <c r="M13" s="1636"/>
      <c r="N13" s="1636"/>
      <c r="O13" s="1636"/>
      <c r="P13" s="1636"/>
      <c r="Q13" s="1636"/>
      <c r="R13" s="1636"/>
      <c r="S13" s="1636"/>
      <c r="T13" s="1636"/>
      <c r="U13" s="1636"/>
      <c r="V13" s="1636"/>
    </row>
    <row r="14" spans="1:22" ht="14.25">
      <c r="A14" s="3505" t="s">
        <v>281</v>
      </c>
      <c r="B14" s="3534">
        <v>30</v>
      </c>
      <c r="C14" s="3532">
        <v>4</v>
      </c>
      <c r="D14" s="3536">
        <v>6</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05"/>
      <c r="B15" s="3534"/>
      <c r="C15" s="3535"/>
      <c r="D15" s="3536"/>
      <c r="E15" s="241" t="s">
        <v>283</v>
      </c>
      <c r="F15" s="242"/>
      <c r="G15" s="242"/>
      <c r="H15" s="242"/>
      <c r="I15" s="243"/>
      <c r="J15" s="1643"/>
      <c r="K15" s="1636"/>
      <c r="L15" s="1636"/>
      <c r="M15" s="1636"/>
      <c r="N15" s="1636"/>
      <c r="O15" s="1636"/>
      <c r="P15" s="1636"/>
      <c r="Q15" s="1636"/>
      <c r="R15" s="1636"/>
      <c r="S15" s="1636"/>
      <c r="T15" s="1636"/>
      <c r="U15" s="1636"/>
      <c r="V15" s="1636"/>
    </row>
    <row r="16" spans="1:22" ht="14.25">
      <c r="A16" s="3505"/>
      <c r="B16" s="3534"/>
      <c r="C16" s="3533"/>
      <c r="D16" s="3536"/>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4</v>
      </c>
      <c r="D17" s="245">
        <f>SUM(D5:D16)</f>
        <v>6</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0.4</v>
      </c>
      <c r="D18" s="247">
        <f>1-C18</f>
        <v>0.6</v>
      </c>
      <c r="E18" s="3537" t="s">
        <v>2244</v>
      </c>
      <c r="F18" s="3538"/>
      <c r="G18" s="3538"/>
      <c r="H18" s="3538"/>
      <c r="I18" s="3538"/>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6972</v>
      </c>
      <c r="D19" s="251">
        <f ca="1">SUMIF(INDIRECT("'"&amp;D4&amp;"'"&amp;"!A:A"),结果表!B19,INDIRECT("'"&amp;D4&amp;"'"&amp;"!B:B"))</f>
        <v>3901</v>
      </c>
      <c r="E19" s="248" t="s">
        <v>289</v>
      </c>
      <c r="F19" s="249" t="s">
        <v>288</v>
      </c>
      <c r="G19" s="252">
        <f ca="1">ROUND(C19*$C$18+D19*$D$18,0)</f>
        <v>5129</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1701</v>
      </c>
      <c r="D20" s="256">
        <f ca="1">SUMIF(INDIRECT("'"&amp;D4&amp;"'"&amp;"!A:A"),结果表!B20,INDIRECT("'"&amp;D4&amp;"'"&amp;"!B:B"))</f>
        <v>952</v>
      </c>
      <c r="E20" s="254"/>
      <c r="F20" s="102" t="s">
        <v>291</v>
      </c>
      <c r="G20" s="257">
        <f ca="1">ROUND(C20*$C$18+D20*$D$18,0)</f>
        <v>1252</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3062</v>
      </c>
      <c r="D21" s="135">
        <f ca="1">SUMIF(INDIRECT("'"&amp;D4&amp;"'"&amp;"!A:A"),结果表!B21,INDIRECT("'"&amp;D4&amp;"'"&amp;"!B:B"))</f>
        <v>1713</v>
      </c>
      <c r="E21" s="254"/>
      <c r="F21" s="106" t="s">
        <v>293</v>
      </c>
      <c r="G21" s="260">
        <f ca="1">ROUND(C21*$C$18+D21*$D$18,0)</f>
        <v>2253</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0.7872340425531914</v>
      </c>
      <c r="E22" s="262"/>
      <c r="F22" s="263"/>
      <c r="G22" s="264">
        <f ca="1">ROUND(G19/('数据-汇总表'!D3/666.67),0)</f>
        <v>150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11"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12"/>
      <c r="B25" s="1124" t="s">
        <v>297</v>
      </c>
      <c r="C25" s="268">
        <f>IF(B30=0,0,C30)</f>
        <v>0</v>
      </c>
      <c r="D25" s="269"/>
      <c r="E25" s="287"/>
      <c r="F25" s="287"/>
      <c r="G25" s="287"/>
      <c r="H25" s="287"/>
      <c r="I25" s="287"/>
      <c r="J25" s="1636"/>
      <c r="K25" s="1061" t="str">
        <f ca="1">项目基本情况!A17&amp;"国有建设用地使用权价格："&amp;O38&amp;"万元"</f>
        <v>出让国有建设用地使用权价格：5129万元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大写金额：人民币伍仟壹佰贰拾玖万元整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单位面积地价：2252元/平方米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楼面地价：1251元/平方米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抵押价格：5129万元</v>
      </c>
      <c r="L29" s="1060"/>
      <c r="M29" s="1060"/>
      <c r="N29" s="1060"/>
      <c r="O29" s="258"/>
      <c r="P29" s="1636"/>
      <c r="V29" s="1636"/>
    </row>
    <row r="30" spans="1:22" ht="18.75" thickBot="1">
      <c r="A30" s="2365" t="s">
        <v>302</v>
      </c>
      <c r="B30" s="285"/>
      <c r="C30" s="285"/>
      <c r="D30" s="286"/>
      <c r="E30" s="2539" t="s">
        <v>2245</v>
      </c>
      <c r="F30" s="287"/>
      <c r="G30" s="287"/>
      <c r="H30" s="287"/>
      <c r="I30" s="287"/>
      <c r="J30" s="1636"/>
      <c r="K30" s="1064" t="str">
        <f ca="1">IF(K29="——","——","大写金额：人民币"&amp;NUMBERSTRING(INT(O39*10000),2)&amp;"元整")</f>
        <v>大写金额：人民币伍仟壹佰贰拾玖万元整</v>
      </c>
      <c r="L30" s="1060"/>
      <c r="M30" s="1060"/>
      <c r="N30" s="1060"/>
      <c r="O30" s="258"/>
      <c r="P30" s="1636"/>
      <c r="V30" s="1636"/>
    </row>
    <row r="31" spans="1:22" ht="24" customHeight="1" thickBot="1">
      <c r="A31" s="3539" t="s">
        <v>2246</v>
      </c>
      <c r="B31" s="3539"/>
      <c r="C31" s="3539"/>
      <c r="D31" s="3539"/>
      <c r="E31" s="3539"/>
      <c r="F31" s="3539"/>
      <c r="G31" s="3539"/>
      <c r="H31" s="3539"/>
      <c r="I31" s="3539"/>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5129</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1251</v>
      </c>
      <c r="D33" s="1173" t="s">
        <v>1224</v>
      </c>
      <c r="E33" s="3511"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2252</v>
      </c>
      <c r="D34" s="1173" t="s">
        <v>1224</v>
      </c>
      <c r="E34" s="3555"/>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150</v>
      </c>
      <c r="D35" s="1176" t="s">
        <v>1226</v>
      </c>
      <c r="E35" s="3556"/>
      <c r="F35" s="278" t="s">
        <v>308</v>
      </c>
      <c r="G35" s="896"/>
      <c r="H35" s="895" t="s">
        <v>309</v>
      </c>
      <c r="I35" s="287"/>
      <c r="J35" s="1636"/>
      <c r="K35" s="3529" t="s">
        <v>316</v>
      </c>
      <c r="L35" s="3529" t="s">
        <v>317</v>
      </c>
      <c r="M35" s="1070" t="s">
        <v>318</v>
      </c>
      <c r="N35" s="3529" t="s">
        <v>319</v>
      </c>
      <c r="O35" s="3529" t="s">
        <v>320</v>
      </c>
      <c r="P35" s="1636"/>
      <c r="V35" s="1636"/>
    </row>
    <row r="36" spans="1:22" ht="16.5" customHeight="1">
      <c r="A36" s="280" t="s">
        <v>310</v>
      </c>
      <c r="B36" s="281" t="s">
        <v>299</v>
      </c>
      <c r="C36" s="282" t="s">
        <v>311</v>
      </c>
      <c r="D36" s="282" t="s">
        <v>312</v>
      </c>
      <c r="E36" s="283" t="s">
        <v>313</v>
      </c>
      <c r="F36" s="287"/>
      <c r="G36" s="287"/>
      <c r="H36" s="287"/>
      <c r="I36" s="287"/>
      <c r="J36" s="1644"/>
      <c r="K36" s="3530"/>
      <c r="L36" s="3530"/>
      <c r="M36" s="1072" t="s">
        <v>321</v>
      </c>
      <c r="N36" s="3530"/>
      <c r="O36" s="3530"/>
      <c r="P36" s="1636"/>
      <c r="V36" s="1636"/>
    </row>
    <row r="37" spans="1:22" ht="16.5" customHeight="1" thickBot="1">
      <c r="A37" s="1066" t="s">
        <v>314</v>
      </c>
      <c r="B37" s="270"/>
      <c r="C37" s="271"/>
      <c r="D37" s="271"/>
      <c r="E37" s="272"/>
      <c r="F37" s="287"/>
      <c r="G37" s="287"/>
      <c r="H37" s="287"/>
      <c r="I37" s="287"/>
      <c r="J37" s="1644"/>
      <c r="K37" s="3531"/>
      <c r="L37" s="3531"/>
      <c r="M37" s="1073"/>
      <c r="N37" s="3531"/>
      <c r="O37" s="3531"/>
      <c r="P37" s="1636"/>
      <c r="V37" s="1636"/>
    </row>
    <row r="38" spans="1:22" ht="16.5" customHeight="1" thickBot="1">
      <c r="A38" s="1066" t="s">
        <v>315</v>
      </c>
      <c r="B38" s="270"/>
      <c r="C38" s="271"/>
      <c r="D38" s="271"/>
      <c r="E38" s="272"/>
      <c r="F38" s="287"/>
      <c r="G38" s="287"/>
      <c r="H38" s="287"/>
      <c r="I38" s="287"/>
      <c r="J38" s="1644"/>
      <c r="K38" s="1074">
        <f>'数据-汇总表'!D3</f>
        <v>22772.01</v>
      </c>
      <c r="L38" s="1075">
        <f>'数据-汇总表'!E3</f>
        <v>40989</v>
      </c>
      <c r="M38" s="1075">
        <f ca="1">C34</f>
        <v>2252</v>
      </c>
      <c r="N38" s="1075">
        <f ca="1">C33</f>
        <v>1251</v>
      </c>
      <c r="O38" s="1076">
        <f ca="1">C32</f>
        <v>5129</v>
      </c>
      <c r="P38" s="1636"/>
      <c r="V38" s="1636"/>
    </row>
    <row r="39" spans="1:22" ht="16.5" customHeight="1" thickBot="1">
      <c r="A39" s="1071"/>
      <c r="B39" s="284"/>
      <c r="C39" s="285"/>
      <c r="D39" s="285"/>
      <c r="E39" s="286"/>
      <c r="F39" s="287"/>
      <c r="G39" s="287"/>
      <c r="H39" s="287"/>
      <c r="I39" s="287"/>
      <c r="J39" s="1644"/>
      <c r="K39" s="3569" t="str">
        <f>MID(A44,3,LEN(A44)-2)</f>
        <v>抵押价格</v>
      </c>
      <c r="L39" s="3570"/>
      <c r="M39" s="3570"/>
      <c r="N39" s="3571"/>
      <c r="O39" s="1178">
        <f ca="1">C44</f>
        <v>5129</v>
      </c>
      <c r="P39" s="1636"/>
      <c r="V39" s="1636"/>
    </row>
    <row r="40" spans="1:22" ht="19.5" thickBot="1">
      <c r="A40" s="95" t="s">
        <v>810</v>
      </c>
      <c r="B40" s="287"/>
      <c r="C40" s="287"/>
      <c r="D40" s="287"/>
      <c r="E40" s="287"/>
      <c r="F40" s="287"/>
      <c r="G40" s="287"/>
      <c r="H40" s="287"/>
      <c r="I40" s="287"/>
      <c r="J40" s="1644"/>
      <c r="K40" s="3569" t="str">
        <f>MID(A45,3,LEN(A45)-2)</f>
        <v/>
      </c>
      <c r="L40" s="3570"/>
      <c r="M40" s="3570"/>
      <c r="N40" s="3571"/>
      <c r="O40" s="1178" t="str">
        <f>C45</f>
        <v>——</v>
      </c>
      <c r="P40" s="1636"/>
      <c r="V40" s="1636"/>
    </row>
    <row r="41" spans="1:22" ht="16.5" thickBot="1">
      <c r="A41" s="288" t="s">
        <v>322</v>
      </c>
      <c r="B41" s="289"/>
      <c r="C41" s="290" t="s">
        <v>323</v>
      </c>
      <c r="D41" s="291" t="s">
        <v>324</v>
      </c>
      <c r="E41" s="291" t="s">
        <v>325</v>
      </c>
      <c r="F41" s="292" t="s">
        <v>326</v>
      </c>
      <c r="G41" s="287"/>
      <c r="H41" s="287"/>
      <c r="I41" s="287"/>
      <c r="J41" s="1644"/>
      <c r="K41" s="3569" t="str">
        <f>MID(A46,3,LEN(A46)-2)</f>
        <v/>
      </c>
      <c r="L41" s="3570"/>
      <c r="M41" s="3570"/>
      <c r="N41" s="3571"/>
      <c r="O41" s="1178" t="str">
        <f>C46</f>
        <v>——</v>
      </c>
      <c r="P41" s="1636"/>
      <c r="V41" s="1636"/>
    </row>
    <row r="42" spans="1:22" ht="29.25">
      <c r="A42" s="3513" t="s">
        <v>1585</v>
      </c>
      <c r="B42" s="3514"/>
      <c r="C42" s="244">
        <f ca="1">C32</f>
        <v>5129</v>
      </c>
      <c r="D42" s="293">
        <f ca="1">C33</f>
        <v>1251</v>
      </c>
      <c r="E42" s="293">
        <f ca="1">C34</f>
        <v>2252</v>
      </c>
      <c r="F42" s="294">
        <f ca="1">C35</f>
        <v>150</v>
      </c>
      <c r="G42" s="287"/>
      <c r="H42" s="287"/>
      <c r="I42" s="295"/>
      <c r="J42" s="1644"/>
      <c r="K42" s="1077" t="s">
        <v>327</v>
      </c>
      <c r="L42" s="1660" t="s">
        <v>328</v>
      </c>
      <c r="M42" s="1078" t="s">
        <v>329</v>
      </c>
      <c r="N42" s="1661" t="s">
        <v>330</v>
      </c>
      <c r="O42" s="1662" t="s">
        <v>331</v>
      </c>
      <c r="P42" s="1636"/>
      <c r="V42" s="1636"/>
    </row>
    <row r="43" spans="1:22" ht="30">
      <c r="A43" s="3524" t="s">
        <v>2012</v>
      </c>
      <c r="B43" s="3525"/>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6972</v>
      </c>
      <c r="M43" s="1081">
        <f>C18</f>
        <v>0.4</v>
      </c>
      <c r="N43" s="1082">
        <f ca="1">IF(N42="测算结果/万元",G19,G20)</f>
        <v>5129</v>
      </c>
      <c r="O43" s="1083">
        <f ca="1">IF(O42="最终结果/万元",C32,C33)</f>
        <v>5129</v>
      </c>
      <c r="P43" s="1636"/>
      <c r="V43" s="1636"/>
    </row>
    <row r="44" spans="1:22" ht="30.75" thickBot="1">
      <c r="A44" s="3513" t="str">
        <f>IF(OR(项目基本情况!E8="抵押价格",项目基本情况!E8="已注销及未注销"),"3.抵押价格","——")</f>
        <v>3.抵押价格</v>
      </c>
      <c r="B44" s="3514"/>
      <c r="C44" s="244">
        <f ca="1">IF(A44="——","——",C42-C43)</f>
        <v>5129</v>
      </c>
      <c r="D44" s="293">
        <f ca="1">ROUND(C44*10000/'数据-汇总表'!E3,0)</f>
        <v>1251</v>
      </c>
      <c r="E44" s="293">
        <f ca="1">ROUND(C44*10000/'数据-汇总表'!D3,0)</f>
        <v>2252</v>
      </c>
      <c r="F44" s="294">
        <f ca="1">ROUND(C44/('数据-汇总表'!D3/666.67),0)</f>
        <v>150</v>
      </c>
      <c r="G44" s="287"/>
      <c r="H44" s="287"/>
      <c r="I44" s="295"/>
      <c r="J44" s="1644"/>
      <c r="K44" s="1084" t="str">
        <f>D4</f>
        <v>剩余法-待开发</v>
      </c>
      <c r="L44" s="1085">
        <f ca="1">IF(L42="估价结果/万元",D19,D20)</f>
        <v>3901</v>
      </c>
      <c r="M44" s="1086">
        <f>D18</f>
        <v>0.6</v>
      </c>
      <c r="N44" s="1087"/>
      <c r="O44" s="1088"/>
      <c r="P44" s="1636"/>
      <c r="V44" s="1636"/>
    </row>
    <row r="45" spans="1:22" ht="15">
      <c r="A45" s="3519" t="str">
        <f>IF(项目基本情况!E8="已注销及未注销","4.抵押担保权已注销时的抵押价格",IF(项目基本情况!E8="已注销","3.抵押担保权已注销时的抵押价格","——"))</f>
        <v>——</v>
      </c>
      <c r="B45" s="3520"/>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15" t="str">
        <f>IF(项目基本情况!E9="抵押净值",IF(A45="——","4.抵押净值","5.抵押净值"),"——")</f>
        <v>——</v>
      </c>
      <c r="B46" s="3516"/>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63" t="s">
        <v>340</v>
      </c>
      <c r="B63" s="3564"/>
      <c r="C63" s="3565"/>
      <c r="D63" s="315">
        <f ca="1">ROUND(C42*F63,0)</f>
        <v>5129</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21" t="s">
        <v>344</v>
      </c>
      <c r="B64" s="3522"/>
      <c r="C64" s="3522"/>
      <c r="D64" s="3522"/>
      <c r="E64" s="3522"/>
      <c r="F64" s="3522"/>
      <c r="G64" s="3523"/>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17" t="s">
        <v>352</v>
      </c>
      <c r="B66" s="3518"/>
      <c r="C66" s="3518"/>
      <c r="D66" s="241" t="b">
        <f>IF(H66="情况1",0,IF(H66="情况2",D70,IF(H66="情况3",D71,IF(H66="情况4",D72))))</f>
        <v>0</v>
      </c>
      <c r="E66" s="906" t="str">
        <f>IF(H66="情况4","(销售额-原购置价)×税（费）率","销售额×税（费）率")</f>
        <v>销售额×税（费）率</v>
      </c>
      <c r="F66" s="324">
        <f>IF(H66="情况1","免征",'数据-取费表'!B41)</f>
        <v>5.5000000000000007E-2</v>
      </c>
      <c r="G66" s="325" t="s">
        <v>353</v>
      </c>
      <c r="H66" s="174"/>
      <c r="I66" s="1093"/>
      <c r="J66" s="1648"/>
      <c r="K66" s="1096">
        <v>1</v>
      </c>
      <c r="L66" s="3578" t="s">
        <v>351</v>
      </c>
      <c r="M66" s="3579"/>
      <c r="N66" s="1973"/>
      <c r="O66" s="1974"/>
      <c r="P66" s="1975"/>
      <c r="Q66" s="1636"/>
      <c r="R66" s="1636"/>
      <c r="S66" s="1636"/>
      <c r="T66" s="1636"/>
      <c r="U66" s="1636"/>
      <c r="V66" s="1636"/>
    </row>
    <row r="67" spans="1:22" ht="25.5" customHeight="1">
      <c r="A67" s="326" t="s">
        <v>355</v>
      </c>
      <c r="B67" s="3508" t="s">
        <v>356</v>
      </c>
      <c r="C67" s="3508"/>
      <c r="D67" s="327">
        <v>0</v>
      </c>
      <c r="E67" s="37" t="s">
        <v>357</v>
      </c>
      <c r="F67" s="58" t="s">
        <v>15</v>
      </c>
      <c r="G67" s="3566"/>
      <c r="H67" s="2542" t="s">
        <v>2247</v>
      </c>
      <c r="I67" s="2544"/>
      <c r="J67" s="1649"/>
      <c r="K67" s="1632">
        <v>2</v>
      </c>
      <c r="L67" s="3572" t="s">
        <v>354</v>
      </c>
      <c r="M67" s="3572"/>
      <c r="N67" s="1128">
        <f>'数据-取费表'!B2</f>
        <v>45817</v>
      </c>
      <c r="O67" s="1128"/>
      <c r="P67" s="1128"/>
      <c r="Q67" s="1636"/>
      <c r="R67" s="1636"/>
      <c r="S67" s="1636"/>
      <c r="T67" s="1636"/>
      <c r="U67" s="1636"/>
      <c r="V67" s="1636"/>
    </row>
    <row r="68" spans="1:22" ht="25.5" customHeight="1">
      <c r="A68" s="328"/>
      <c r="B68" s="3508" t="s">
        <v>359</v>
      </c>
      <c r="C68" s="3508"/>
      <c r="D68" s="329"/>
      <c r="E68" s="73"/>
      <c r="F68" s="330"/>
      <c r="G68" s="3567"/>
      <c r="H68" s="2543" t="s">
        <v>2248</v>
      </c>
      <c r="I68" s="2544"/>
      <c r="J68" s="1649"/>
      <c r="K68" s="1632">
        <v>3</v>
      </c>
      <c r="L68" s="3572" t="s">
        <v>358</v>
      </c>
      <c r="M68" s="3572"/>
      <c r="N68" s="1098">
        <f ca="1">C42</f>
        <v>5129</v>
      </c>
      <c r="O68" s="1098"/>
      <c r="P68" s="1098"/>
      <c r="Q68" s="1636"/>
      <c r="R68" s="1636"/>
      <c r="S68" s="1636"/>
      <c r="T68" s="1636"/>
      <c r="U68" s="1636"/>
      <c r="V68" s="1636"/>
    </row>
    <row r="69" spans="1:22" ht="23.45" customHeight="1">
      <c r="A69" s="331"/>
      <c r="B69" s="3508" t="s">
        <v>360</v>
      </c>
      <c r="C69" s="3508"/>
      <c r="D69" s="332"/>
      <c r="E69" s="69"/>
      <c r="F69" s="330"/>
      <c r="G69" s="3568"/>
      <c r="H69" s="2543" t="s">
        <v>2249</v>
      </c>
      <c r="I69" s="2544"/>
      <c r="J69" s="1649"/>
      <c r="K69" s="1099">
        <v>4</v>
      </c>
      <c r="L69" s="3582" t="s">
        <v>2157</v>
      </c>
      <c r="M69" s="3583"/>
      <c r="N69" s="1100">
        <f ca="1">C44</f>
        <v>5129</v>
      </c>
      <c r="O69" s="1100"/>
      <c r="P69" s="1100"/>
      <c r="Q69" s="1636"/>
      <c r="R69" s="1636"/>
      <c r="S69" s="1636"/>
      <c r="T69" s="1636"/>
      <c r="U69" s="1636"/>
      <c r="V69" s="1636"/>
    </row>
    <row r="70" spans="1:22" ht="24" customHeight="1">
      <c r="A70" s="333" t="s">
        <v>361</v>
      </c>
      <c r="B70" s="3508" t="s">
        <v>362</v>
      </c>
      <c r="C70" s="3508"/>
      <c r="D70" s="332">
        <f ca="1">ROUND(D63*'数据-取费表'!B41/(1+'数据-取费表'!C42),0)</f>
        <v>269</v>
      </c>
      <c r="E70" s="14" t="s">
        <v>363</v>
      </c>
      <c r="F70" s="334">
        <f>'数据-取费表'!B41</f>
        <v>5.5000000000000007E-2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09" t="s">
        <v>2272</v>
      </c>
      <c r="C71" s="3510"/>
      <c r="D71" s="332">
        <f ca="1">ROUND(D63*'数据-取费表'!B41/(1+'数据-取费表'!C42),0)</f>
        <v>269</v>
      </c>
      <c r="E71" s="14" t="s">
        <v>363</v>
      </c>
      <c r="F71" s="334">
        <f>'数据-取费表'!B41</f>
        <v>5.5000000000000007E-2</v>
      </c>
      <c r="G71" s="335"/>
      <c r="H71" s="287"/>
      <c r="I71" s="1097"/>
      <c r="J71" s="1649"/>
      <c r="K71" s="2332" t="s">
        <v>364</v>
      </c>
      <c r="L71" s="3584" t="s">
        <v>365</v>
      </c>
      <c r="M71" s="3584"/>
      <c r="N71" s="2332" t="s">
        <v>366</v>
      </c>
      <c r="O71" s="2332" t="s">
        <v>367</v>
      </c>
      <c r="P71" s="2332" t="s">
        <v>368</v>
      </c>
      <c r="Q71" s="1636"/>
      <c r="R71" s="1636"/>
      <c r="S71" s="1636"/>
      <c r="T71" s="1636"/>
      <c r="U71" s="1636"/>
      <c r="V71" s="1636"/>
    </row>
    <row r="72" spans="1:22" ht="12" customHeight="1">
      <c r="A72" s="333" t="s">
        <v>371</v>
      </c>
      <c r="B72" s="3509" t="s">
        <v>2273</v>
      </c>
      <c r="C72" s="3510"/>
      <c r="D72" s="332">
        <f ca="1">C86</f>
        <v>269</v>
      </c>
      <c r="E72" s="69" t="s">
        <v>372</v>
      </c>
      <c r="F72" s="334">
        <f>'数据-取费表'!B41</f>
        <v>5.5000000000000007E-2</v>
      </c>
      <c r="G72" s="335"/>
      <c r="H72" s="1103"/>
      <c r="I72" s="1097"/>
      <c r="J72" s="1649"/>
      <c r="K72" s="1632">
        <v>1</v>
      </c>
      <c r="L72" s="3559" t="s">
        <v>370</v>
      </c>
      <c r="M72" s="3559"/>
      <c r="N72" s="1101" t="b">
        <f>D66</f>
        <v>0</v>
      </c>
      <c r="O72" s="1539" t="str">
        <f>E66</f>
        <v>销售额×税（费）率</v>
      </c>
      <c r="P72" s="1102">
        <f>F66</f>
        <v>5.5000000000000007E-2</v>
      </c>
      <c r="Q72" s="1636"/>
      <c r="R72" s="1636"/>
      <c r="S72" s="1636"/>
      <c r="T72" s="1636"/>
      <c r="U72" s="1636"/>
      <c r="V72" s="1636"/>
    </row>
    <row r="73" spans="1:22" ht="24" customHeight="1">
      <c r="A73" s="3554" t="s">
        <v>374</v>
      </c>
      <c r="B73" s="3518"/>
      <c r="C73" s="3518"/>
      <c r="D73" s="336">
        <f ca="1">IF(H73="个人住宅",0,ROUND(D63*I73,0))</f>
        <v>3</v>
      </c>
      <c r="E73" s="14" t="s">
        <v>375</v>
      </c>
      <c r="F73" s="334" t="str">
        <f>IF(H73="正常",I73,"免征")</f>
        <v>免征</v>
      </c>
      <c r="G73" s="335"/>
      <c r="H73" s="174"/>
      <c r="I73" s="334">
        <f>'数据-取费表'!B49</f>
        <v>5.0000000000000001E-4</v>
      </c>
      <c r="J73" s="1649"/>
      <c r="K73" s="1632">
        <v>2</v>
      </c>
      <c r="L73" s="3559" t="s">
        <v>373</v>
      </c>
      <c r="M73" s="3559"/>
      <c r="N73" s="1101">
        <f t="shared" ref="N73:P74" ca="1" si="0">D73</f>
        <v>3</v>
      </c>
      <c r="O73" s="1539" t="str">
        <f t="shared" si="0"/>
        <v>销售额×税（费）率</v>
      </c>
      <c r="P73" s="1102" t="str">
        <f t="shared" si="0"/>
        <v>免征</v>
      </c>
      <c r="Q73" s="1636"/>
      <c r="R73" s="1636"/>
      <c r="S73" s="1636"/>
      <c r="T73" s="1636"/>
      <c r="U73" s="1636"/>
      <c r="V73" s="1636"/>
    </row>
    <row r="74" spans="1:22" ht="24.75">
      <c r="A74" s="3554" t="s">
        <v>377</v>
      </c>
      <c r="B74" s="3518"/>
      <c r="C74" s="3518"/>
      <c r="D74" s="336">
        <f ca="1">IF(H74="个人住宅",D75,D76)</f>
        <v>2908</v>
      </c>
      <c r="E74" s="14" t="s">
        <v>378</v>
      </c>
      <c r="F74" s="334" t="str">
        <f>IF(H74="正常",F76,"免征")</f>
        <v>免征</v>
      </c>
      <c r="G74" s="897" t="s">
        <v>379</v>
      </c>
      <c r="H74" s="337"/>
      <c r="I74" s="38"/>
      <c r="J74" s="1649"/>
      <c r="K74" s="1632">
        <v>3</v>
      </c>
      <c r="L74" s="3559" t="s">
        <v>376</v>
      </c>
      <c r="M74" s="3559"/>
      <c r="N74" s="1101">
        <f t="shared" ca="1" si="0"/>
        <v>2908</v>
      </c>
      <c r="O74" s="1539" t="str">
        <f t="shared" si="0"/>
        <v>增值额×税（费）率</v>
      </c>
      <c r="P74" s="1104" t="str">
        <f t="shared" si="0"/>
        <v>免征</v>
      </c>
      <c r="Q74" s="1636"/>
      <c r="R74" s="1636"/>
      <c r="S74" s="1636"/>
      <c r="T74" s="1636"/>
      <c r="U74" s="1636"/>
      <c r="V74" s="1636"/>
    </row>
    <row r="75" spans="1:22" ht="12.75">
      <c r="A75" s="333" t="s">
        <v>380</v>
      </c>
      <c r="B75" s="3506" t="s">
        <v>381</v>
      </c>
      <c r="C75" s="3542"/>
      <c r="D75" s="338">
        <v>0</v>
      </c>
      <c r="E75" s="37" t="s">
        <v>382</v>
      </c>
      <c r="F75" s="339"/>
      <c r="G75" s="335"/>
      <c r="H75" s="38"/>
      <c r="I75" s="38"/>
      <c r="J75" s="1649"/>
      <c r="K75" s="1632">
        <f>IF(H77="非个人房产","",4)</f>
        <v>4</v>
      </c>
      <c r="L75" s="3559" t="str">
        <f>IF(H77="非个人房产","——","个人所得税")</f>
        <v>个人所得税</v>
      </c>
      <c r="M75" s="3559"/>
      <c r="N75" s="1105">
        <f>D77</f>
        <v>0</v>
      </c>
      <c r="O75" s="1540" t="str">
        <f>E77</f>
        <v>差额计税</v>
      </c>
      <c r="P75" s="1106">
        <f>F77</f>
        <v>0.01</v>
      </c>
      <c r="Q75" s="1636"/>
      <c r="R75" s="1636"/>
      <c r="S75" s="1636"/>
      <c r="T75" s="1636"/>
      <c r="U75" s="1636"/>
      <c r="V75" s="1636"/>
    </row>
    <row r="76" spans="1:22" ht="24.75">
      <c r="A76" s="333" t="s">
        <v>361</v>
      </c>
      <c r="B76" s="3506" t="s">
        <v>384</v>
      </c>
      <c r="C76" s="3507"/>
      <c r="D76" s="336">
        <f ca="1">IF(H76="转让取得",C99,C115)</f>
        <v>2908</v>
      </c>
      <c r="E76" s="14" t="s">
        <v>385</v>
      </c>
      <c r="F76" s="49" t="s">
        <v>15</v>
      </c>
      <c r="G76" s="335"/>
      <c r="H76" s="337"/>
      <c r="I76" s="38"/>
      <c r="J76" s="1649"/>
      <c r="K76" s="1632" t="str">
        <f>IF(项目基本情况!K6="上海银行",IF(K75="",4,K75+1),"")</f>
        <v/>
      </c>
      <c r="L76" s="3574" t="str">
        <f>IF(项目基本情况!K6="上海银行","其他处置费用","")</f>
        <v/>
      </c>
      <c r="M76" s="3575"/>
      <c r="N76" s="1101" t="str">
        <f>IF(项目基本情况!K6="上海银行",N89,"")</f>
        <v/>
      </c>
      <c r="O76" s="3576" t="str">
        <f>IF(项目基本情况!K6="上海银行","包含处置中涉及的律师、诉讼、拍卖、评估等费用","")</f>
        <v/>
      </c>
      <c r="P76" s="3577"/>
      <c r="Q76" s="1636"/>
      <c r="R76" s="1636"/>
      <c r="S76" s="1636"/>
      <c r="T76" s="1636"/>
      <c r="U76" s="1636"/>
      <c r="V76" s="1636"/>
    </row>
    <row r="77" spans="1:22" ht="24.75" thickBot="1">
      <c r="A77" s="3561" t="s">
        <v>387</v>
      </c>
      <c r="B77" s="3562"/>
      <c r="C77" s="3562"/>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2250</v>
      </c>
      <c r="J77" s="1649"/>
      <c r="K77" s="3560">
        <f>IF(AND(K75="",K76=""),4,IF(项目基本情况!K6="上海银行",K76+1,K75+1))</f>
        <v>5</v>
      </c>
      <c r="L77" s="3559" t="s">
        <v>2158</v>
      </c>
      <c r="M77" s="2331" t="s">
        <v>383</v>
      </c>
      <c r="N77" s="1107"/>
      <c r="O77" s="1108">
        <f ca="1">SUMIF(N72:N76,"&lt;9e307")</f>
        <v>2911</v>
      </c>
      <c r="P77" s="1109"/>
      <c r="Q77" s="2329">
        <f ca="1">O77/N69</f>
        <v>0.56755702866055757</v>
      </c>
      <c r="R77" s="1636"/>
      <c r="S77" s="1636"/>
      <c r="T77" s="1636"/>
      <c r="U77" s="1636"/>
      <c r="V77" s="1636"/>
    </row>
    <row r="78" spans="1:22" ht="12" customHeight="1">
      <c r="A78" s="1110"/>
      <c r="B78" s="287"/>
      <c r="C78" s="287"/>
      <c r="D78" s="287"/>
      <c r="E78" s="38"/>
      <c r="F78" s="38"/>
      <c r="G78" s="38"/>
      <c r="H78" s="866"/>
      <c r="I78" s="287"/>
      <c r="J78" s="1649"/>
      <c r="K78" s="3560"/>
      <c r="L78" s="3559"/>
      <c r="M78" s="2331" t="s">
        <v>386</v>
      </c>
      <c r="N78" s="1107"/>
      <c r="O78" s="1108" t="str">
        <f ca="1">NUMBERSTRING(INT(O77*10000),2)&amp;"元整"</f>
        <v>贰仟玖佰壹拾壹万元整</v>
      </c>
      <c r="P78" s="1109"/>
      <c r="Q78" s="1636"/>
      <c r="R78" s="1636"/>
      <c r="S78" s="1636"/>
      <c r="T78" s="1636"/>
      <c r="U78" s="1636"/>
      <c r="V78" s="1636"/>
    </row>
    <row r="79" spans="1:22" ht="13.5" thickBot="1">
      <c r="A79" s="3526" t="s">
        <v>388</v>
      </c>
      <c r="B79" s="3526"/>
      <c r="C79" s="3526"/>
      <c r="D79" s="3526"/>
      <c r="E79" s="3526"/>
      <c r="F79" s="38"/>
      <c r="G79" s="38"/>
      <c r="H79" s="866"/>
      <c r="I79" s="287"/>
      <c r="J79" s="1649"/>
      <c r="K79" s="3580">
        <f>K77+1</f>
        <v>6</v>
      </c>
      <c r="L79" s="3559" t="s">
        <v>2159</v>
      </c>
      <c r="M79" s="2331" t="s">
        <v>383</v>
      </c>
      <c r="N79" s="1107"/>
      <c r="O79" s="1108">
        <f ca="1">N69-O77</f>
        <v>2218</v>
      </c>
      <c r="P79" s="1109"/>
      <c r="Q79" s="1636"/>
      <c r="R79" s="1636"/>
      <c r="S79" s="1636"/>
      <c r="T79" s="1636"/>
      <c r="U79" s="1636"/>
      <c r="V79" s="1636"/>
    </row>
    <row r="80" spans="1:22" ht="25.5">
      <c r="A80" s="3527" t="s">
        <v>389</v>
      </c>
      <c r="B80" s="3528"/>
      <c r="C80" s="907"/>
      <c r="D80" s="907" t="s">
        <v>390</v>
      </c>
      <c r="E80" s="340" t="s">
        <v>391</v>
      </c>
      <c r="F80" s="38"/>
      <c r="G80" s="38"/>
      <c r="H80" s="866"/>
      <c r="I80" s="287"/>
      <c r="J80" s="1636"/>
      <c r="K80" s="3581"/>
      <c r="L80" s="3559"/>
      <c r="M80" s="2331" t="s">
        <v>386</v>
      </c>
      <c r="N80" s="1107"/>
      <c r="O80" s="1108" t="str">
        <f ca="1">NUMBERSTRING(INT(O79*10000),2)&amp;"元整"</f>
        <v>贰仟贰佰壹拾捌万元整</v>
      </c>
      <c r="P80" s="1109"/>
      <c r="Q80" s="1636"/>
      <c r="R80" s="1636"/>
      <c r="S80" s="1636"/>
      <c r="T80" s="1636"/>
      <c r="U80" s="1636"/>
      <c r="V80" s="1636"/>
    </row>
    <row r="81" spans="1:26" ht="13.5" thickBot="1">
      <c r="A81" s="351" t="s">
        <v>1352</v>
      </c>
      <c r="B81" s="341" t="s">
        <v>392</v>
      </c>
      <c r="C81" s="342">
        <f ca="1">ROUND((C82+C83)/(1+'数据-取费表'!C42),0)</f>
        <v>4885</v>
      </c>
      <c r="D81" s="343"/>
      <c r="E81" s="344"/>
      <c r="F81" s="38"/>
      <c r="G81" s="38"/>
      <c r="H81" s="866"/>
      <c r="I81" s="287"/>
      <c r="J81" s="1636"/>
      <c r="K81" s="1632">
        <f>K79+1</f>
        <v>7</v>
      </c>
      <c r="L81" s="3557" t="s">
        <v>2160</v>
      </c>
      <c r="M81" s="3558"/>
      <c r="N81" s="1111"/>
      <c r="O81" s="1112">
        <f ca="1">ROUND(O79*10000/'数据-汇总表'!E3,0)</f>
        <v>541</v>
      </c>
      <c r="P81" s="1113"/>
      <c r="Q81" s="1636"/>
      <c r="R81" s="1636"/>
      <c r="S81" s="1636"/>
      <c r="T81" s="1636"/>
      <c r="U81" s="1636"/>
      <c r="V81" s="1636"/>
    </row>
    <row r="82" spans="1:26" ht="13.5" thickTop="1">
      <c r="A82" s="345" t="s">
        <v>1353</v>
      </c>
      <c r="B82" s="346" t="s">
        <v>393</v>
      </c>
      <c r="C82" s="347">
        <f ca="1">D63</f>
        <v>5129</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73" t="s">
        <v>2148</v>
      </c>
      <c r="L83" s="2337" t="s">
        <v>2149</v>
      </c>
      <c r="M83" s="2327">
        <f ca="1">IF(N69&gt;10000,N69*0.5%,IF(AND(N69&gt;1000,N69&lt;=10000),N69*1%,IF(AND(N69&gt;100,N69&lt;=1000),N69*3%,IF(AND(N69&gt;10,N69&lt;=100),N69*5%,N69*8%))))</f>
        <v>51.29</v>
      </c>
      <c r="N83" s="49">
        <f ca="1">ROUND(M83,1)</f>
        <v>51.3</v>
      </c>
      <c r="O83" s="2330"/>
      <c r="P83" s="1636"/>
      <c r="Q83" s="1636"/>
      <c r="R83" s="1636"/>
      <c r="S83" s="1636"/>
      <c r="T83" s="1636"/>
      <c r="U83" s="1636"/>
      <c r="V83" s="1636"/>
    </row>
    <row r="84" spans="1:26" ht="12.75">
      <c r="A84" s="351" t="s">
        <v>1355</v>
      </c>
      <c r="B84" s="352" t="s">
        <v>395</v>
      </c>
      <c r="C84" s="353"/>
      <c r="D84" s="354" t="s">
        <v>13</v>
      </c>
      <c r="E84" s="2352" t="s">
        <v>2193</v>
      </c>
      <c r="F84" s="38"/>
      <c r="G84" s="38"/>
      <c r="H84" s="866"/>
      <c r="I84" s="287"/>
      <c r="J84" s="1636"/>
      <c r="K84" s="3573"/>
      <c r="L84" s="2337" t="s">
        <v>2150</v>
      </c>
      <c r="M84" s="2327">
        <f ca="1">IF(N69&gt;2000,N69*0.5%,IF(AND(N69&gt;1000,N69&lt;=2000),N69*0.6%,IF(AND(N69&gt;500,N69&lt;=1000),N69*0.7%,IF(AND(N69&gt;200,N69&lt;=500),N69*0.8%,IF(AND(N69&gt;100,N69&lt;=200),N69*0.9%,IF(AND(N69&gt;50,N69&lt;=100),N69*1%,IF(AND(N69&gt;20,N69&lt;=50),N69*1.5%,IF(AND(N69&gt;10,N69&lt;=20),N69*2%,IF(AND(N69&gt;1,N69&lt;=10),N69*2.5%)))))))))</f>
        <v>25.645</v>
      </c>
      <c r="N84" s="49">
        <f ca="1">ROUND(M84,1)</f>
        <v>25.6</v>
      </c>
      <c r="O84" s="1636" t="s">
        <v>2151</v>
      </c>
      <c r="P84" s="1636"/>
      <c r="Q84" s="1636"/>
      <c r="R84" s="1636"/>
      <c r="S84" s="1636"/>
      <c r="T84" s="1636"/>
      <c r="U84" s="1636"/>
      <c r="V84" s="1636"/>
    </row>
    <row r="85" spans="1:26" ht="12.75">
      <c r="A85" s="351" t="s">
        <v>1356</v>
      </c>
      <c r="B85" s="352" t="s">
        <v>396</v>
      </c>
      <c r="C85" s="355">
        <f ca="1">C81-C84</f>
        <v>4885</v>
      </c>
      <c r="D85" s="348" t="s">
        <v>13</v>
      </c>
      <c r="E85" s="349"/>
      <c r="F85" s="38"/>
      <c r="G85" s="38"/>
      <c r="H85" s="866"/>
      <c r="I85" s="287"/>
      <c r="J85" s="1636"/>
      <c r="K85" s="3573"/>
      <c r="L85" s="2337" t="s">
        <v>2152</v>
      </c>
      <c r="M85" s="2327">
        <f ca="1">IF(N69&gt;1000,N69*0.1%,IF(AND(N69&gt;500,N69&lt;=1000),N69*0.5%,IF(AND(N69&gt;50,N69&lt;=500),N69*1%,IF(AND(N69&gt;1,N69&lt;=50),N69*1.5%))))</f>
        <v>5.1290000000000004</v>
      </c>
      <c r="N85" s="49">
        <f ca="1">ROUND(M85,1)</f>
        <v>5.0999999999999996</v>
      </c>
      <c r="O85" s="1636" t="s">
        <v>2151</v>
      </c>
      <c r="P85" s="1636"/>
      <c r="Q85" s="1636"/>
      <c r="R85" s="1636"/>
      <c r="S85" s="1636"/>
      <c r="T85" s="1636"/>
      <c r="U85" s="1636"/>
      <c r="V85" s="1636"/>
    </row>
    <row r="86" spans="1:26" ht="13.5" thickBot="1">
      <c r="A86" s="356" t="s">
        <v>1357</v>
      </c>
      <c r="B86" s="357" t="s">
        <v>397</v>
      </c>
      <c r="C86" s="358">
        <f ca="1">IF(C85&lt;=0,0,ROUND(C85*D86,0))</f>
        <v>269</v>
      </c>
      <c r="D86" s="359">
        <f>'数据-取费表'!B41</f>
        <v>5.5000000000000007E-2</v>
      </c>
      <c r="E86" s="360"/>
      <c r="F86" s="38"/>
      <c r="G86" s="38"/>
      <c r="H86" s="866"/>
      <c r="I86" s="287"/>
      <c r="J86" s="1636"/>
      <c r="K86" s="3573"/>
      <c r="L86" s="2337" t="s">
        <v>2153</v>
      </c>
      <c r="M86" s="2327">
        <f ca="1">N69*0.5%</f>
        <v>25.645</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73"/>
      <c r="L87" s="2337" t="s">
        <v>2155</v>
      </c>
      <c r="M87" s="2327">
        <f ca="1">IF(N69&gt;=10000,(8.25+(N69-10000)*0.01%),IF(AND(N69&gt;=8000,N69&lt;10000),(7.85+(N69-8000)*0.02%),IF(AND(N69&gt;=5000,N69&lt;8000),(6.65+(N69-5000)*0.04%),IF(AND(N69&gt;=2000,N69&lt;5000),(4.25+(PN69-2000)*0.08%),IF(AND(N69&gt;=1000,N69&lt;2000),(2.75+(N69-1000)*0.15%),IF(AND(N69&gt;=100,N69&lt;1000),(0.5+(N69-100)*0.25%),IF(AND(N69&gt;0,N69&lt;100),N69*0.5%)))))))</f>
        <v>6.7016</v>
      </c>
      <c r="N87" s="49">
        <f ca="1">ROUND(M87*0.9,1)</f>
        <v>6</v>
      </c>
      <c r="O87" s="2330"/>
      <c r="P87" s="1636"/>
      <c r="Q87" s="1636"/>
      <c r="R87" s="1636"/>
      <c r="S87" s="1636"/>
      <c r="T87" s="1636"/>
      <c r="U87" s="1636"/>
      <c r="V87" s="1636"/>
    </row>
    <row r="88" spans="1:26" s="1007" customFormat="1" ht="15" thickBot="1">
      <c r="A88" s="3552" t="s">
        <v>398</v>
      </c>
      <c r="B88" s="3553"/>
      <c r="C88" s="3553"/>
      <c r="D88" s="3553"/>
      <c r="E88" s="3553"/>
      <c r="F88" s="3553"/>
      <c r="G88" s="3553"/>
      <c r="H88" s="3553"/>
      <c r="I88" s="1119"/>
      <c r="J88" s="1650"/>
      <c r="K88" s="3573"/>
      <c r="L88" s="2337" t="s">
        <v>2156</v>
      </c>
      <c r="M88" s="2327">
        <f ca="1">IF(N69&gt;10000,N69*0.5%,IF(AND(N69&gt;5000,N69&lt;=10000),N69*1%,IF(AND(N69&gt;1000,N69&lt;=5000),N69*2%,IF(AND(N69&gt;200,N69&lt;=1000),N69*3%,N69*5%))))</f>
        <v>51.29</v>
      </c>
      <c r="N88" s="49">
        <f ca="1">ROUND(M88,1)</f>
        <v>51.3</v>
      </c>
      <c r="O88" s="2330"/>
      <c r="P88" s="1647"/>
      <c r="Q88" s="1647"/>
      <c r="R88" s="1647"/>
      <c r="S88" s="1647"/>
      <c r="T88" s="1647"/>
      <c r="U88" s="1647"/>
      <c r="V88" s="1647"/>
      <c r="W88" s="1651"/>
      <c r="X88" s="1651"/>
      <c r="Y88" s="1651"/>
      <c r="Z88" s="1651"/>
    </row>
    <row r="89" spans="1:26" s="1007" customFormat="1" ht="14.25">
      <c r="A89" s="3527" t="s">
        <v>389</v>
      </c>
      <c r="B89" s="3528"/>
      <c r="C89" s="907"/>
      <c r="D89" s="907" t="s">
        <v>390</v>
      </c>
      <c r="E89" s="361" t="s">
        <v>399</v>
      </c>
      <c r="F89" s="362"/>
      <c r="G89" s="362"/>
      <c r="H89" s="363"/>
      <c r="I89" s="1120"/>
      <c r="J89" s="1652"/>
      <c r="K89" s="3573"/>
      <c r="L89" s="2337" t="s">
        <v>16</v>
      </c>
      <c r="M89" s="2328"/>
      <c r="N89" s="49">
        <f ca="1">ROUND(SUM(N83:N88),0)</f>
        <v>140</v>
      </c>
      <c r="O89" s="2338">
        <f ca="1">N89/N69</f>
        <v>2.7295769155780854E-2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4885</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24</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09" t="s">
        <v>407</v>
      </c>
      <c r="F94" s="3508"/>
      <c r="G94" s="3508"/>
      <c r="H94" s="3551"/>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24</v>
      </c>
      <c r="D96" s="376">
        <f>'数据-取费表'!B43</f>
        <v>5.000000000000001E-3</v>
      </c>
      <c r="E96" s="3543" t="s">
        <v>1780</v>
      </c>
      <c r="F96" s="3544"/>
      <c r="G96" s="3544"/>
      <c r="H96" s="3545"/>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4861</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202.54166666666666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2908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2" t="s">
        <v>414</v>
      </c>
      <c r="B101" s="3553"/>
      <c r="C101" s="3553"/>
      <c r="D101" s="3553"/>
      <c r="E101" s="3553"/>
      <c r="F101" s="3553"/>
      <c r="G101" s="3553"/>
      <c r="H101" s="3553"/>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7" t="s">
        <v>389</v>
      </c>
      <c r="B102" s="3528"/>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4885</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24</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2266</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03" t="s">
        <v>2242</v>
      </c>
      <c r="H108" s="3504"/>
      <c r="I108" s="2417"/>
      <c r="J108" s="1647"/>
      <c r="K108" s="2745" t="s">
        <v>2267</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6" t="s">
        <v>422</v>
      </c>
      <c r="F109" s="3544"/>
      <c r="G109" s="3544"/>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6" t="s">
        <v>424</v>
      </c>
      <c r="F110" s="3544"/>
      <c r="G110" s="3544"/>
      <c r="H110" s="3545"/>
      <c r="I110" s="9"/>
      <c r="J110" s="1647"/>
      <c r="K110" s="2746" t="s">
        <v>2268</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24</v>
      </c>
      <c r="D111" s="376">
        <f>'数据-取费表'!B43</f>
        <v>5.000000000000001E-3</v>
      </c>
      <c r="E111" s="3543" t="s">
        <v>1780</v>
      </c>
      <c r="F111" s="3544"/>
      <c r="G111" s="3544"/>
      <c r="H111" s="3545"/>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6" t="s">
        <v>1799</v>
      </c>
      <c r="F112" s="3544"/>
      <c r="G112" s="3544"/>
      <c r="H112" s="3545"/>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4861</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202.54166666666666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2908</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8198</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410</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410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820</v>
      </c>
      <c r="D16" s="420">
        <f ca="1">IF(B1="",'数据-汇总表'!E3,INDIRECT("'数据-取费表'!K"&amp;$K$1)+INDIRECT("'数据-取费表'!S"&amp;$K$1))</f>
        <v>40989</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164</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10002</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200</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229</v>
      </c>
      <c r="D20" s="431">
        <f ca="1">ROUND(((1+F20)^'数据-取费表'!B20)-1,4)</f>
        <v>4.53E-2</v>
      </c>
      <c r="E20" s="431"/>
      <c r="F20" s="440">
        <f ca="1">'数据-取费表'!B40</f>
        <v>0.03</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2285</v>
      </c>
      <c r="B21" s="2316" t="s">
        <v>2107</v>
      </c>
      <c r="C21" s="447">
        <f ca="1">ROUND((C18+C19)*F21,0)</f>
        <v>1020</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2286</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85" t="s">
        <v>1394</v>
      </c>
      <c r="B24" s="3586"/>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85" t="s">
        <v>2283</v>
      </c>
      <c r="B25" s="3586"/>
      <c r="C25" s="2797">
        <f>ROUND(C6*F25,0)</f>
        <v>0</v>
      </c>
      <c r="D25" s="2798"/>
      <c r="E25" s="2799"/>
      <c r="F25" s="2803">
        <f>'数据-取费表'!B38</f>
        <v>0.02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85" t="s">
        <v>2284</v>
      </c>
      <c r="B26" s="3586"/>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87" t="s">
        <v>2282</v>
      </c>
      <c r="B27" s="3588"/>
      <c r="C27" s="2805">
        <f ca="1">(C6-C23-C24-C25)/((1+F26)*(1+D20+F21))</f>
        <v>0</v>
      </c>
      <c r="D27" s="2806"/>
      <c r="E27" s="2806"/>
      <c r="F27" s="2806"/>
      <c r="G27" s="2807" t="s">
        <v>2221</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0" zoomScale="70" zoomScaleNormal="95" zoomScaleSheetLayoutView="70" workbookViewId="0">
      <selection activeCell="M26" sqref="M26"/>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6972</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1701</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3062</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204</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96" t="s">
        <v>471</v>
      </c>
      <c r="D6" s="3597"/>
      <c r="E6" s="3596" t="s">
        <v>472</v>
      </c>
      <c r="F6" s="3597"/>
      <c r="G6" s="3596" t="s">
        <v>473</v>
      </c>
      <c r="H6" s="3597"/>
      <c r="I6" s="3596" t="s">
        <v>474</v>
      </c>
      <c r="J6" s="3597"/>
      <c r="K6" s="465" t="s">
        <v>475</v>
      </c>
      <c r="L6" s="1741"/>
      <c r="M6" s="1740"/>
      <c r="N6" s="1740"/>
      <c r="O6" s="1742"/>
      <c r="P6" s="3598" t="s">
        <v>476</v>
      </c>
      <c r="Q6" s="3599"/>
      <c r="R6" s="3604" t="s">
        <v>472</v>
      </c>
      <c r="S6" s="3605"/>
      <c r="T6" s="3604" t="s">
        <v>473</v>
      </c>
      <c r="U6" s="3605"/>
      <c r="V6" s="3591" t="s">
        <v>474</v>
      </c>
      <c r="W6" s="3591"/>
      <c r="X6" s="1302"/>
      <c r="Y6" s="3604" t="s">
        <v>476</v>
      </c>
      <c r="Z6" s="3605"/>
      <c r="AA6" s="3593" t="s">
        <v>472</v>
      </c>
      <c r="AB6" s="3594" t="s">
        <v>473</v>
      </c>
      <c r="AC6" s="3593" t="s">
        <v>474</v>
      </c>
    </row>
    <row r="7" spans="1:29" ht="20.25">
      <c r="A7" s="466"/>
      <c r="B7" s="467"/>
      <c r="C7" s="3612" t="s">
        <v>2182</v>
      </c>
      <c r="D7" s="3613"/>
      <c r="E7" s="3612" t="str">
        <f>sheet1!A2</f>
        <v>经济开发区波司登大道南侧、兴业路东侧</v>
      </c>
      <c r="F7" s="3613"/>
      <c r="G7" s="3612" t="str">
        <f>sheet1!A18</f>
        <v>高邮镇东园路西侧、四达路北侧</v>
      </c>
      <c r="H7" s="3613"/>
      <c r="I7" s="3612" t="str">
        <f>sheet1!A21</f>
        <v>高邮镇丰瑞路东侧、荆花路南侧</v>
      </c>
      <c r="J7" s="3613"/>
      <c r="K7" s="465"/>
      <c r="L7" s="1741"/>
      <c r="M7" s="1740"/>
      <c r="N7" s="1740"/>
      <c r="O7" s="1742"/>
      <c r="P7" s="3600"/>
      <c r="Q7" s="3601"/>
      <c r="R7" s="3606"/>
      <c r="S7" s="3607"/>
      <c r="T7" s="3606"/>
      <c r="U7" s="3607"/>
      <c r="V7" s="3591"/>
      <c r="W7" s="3591"/>
      <c r="X7" s="1302"/>
      <c r="Y7" s="3606"/>
      <c r="Z7" s="3607"/>
      <c r="AA7" s="3594"/>
      <c r="AB7" s="3594"/>
      <c r="AC7" s="3594"/>
    </row>
    <row r="8" spans="1:29" ht="21" thickBot="1">
      <c r="A8" s="466"/>
      <c r="B8" s="467"/>
      <c r="C8" s="3614" t="s">
        <v>2186</v>
      </c>
      <c r="D8" s="3615"/>
      <c r="E8" s="3614" t="s">
        <v>2186</v>
      </c>
      <c r="F8" s="3615"/>
      <c r="G8" s="3610" t="s">
        <v>2186</v>
      </c>
      <c r="H8" s="3611"/>
      <c r="I8" s="3610" t="s">
        <v>2186</v>
      </c>
      <c r="J8" s="3611"/>
      <c r="K8" s="465" t="s">
        <v>477</v>
      </c>
      <c r="L8" s="1741"/>
      <c r="M8" s="1740"/>
      <c r="N8" s="1740"/>
      <c r="O8" s="1742"/>
      <c r="P8" s="3602"/>
      <c r="Q8" s="3603"/>
      <c r="R8" s="3606"/>
      <c r="S8" s="3607"/>
      <c r="T8" s="3608"/>
      <c r="U8" s="3609"/>
      <c r="V8" s="3591"/>
      <c r="W8" s="3591"/>
      <c r="X8" s="1302"/>
      <c r="Y8" s="3608"/>
      <c r="Z8" s="3609"/>
      <c r="AA8" s="3595"/>
      <c r="AB8" s="3595"/>
      <c r="AC8" s="3595"/>
    </row>
    <row r="9" spans="1:29" s="1059" customFormat="1" ht="21" thickBot="1">
      <c r="A9" s="2209"/>
      <c r="B9" s="2216" t="s">
        <v>478</v>
      </c>
      <c r="C9" s="2208">
        <f>'数据-取费表'!B2</f>
        <v>45817</v>
      </c>
      <c r="D9" s="471">
        <v>100</v>
      </c>
      <c r="E9" s="472" t="str">
        <f>sheet1!L2</f>
        <v>2025-02-12</v>
      </c>
      <c r="F9" s="473">
        <f>SUMIF(71:71,YEAR(E9)&amp;"-"&amp;INT((MONTH(E9)+2)/3),72:72)</f>
        <v>100.2</v>
      </c>
      <c r="G9" s="474" t="str">
        <f>sheet1!L18</f>
        <v>2024-09-29</v>
      </c>
      <c r="H9" s="471">
        <f>SUMIF(71:71,YEAR(G9)&amp;"-"&amp;INT((MONTH(G9)+2)/3),72:72)</f>
        <v>100.60000000000001</v>
      </c>
      <c r="I9" s="474" t="str">
        <f>sheet1!L21</f>
        <v>2024-08-30</v>
      </c>
      <c r="J9" s="471">
        <f>SUMIF(71:71,YEAR(I9)&amp;"-"&amp;INT((MONTH(I9)+2)/3),72:72)</f>
        <v>100.60000000000001</v>
      </c>
      <c r="K9" s="88"/>
      <c r="L9" s="1743"/>
      <c r="M9" s="1740"/>
      <c r="N9" s="1740"/>
      <c r="O9" s="1640"/>
      <c r="P9" s="3620" t="s">
        <v>479</v>
      </c>
      <c r="Q9" s="3622"/>
      <c r="R9" s="1303" t="s">
        <v>5</v>
      </c>
      <c r="S9" s="1304">
        <f t="shared" ref="S9:S17" si="0">F9</f>
        <v>100.2</v>
      </c>
      <c r="T9" s="1303" t="s">
        <v>5</v>
      </c>
      <c r="U9" s="1304">
        <f t="shared" ref="U9:U17" si="1">H9</f>
        <v>100.60000000000001</v>
      </c>
      <c r="V9" s="1303" t="s">
        <v>5</v>
      </c>
      <c r="W9" s="1304">
        <f t="shared" ref="W9:W17" si="2">J9</f>
        <v>100.60000000000001</v>
      </c>
      <c r="X9" s="1305"/>
      <c r="Y9" s="3620" t="s">
        <v>479</v>
      </c>
      <c r="Z9" s="3621"/>
      <c r="AA9" s="996">
        <f>D9/F9</f>
        <v>0.99800399201596801</v>
      </c>
      <c r="AB9" s="996">
        <f>D9/H9</f>
        <v>0.9940357852882703</v>
      </c>
      <c r="AC9" s="996">
        <f>D9/J9</f>
        <v>0.9940357852882703</v>
      </c>
    </row>
    <row r="10" spans="1:29" s="1059" customFormat="1" ht="21" thickBot="1">
      <c r="A10" s="2210"/>
      <c r="B10" s="2217" t="s">
        <v>480</v>
      </c>
      <c r="C10" s="790" t="s">
        <v>481</v>
      </c>
      <c r="D10" s="471">
        <v>100</v>
      </c>
      <c r="E10" s="475" t="s">
        <v>3536</v>
      </c>
      <c r="F10" s="473">
        <f>SUMIF(74:74,E10,75:75)-SUMIF(74:74,C10,75:75)+100</f>
        <v>100</v>
      </c>
      <c r="G10" s="475" t="s">
        <v>3536</v>
      </c>
      <c r="H10" s="471">
        <f>SUMIF(74:74,G10,75:75)-SUMIF(74:74,C10,75:75)+100</f>
        <v>100</v>
      </c>
      <c r="I10" s="475" t="s">
        <v>3536</v>
      </c>
      <c r="J10" s="471">
        <f>SUMIF(74:74,I10,75:75)-SUMIF(74:74,C10,75:75)+100</f>
        <v>100</v>
      </c>
      <c r="K10" s="88"/>
      <c r="L10" s="1743"/>
      <c r="M10" s="1740"/>
      <c r="N10" s="1740"/>
      <c r="O10" s="1640"/>
      <c r="P10" s="3620" t="s">
        <v>482</v>
      </c>
      <c r="Q10" s="3621"/>
      <c r="R10" s="1303" t="s">
        <v>5</v>
      </c>
      <c r="S10" s="1304">
        <f t="shared" si="0"/>
        <v>100</v>
      </c>
      <c r="T10" s="1303" t="s">
        <v>5</v>
      </c>
      <c r="U10" s="1304">
        <f t="shared" si="1"/>
        <v>100</v>
      </c>
      <c r="V10" s="1303" t="s">
        <v>5</v>
      </c>
      <c r="W10" s="1304">
        <f t="shared" si="2"/>
        <v>100</v>
      </c>
      <c r="X10" s="1305"/>
      <c r="Y10" s="3620" t="s">
        <v>482</v>
      </c>
      <c r="Z10" s="3621"/>
      <c r="AA10" s="996">
        <f t="shared" ref="AA10:AA47" si="3">D10/F10</f>
        <v>1</v>
      </c>
      <c r="AB10" s="996">
        <f t="shared" ref="AB10:AB47" si="4">D10/H10</f>
        <v>1</v>
      </c>
      <c r="AC10" s="996">
        <f t="shared" ref="AC10:AC47" si="5">D10/J10</f>
        <v>1</v>
      </c>
    </row>
    <row r="11" spans="1:29" s="1059" customFormat="1" ht="20.25">
      <c r="A11" s="2211"/>
      <c r="B11" s="2218" t="s">
        <v>2038</v>
      </c>
      <c r="C11" s="2205"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3"/>
      <c r="M11" s="1740"/>
      <c r="N11" s="1740"/>
      <c r="O11" s="1744"/>
      <c r="P11" s="3590" t="s">
        <v>484</v>
      </c>
      <c r="Q11" s="817" t="str">
        <f t="shared" ref="Q11:Q17" si="6">B11</f>
        <v>用途</v>
      </c>
      <c r="R11" s="1303" t="s">
        <v>5</v>
      </c>
      <c r="S11" s="1304">
        <f t="shared" si="0"/>
        <v>100</v>
      </c>
      <c r="T11" s="1303" t="s">
        <v>5</v>
      </c>
      <c r="U11" s="1304">
        <f t="shared" si="1"/>
        <v>100</v>
      </c>
      <c r="V11" s="1303" t="s">
        <v>5</v>
      </c>
      <c r="W11" s="1304">
        <f t="shared" si="2"/>
        <v>100</v>
      </c>
      <c r="X11" s="1305"/>
      <c r="Y11" s="3534" t="s">
        <v>485</v>
      </c>
      <c r="Z11" s="996" t="str">
        <f t="shared" ref="Z11:Z17" si="7">Q11</f>
        <v>用途</v>
      </c>
      <c r="AA11" s="996">
        <f t="shared" si="3"/>
        <v>1</v>
      </c>
      <c r="AB11" s="996">
        <f t="shared" si="4"/>
        <v>1</v>
      </c>
      <c r="AC11" s="996">
        <f t="shared" si="5"/>
        <v>1</v>
      </c>
    </row>
    <row r="12" spans="1:29" s="1132" customFormat="1" ht="27">
      <c r="A12" s="2212"/>
      <c r="B12" s="2217" t="s">
        <v>2039</v>
      </c>
      <c r="C12" s="832">
        <f>项目基本情况!C19</f>
        <v>68.45</v>
      </c>
      <c r="D12" s="235">
        <v>100</v>
      </c>
      <c r="E12" s="479" t="s">
        <v>3573</v>
      </c>
      <c r="F12" s="235">
        <f>ROUND(100/'数据-取费表'!G16,0)</f>
        <v>100</v>
      </c>
      <c r="G12" s="480" t="s">
        <v>3573</v>
      </c>
      <c r="H12" s="235">
        <f>ROUND(100/'数据-取费表'!G16,0)</f>
        <v>100</v>
      </c>
      <c r="I12" s="480" t="s">
        <v>3573</v>
      </c>
      <c r="J12" s="235">
        <f>ROUND(100/'数据-取费表'!G16,0)</f>
        <v>100</v>
      </c>
      <c r="K12" s="481"/>
      <c r="L12" s="1745"/>
      <c r="M12" s="1740"/>
      <c r="N12" s="1740"/>
      <c r="O12" s="1746"/>
      <c r="P12" s="3590"/>
      <c r="Q12" s="817" t="str">
        <f t="shared" si="6"/>
        <v>土地使用年限（年）</v>
      </c>
      <c r="R12" s="1303" t="s">
        <v>5</v>
      </c>
      <c r="S12" s="1304">
        <f t="shared" si="0"/>
        <v>100</v>
      </c>
      <c r="T12" s="1303" t="s">
        <v>5</v>
      </c>
      <c r="U12" s="1304">
        <f t="shared" si="1"/>
        <v>100</v>
      </c>
      <c r="V12" s="1303" t="s">
        <v>5</v>
      </c>
      <c r="W12" s="1304">
        <f t="shared" si="2"/>
        <v>100</v>
      </c>
      <c r="X12" s="1305"/>
      <c r="Y12" s="3534"/>
      <c r="Z12" s="996" t="str">
        <f t="shared" si="7"/>
        <v>土地使用年限（年）</v>
      </c>
      <c r="AA12" s="996">
        <f t="shared" si="3"/>
        <v>1</v>
      </c>
      <c r="AB12" s="996">
        <f t="shared" si="4"/>
        <v>1</v>
      </c>
      <c r="AC12" s="996">
        <f t="shared" si="5"/>
        <v>1</v>
      </c>
    </row>
    <row r="13" spans="1:29" ht="21" thickBot="1">
      <c r="A13" s="2213"/>
      <c r="B13" s="2217" t="s">
        <v>2040</v>
      </c>
      <c r="C13" s="484">
        <f>'数据-汇总表'!I6</f>
        <v>1.8</v>
      </c>
      <c r="D13" s="235">
        <v>100</v>
      </c>
      <c r="E13" s="483">
        <v>1.8</v>
      </c>
      <c r="F13" s="235">
        <f>LOOKUP(E13,81:81,82:82)-LOOKUP(C13,81:81,82:82)+100</f>
        <v>100</v>
      </c>
      <c r="G13" s="484">
        <v>1.6</v>
      </c>
      <c r="H13" s="235">
        <f>LOOKUP(G13,81:81,82:82)-LOOKUP(C13,81:81,82:82)+100</f>
        <v>100</v>
      </c>
      <c r="I13" s="483">
        <v>1.5</v>
      </c>
      <c r="J13" s="235">
        <f>LOOKUP(I13,81:81,82:82)-LOOKUP(C13,81:81,82:82)+100</f>
        <v>100</v>
      </c>
      <c r="K13" s="485">
        <v>2</v>
      </c>
      <c r="L13" s="1747"/>
      <c r="M13" s="1740"/>
      <c r="N13" s="1740"/>
      <c r="O13" s="1748"/>
      <c r="P13" s="3590"/>
      <c r="Q13" s="817" t="str">
        <f t="shared" si="6"/>
        <v>容积率</v>
      </c>
      <c r="R13" s="1303" t="s">
        <v>5</v>
      </c>
      <c r="S13" s="1304">
        <f t="shared" si="0"/>
        <v>100</v>
      </c>
      <c r="T13" s="1303" t="s">
        <v>5</v>
      </c>
      <c r="U13" s="1304">
        <f t="shared" si="1"/>
        <v>100</v>
      </c>
      <c r="V13" s="1303" t="s">
        <v>5</v>
      </c>
      <c r="W13" s="1304">
        <f t="shared" si="2"/>
        <v>100</v>
      </c>
      <c r="X13" s="1305"/>
      <c r="Y13" s="3534"/>
      <c r="Z13" s="996" t="str">
        <f t="shared" si="7"/>
        <v>容积率</v>
      </c>
      <c r="AA13" s="996">
        <f t="shared" si="3"/>
        <v>1</v>
      </c>
      <c r="AB13" s="996">
        <f t="shared" si="4"/>
        <v>1</v>
      </c>
      <c r="AC13" s="996">
        <f t="shared" si="5"/>
        <v>1</v>
      </c>
    </row>
    <row r="14" spans="1:29" s="1059" customFormat="1" ht="20.25" hidden="1">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90"/>
      <c r="Q14" s="817" t="str">
        <f t="shared" si="6"/>
        <v>配建</v>
      </c>
      <c r="R14" s="1303" t="s">
        <v>5</v>
      </c>
      <c r="S14" s="1304">
        <f t="shared" si="0"/>
        <v>100</v>
      </c>
      <c r="T14" s="1303" t="s">
        <v>5</v>
      </c>
      <c r="U14" s="1304">
        <f t="shared" si="1"/>
        <v>100</v>
      </c>
      <c r="V14" s="1303" t="s">
        <v>5</v>
      </c>
      <c r="W14" s="1304">
        <f t="shared" si="2"/>
        <v>100</v>
      </c>
      <c r="X14" s="1305"/>
      <c r="Y14" s="3534"/>
      <c r="Z14" s="996" t="str">
        <f t="shared" si="7"/>
        <v>配建</v>
      </c>
      <c r="AA14" s="996">
        <f>D14/F14</f>
        <v>1</v>
      </c>
      <c r="AB14" s="996">
        <f>D14/H14</f>
        <v>1</v>
      </c>
      <c r="AC14" s="996">
        <f>D14/J14</f>
        <v>1</v>
      </c>
    </row>
    <row r="15" spans="1:29" ht="20.25" hidden="1">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90"/>
      <c r="Q15" s="817">
        <f t="shared" si="6"/>
        <v>111</v>
      </c>
      <c r="R15" s="1303" t="s">
        <v>5</v>
      </c>
      <c r="S15" s="1304">
        <f t="shared" si="0"/>
        <v>100</v>
      </c>
      <c r="T15" s="1303" t="s">
        <v>5</v>
      </c>
      <c r="U15" s="1304">
        <f t="shared" si="1"/>
        <v>100</v>
      </c>
      <c r="V15" s="1303" t="s">
        <v>5</v>
      </c>
      <c r="W15" s="1304">
        <f t="shared" si="2"/>
        <v>100</v>
      </c>
      <c r="X15" s="1305"/>
      <c r="Y15" s="3534"/>
      <c r="Z15" s="996">
        <f t="shared" si="7"/>
        <v>111</v>
      </c>
      <c r="AA15" s="996">
        <f>D15/F15</f>
        <v>1</v>
      </c>
      <c r="AB15" s="996">
        <f>D15/H15</f>
        <v>1</v>
      </c>
      <c r="AC15" s="996">
        <f>D15/J15</f>
        <v>1</v>
      </c>
    </row>
    <row r="16" spans="1:29" ht="21" hidden="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90"/>
      <c r="Q16" s="817">
        <f t="shared" si="6"/>
        <v>111</v>
      </c>
      <c r="R16" s="1303" t="s">
        <v>5</v>
      </c>
      <c r="S16" s="1304">
        <f t="shared" si="0"/>
        <v>100</v>
      </c>
      <c r="T16" s="1303" t="s">
        <v>5</v>
      </c>
      <c r="U16" s="1304">
        <f t="shared" si="1"/>
        <v>100</v>
      </c>
      <c r="V16" s="1303" t="s">
        <v>5</v>
      </c>
      <c r="W16" s="1304">
        <f t="shared" si="2"/>
        <v>100</v>
      </c>
      <c r="X16" s="1305"/>
      <c r="Y16" s="3534"/>
      <c r="Z16" s="996">
        <f t="shared" si="7"/>
        <v>111</v>
      </c>
      <c r="AA16" s="996">
        <f>D16/F16</f>
        <v>1</v>
      </c>
      <c r="AB16" s="996">
        <f>D16/H16</f>
        <v>1</v>
      </c>
      <c r="AC16" s="996">
        <f>D16/J16</f>
        <v>1</v>
      </c>
    </row>
    <row r="17" spans="1:29" ht="20.25">
      <c r="A17" s="2207" t="s">
        <v>2036</v>
      </c>
      <c r="B17" s="528" t="s">
        <v>261</v>
      </c>
      <c r="C17" s="498">
        <f>估价对象房地状况!C15</f>
        <v>0</v>
      </c>
      <c r="D17" s="501">
        <v>100</v>
      </c>
      <c r="E17" s="502"/>
      <c r="F17" s="499">
        <f>SUMIF(89:89,E18,90:90)-SUMIF(89:89,C18,90:90)+100</f>
        <v>106</v>
      </c>
      <c r="G17" s="500"/>
      <c r="H17" s="499">
        <f>SUMIF(89:89,G18,90:90)-SUMIF(89:89,C18,90:90)+100</f>
        <v>106</v>
      </c>
      <c r="I17" s="502"/>
      <c r="J17" s="499">
        <f>SUMIF(89:89,I18,90:90)-SUMIF(89:89,C18,90:90)+100</f>
        <v>106</v>
      </c>
      <c r="K17" s="485">
        <v>3</v>
      </c>
      <c r="L17" s="1749"/>
      <c r="M17" s="1740"/>
      <c r="N17" s="1740"/>
      <c r="O17" s="1748"/>
      <c r="P17" s="3623" t="s">
        <v>489</v>
      </c>
      <c r="Q17" s="1306" t="str">
        <f t="shared" si="6"/>
        <v>居住社区成熟度</v>
      </c>
      <c r="R17" s="1307" t="s">
        <v>5</v>
      </c>
      <c r="S17" s="1308">
        <f t="shared" si="0"/>
        <v>106</v>
      </c>
      <c r="T17" s="1307" t="s">
        <v>5</v>
      </c>
      <c r="U17" s="1308">
        <f t="shared" si="1"/>
        <v>106</v>
      </c>
      <c r="V17" s="1307" t="s">
        <v>5</v>
      </c>
      <c r="W17" s="1308">
        <f t="shared" si="2"/>
        <v>106</v>
      </c>
      <c r="X17" s="1302"/>
      <c r="Y17" s="3623" t="s">
        <v>489</v>
      </c>
      <c r="Z17" s="1309" t="str">
        <f t="shared" si="7"/>
        <v>居住社区成熟度</v>
      </c>
      <c r="AA17" s="1309">
        <f t="shared" si="3"/>
        <v>0.94339622641509435</v>
      </c>
      <c r="AB17" s="1309">
        <f t="shared" si="4"/>
        <v>0.94339622641509435</v>
      </c>
      <c r="AC17" s="1309">
        <f t="shared" si="5"/>
        <v>0.94339622641509435</v>
      </c>
    </row>
    <row r="18" spans="1:29" ht="20.25">
      <c r="A18" s="482"/>
      <c r="B18" s="503"/>
      <c r="C18" s="504" t="s">
        <v>3537</v>
      </c>
      <c r="D18" s="507"/>
      <c r="E18" s="508" t="s">
        <v>3539</v>
      </c>
      <c r="F18" s="505"/>
      <c r="G18" s="508" t="s">
        <v>3539</v>
      </c>
      <c r="H18" s="509"/>
      <c r="I18" s="508" t="s">
        <v>3539</v>
      </c>
      <c r="J18" s="505"/>
      <c r="K18" s="481"/>
      <c r="L18" s="1749"/>
      <c r="M18" s="1740"/>
      <c r="N18" s="1740"/>
      <c r="O18" s="1748"/>
      <c r="P18" s="3624"/>
      <c r="Q18" s="1306"/>
      <c r="R18" s="1307"/>
      <c r="S18" s="1308"/>
      <c r="T18" s="1307"/>
      <c r="U18" s="1308"/>
      <c r="V18" s="1307"/>
      <c r="W18" s="1308"/>
      <c r="X18" s="1302"/>
      <c r="Y18" s="3624"/>
      <c r="Z18" s="1309"/>
      <c r="AA18" s="1309">
        <v>1</v>
      </c>
      <c r="AB18" s="1309">
        <v>1</v>
      </c>
      <c r="AC18" s="1309">
        <v>1</v>
      </c>
    </row>
    <row r="19" spans="1:29" ht="20.25" hidden="1">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24"/>
      <c r="Q19" s="1306" t="str">
        <f>B19</f>
        <v>商业繁华度</v>
      </c>
      <c r="R19" s="1307" t="s">
        <v>5</v>
      </c>
      <c r="S19" s="1308">
        <f>F19</f>
        <v>100</v>
      </c>
      <c r="T19" s="1307" t="s">
        <v>5</v>
      </c>
      <c r="U19" s="1308">
        <f>H19</f>
        <v>100</v>
      </c>
      <c r="V19" s="1307" t="s">
        <v>5</v>
      </c>
      <c r="W19" s="1308">
        <f>J19</f>
        <v>100</v>
      </c>
      <c r="X19" s="1302"/>
      <c r="Y19" s="3624"/>
      <c r="Z19" s="1309" t="str">
        <f>Q19</f>
        <v>商业繁华度</v>
      </c>
      <c r="AA19" s="1309">
        <f t="shared" si="3"/>
        <v>1</v>
      </c>
      <c r="AB19" s="1309">
        <f t="shared" si="4"/>
        <v>1</v>
      </c>
      <c r="AC19" s="1309">
        <f t="shared" si="5"/>
        <v>1</v>
      </c>
    </row>
    <row r="20" spans="1:29" ht="20.25" hidden="1">
      <c r="A20" s="482"/>
      <c r="B20" s="516"/>
      <c r="C20" s="517"/>
      <c r="D20" s="513"/>
      <c r="E20" s="519"/>
      <c r="F20" s="509"/>
      <c r="G20" s="518"/>
      <c r="H20" s="505"/>
      <c r="I20" s="519"/>
      <c r="J20" s="505"/>
      <c r="K20" s="481"/>
      <c r="L20" s="1749"/>
      <c r="M20" s="1740"/>
      <c r="N20" s="1740"/>
      <c r="O20" s="1748"/>
      <c r="P20" s="3624"/>
      <c r="Q20" s="1306"/>
      <c r="R20" s="1307"/>
      <c r="S20" s="1308"/>
      <c r="T20" s="1307"/>
      <c r="U20" s="1308"/>
      <c r="V20" s="1307"/>
      <c r="W20" s="1308"/>
      <c r="X20" s="1302"/>
      <c r="Y20" s="3624"/>
      <c r="Z20" s="1309"/>
      <c r="AA20" s="1309">
        <v>1</v>
      </c>
      <c r="AB20" s="1309">
        <v>1</v>
      </c>
      <c r="AC20" s="1309">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24"/>
      <c r="Q21" s="1306" t="str">
        <f>B21</f>
        <v>办公集聚程度</v>
      </c>
      <c r="R21" s="1307" t="s">
        <v>5</v>
      </c>
      <c r="S21" s="1308">
        <f>F21</f>
        <v>100</v>
      </c>
      <c r="T21" s="1307" t="s">
        <v>5</v>
      </c>
      <c r="U21" s="1308">
        <f>H21</f>
        <v>100</v>
      </c>
      <c r="V21" s="1307" t="s">
        <v>5</v>
      </c>
      <c r="W21" s="1308">
        <f>J21</f>
        <v>100</v>
      </c>
      <c r="X21" s="1302"/>
      <c r="Y21" s="3624"/>
      <c r="Z21" s="1309" t="str">
        <f>Q21</f>
        <v>办公集聚程度</v>
      </c>
      <c r="AA21" s="1309">
        <f t="shared" si="3"/>
        <v>1</v>
      </c>
      <c r="AB21" s="1309">
        <f t="shared" si="4"/>
        <v>1</v>
      </c>
      <c r="AC21" s="1309">
        <f t="shared" si="5"/>
        <v>1</v>
      </c>
    </row>
    <row r="22" spans="1:29" ht="20.25" hidden="1">
      <c r="A22" s="482"/>
      <c r="B22" s="516"/>
      <c r="C22" s="504"/>
      <c r="D22" s="507"/>
      <c r="E22" s="508"/>
      <c r="F22" s="505"/>
      <c r="G22" s="506"/>
      <c r="H22" s="505"/>
      <c r="I22" s="508"/>
      <c r="J22" s="505"/>
      <c r="K22" s="481"/>
      <c r="L22" s="1749"/>
      <c r="M22" s="1740"/>
      <c r="N22" s="1740"/>
      <c r="O22" s="1748"/>
      <c r="P22" s="3624"/>
      <c r="Q22" s="1306"/>
      <c r="R22" s="1307"/>
      <c r="S22" s="1308"/>
      <c r="T22" s="1307"/>
      <c r="U22" s="1308"/>
      <c r="V22" s="1307"/>
      <c r="W22" s="1308"/>
      <c r="X22" s="1302"/>
      <c r="Y22" s="3624"/>
      <c r="Z22" s="1309"/>
      <c r="AA22" s="1309">
        <v>1</v>
      </c>
      <c r="AB22" s="1309">
        <v>1</v>
      </c>
      <c r="AC22" s="1309">
        <v>1</v>
      </c>
    </row>
    <row r="23" spans="1:29" ht="20.25">
      <c r="A23" s="482"/>
      <c r="B23" s="510" t="s">
        <v>492</v>
      </c>
      <c r="C23" s="523">
        <f>估价对象房地状况!C18</f>
        <v>0</v>
      </c>
      <c r="D23" s="513">
        <v>100</v>
      </c>
      <c r="E23" s="514"/>
      <c r="F23" s="515">
        <f>SUMIF(95:95,E24,96:96)-SUMIF(95:95,C24,96:96)+100</f>
        <v>106</v>
      </c>
      <c r="G23" s="512"/>
      <c r="H23" s="509">
        <f>SUMIF(95:95,G24,96:96)-SUMIF(95:95,C24,96:96)+100</f>
        <v>106</v>
      </c>
      <c r="I23" s="514"/>
      <c r="J23" s="509">
        <f>SUMIF(95:95,I24,96:96)-SUMIF(95:95,C24,96:96)+100</f>
        <v>106</v>
      </c>
      <c r="K23" s="485">
        <v>3</v>
      </c>
      <c r="L23" s="1749"/>
      <c r="M23" s="1740"/>
      <c r="N23" s="1740"/>
      <c r="O23" s="1748"/>
      <c r="P23" s="3624"/>
      <c r="Q23" s="1306" t="str">
        <f>B23</f>
        <v>交通便捷度</v>
      </c>
      <c r="R23" s="1307" t="s">
        <v>5</v>
      </c>
      <c r="S23" s="1308">
        <f>F23</f>
        <v>106</v>
      </c>
      <c r="T23" s="1307" t="s">
        <v>5</v>
      </c>
      <c r="U23" s="1308">
        <f>H23</f>
        <v>106</v>
      </c>
      <c r="V23" s="1307" t="s">
        <v>5</v>
      </c>
      <c r="W23" s="1308">
        <f>J23</f>
        <v>106</v>
      </c>
      <c r="X23" s="1302"/>
      <c r="Y23" s="3624"/>
      <c r="Z23" s="1309" t="str">
        <f>Q23</f>
        <v>交通便捷度</v>
      </c>
      <c r="AA23" s="1309">
        <f t="shared" si="3"/>
        <v>0.94339622641509435</v>
      </c>
      <c r="AB23" s="1309">
        <f t="shared" si="4"/>
        <v>0.94339622641509435</v>
      </c>
      <c r="AC23" s="1309">
        <f t="shared" si="5"/>
        <v>0.94339622641509435</v>
      </c>
    </row>
    <row r="24" spans="1:29" ht="20.25">
      <c r="A24" s="482"/>
      <c r="B24" s="528"/>
      <c r="C24" s="504" t="s">
        <v>3537</v>
      </c>
      <c r="D24" s="507"/>
      <c r="E24" s="508" t="s">
        <v>3539</v>
      </c>
      <c r="F24" s="505"/>
      <c r="G24" s="508" t="s">
        <v>3539</v>
      </c>
      <c r="H24" s="505"/>
      <c r="I24" s="508" t="s">
        <v>3539</v>
      </c>
      <c r="J24" s="505"/>
      <c r="K24" s="481"/>
      <c r="L24" s="1749"/>
      <c r="M24" s="1740"/>
      <c r="N24" s="1740"/>
      <c r="O24" s="1748"/>
      <c r="P24" s="3624"/>
      <c r="Q24" s="1306"/>
      <c r="R24" s="1307"/>
      <c r="S24" s="1308"/>
      <c r="T24" s="1307"/>
      <c r="U24" s="1308"/>
      <c r="V24" s="1307"/>
      <c r="W24" s="1308"/>
      <c r="X24" s="1302"/>
      <c r="Y24" s="3624"/>
      <c r="Z24" s="1309"/>
      <c r="AA24" s="1309">
        <v>1</v>
      </c>
      <c r="AB24" s="1309">
        <v>1</v>
      </c>
      <c r="AC24" s="1309">
        <v>1</v>
      </c>
    </row>
    <row r="25" spans="1:29" ht="27">
      <c r="A25" s="466"/>
      <c r="B25" s="239" t="s">
        <v>493</v>
      </c>
      <c r="C25" s="523">
        <f>估价对象房地状况!C19</f>
        <v>0</v>
      </c>
      <c r="D25" s="513">
        <v>100</v>
      </c>
      <c r="E25" s="514"/>
      <c r="F25" s="515">
        <f>SUMIF(97:97,E26,98:98)-SUMIF(97:97,C26,98:98)+100</f>
        <v>104</v>
      </c>
      <c r="G25" s="512"/>
      <c r="H25" s="509">
        <f>SUMIF(97:97,G26,98:98)-SUMIF(97:97,C26,98:98)+100</f>
        <v>104</v>
      </c>
      <c r="I25" s="514"/>
      <c r="J25" s="509">
        <f>SUMIF(97:97,I26,98:98)-SUMIF(97:97,C26,98:98)+100</f>
        <v>104</v>
      </c>
      <c r="K25" s="485">
        <v>2</v>
      </c>
      <c r="L25" s="1749"/>
      <c r="M25" s="1740"/>
      <c r="N25" s="1740"/>
      <c r="O25" s="1748"/>
      <c r="P25" s="3624"/>
      <c r="Q25" s="1306" t="str">
        <f t="shared" ref="Q25:Q39" si="8">B25</f>
        <v>区域土地利用方向</v>
      </c>
      <c r="R25" s="1307" t="s">
        <v>5</v>
      </c>
      <c r="S25" s="1308">
        <f>F25</f>
        <v>104</v>
      </c>
      <c r="T25" s="1307" t="s">
        <v>5</v>
      </c>
      <c r="U25" s="1308">
        <f>H25</f>
        <v>104</v>
      </c>
      <c r="V25" s="1307" t="s">
        <v>5</v>
      </c>
      <c r="W25" s="1308">
        <f>J25</f>
        <v>104</v>
      </c>
      <c r="X25" s="1302"/>
      <c r="Y25" s="3624"/>
      <c r="Z25" s="1309" t="str">
        <f>Q25</f>
        <v>区域土地利用方向</v>
      </c>
      <c r="AA25" s="1309">
        <f t="shared" si="3"/>
        <v>0.96153846153846156</v>
      </c>
      <c r="AB25" s="1309">
        <f t="shared" si="4"/>
        <v>0.96153846153846156</v>
      </c>
      <c r="AC25" s="1309">
        <f t="shared" si="5"/>
        <v>0.96153846153846156</v>
      </c>
    </row>
    <row r="26" spans="1:29" ht="20.25">
      <c r="A26" s="466"/>
      <c r="B26" s="918"/>
      <c r="C26" s="504" t="s">
        <v>3537</v>
      </c>
      <c r="D26" s="507"/>
      <c r="E26" s="508" t="s">
        <v>3539</v>
      </c>
      <c r="F26" s="505"/>
      <c r="G26" s="508" t="s">
        <v>3539</v>
      </c>
      <c r="H26" s="505"/>
      <c r="I26" s="508" t="s">
        <v>3539</v>
      </c>
      <c r="J26" s="505"/>
      <c r="K26" s="481"/>
      <c r="L26" s="1749"/>
      <c r="M26" s="1740"/>
      <c r="N26" s="1740"/>
      <c r="O26" s="1748"/>
      <c r="P26" s="3624"/>
      <c r="Q26" s="1306"/>
      <c r="R26" s="1307"/>
      <c r="S26" s="1308"/>
      <c r="T26" s="1307"/>
      <c r="U26" s="1308"/>
      <c r="V26" s="1307"/>
      <c r="W26" s="1308"/>
      <c r="X26" s="1302"/>
      <c r="Y26" s="3624"/>
      <c r="Z26" s="1309"/>
      <c r="AA26" s="1309"/>
      <c r="AB26" s="1309"/>
      <c r="AC26" s="1309"/>
    </row>
    <row r="27" spans="1:29" ht="27">
      <c r="A27" s="466"/>
      <c r="B27" s="528" t="s">
        <v>494</v>
      </c>
      <c r="C27" s="511">
        <f>估价对象房地状况!C20</f>
        <v>0</v>
      </c>
      <c r="D27" s="513">
        <v>100</v>
      </c>
      <c r="E27" s="514"/>
      <c r="F27" s="509">
        <f>SUMIF(99:99,E28,100:100)-SUMIF(99:99,C28,100:100)+100</f>
        <v>106</v>
      </c>
      <c r="G27" s="512"/>
      <c r="H27" s="509">
        <f>SUMIF(99:99,G28,100:100)-SUMIF(99:99,C28,100:100)+100</f>
        <v>106</v>
      </c>
      <c r="I27" s="514"/>
      <c r="J27" s="509">
        <f>SUMIF(99:99,I28,100:100)-SUMIF(99:99,C28,100:100)+100</f>
        <v>106</v>
      </c>
      <c r="K27" s="485">
        <v>3</v>
      </c>
      <c r="L27" s="1749"/>
      <c r="M27" s="1740"/>
      <c r="N27" s="1740"/>
      <c r="O27" s="1748"/>
      <c r="P27" s="3624"/>
      <c r="Q27" s="1306" t="str">
        <f t="shared" si="8"/>
        <v>自然及人文环境状况</v>
      </c>
      <c r="R27" s="1307" t="s">
        <v>5</v>
      </c>
      <c r="S27" s="1308">
        <f>F27</f>
        <v>106</v>
      </c>
      <c r="T27" s="1307" t="s">
        <v>5</v>
      </c>
      <c r="U27" s="1308">
        <f>H27</f>
        <v>106</v>
      </c>
      <c r="V27" s="1307" t="s">
        <v>5</v>
      </c>
      <c r="W27" s="1308">
        <f>J27</f>
        <v>106</v>
      </c>
      <c r="X27" s="1302"/>
      <c r="Y27" s="3624"/>
      <c r="Z27" s="1309" t="str">
        <f>Q27</f>
        <v>自然及人文环境状况</v>
      </c>
      <c r="AA27" s="1309">
        <f t="shared" si="3"/>
        <v>0.94339622641509435</v>
      </c>
      <c r="AB27" s="1309">
        <f t="shared" si="4"/>
        <v>0.94339622641509435</v>
      </c>
      <c r="AC27" s="1309">
        <f t="shared" si="5"/>
        <v>0.94339622641509435</v>
      </c>
    </row>
    <row r="28" spans="1:29" ht="20.25">
      <c r="A28" s="466"/>
      <c r="B28" s="516"/>
      <c r="C28" s="504" t="s">
        <v>3537</v>
      </c>
      <c r="D28" s="507"/>
      <c r="E28" s="508" t="s">
        <v>3539</v>
      </c>
      <c r="F28" s="505"/>
      <c r="G28" s="508" t="s">
        <v>3539</v>
      </c>
      <c r="H28" s="505"/>
      <c r="I28" s="508" t="s">
        <v>3539</v>
      </c>
      <c r="J28" s="505"/>
      <c r="K28" s="481"/>
      <c r="L28" s="1749"/>
      <c r="M28" s="1740"/>
      <c r="N28" s="1740"/>
      <c r="O28" s="1748"/>
      <c r="P28" s="3624"/>
      <c r="Q28" s="1306"/>
      <c r="R28" s="1307"/>
      <c r="S28" s="1308"/>
      <c r="T28" s="1307"/>
      <c r="U28" s="1308"/>
      <c r="V28" s="1307"/>
      <c r="W28" s="1308"/>
      <c r="X28" s="1302"/>
      <c r="Y28" s="3624"/>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106</v>
      </c>
      <c r="G29" s="512"/>
      <c r="H29" s="509">
        <f>SUMIF(101:101,G30,102:102)-SUMIF(101:101,C30,102:102)+100</f>
        <v>106</v>
      </c>
      <c r="I29" s="514"/>
      <c r="J29" s="509">
        <f>SUMIF(101:101,I30,102:102)-SUMIF(101:101,C30,102:102)+100</f>
        <v>106</v>
      </c>
      <c r="K29" s="485">
        <v>3</v>
      </c>
      <c r="L29" s="1743"/>
      <c r="M29" s="1740"/>
      <c r="N29" s="1740"/>
      <c r="O29" s="1744"/>
      <c r="P29" s="3624"/>
      <c r="Q29" s="817" t="str">
        <f t="shared" si="8"/>
        <v>公共配套设施</v>
      </c>
      <c r="R29" s="1303" t="s">
        <v>5</v>
      </c>
      <c r="S29" s="1304">
        <f>F29</f>
        <v>106</v>
      </c>
      <c r="T29" s="1303" t="s">
        <v>5</v>
      </c>
      <c r="U29" s="1304">
        <f>H29</f>
        <v>106</v>
      </c>
      <c r="V29" s="1303" t="s">
        <v>5</v>
      </c>
      <c r="W29" s="1304">
        <f>J29</f>
        <v>106</v>
      </c>
      <c r="X29" s="1305"/>
      <c r="Y29" s="3624"/>
      <c r="Z29" s="996" t="str">
        <f>Q29</f>
        <v>公共配套设施</v>
      </c>
      <c r="AA29" s="1309">
        <f>D29/F29</f>
        <v>0.94339622641509435</v>
      </c>
      <c r="AB29" s="1309">
        <f>D29/H29</f>
        <v>0.94339622641509435</v>
      </c>
      <c r="AC29" s="1309">
        <f>D29/J29</f>
        <v>0.94339622641509435</v>
      </c>
    </row>
    <row r="30" spans="1:29" s="1059" customFormat="1" ht="20.25">
      <c r="A30" s="527"/>
      <c r="B30" s="516"/>
      <c r="C30" s="529" t="s">
        <v>3537</v>
      </c>
      <c r="D30" s="507"/>
      <c r="E30" s="508" t="s">
        <v>3539</v>
      </c>
      <c r="F30" s="505"/>
      <c r="G30" s="508" t="s">
        <v>3539</v>
      </c>
      <c r="H30" s="505"/>
      <c r="I30" s="508" t="s">
        <v>3539</v>
      </c>
      <c r="J30" s="505"/>
      <c r="K30" s="481"/>
      <c r="L30" s="1743"/>
      <c r="M30" s="1740"/>
      <c r="N30" s="1740"/>
      <c r="O30" s="1744"/>
      <c r="P30" s="3624"/>
      <c r="Q30" s="817"/>
      <c r="R30" s="1303"/>
      <c r="S30" s="1304"/>
      <c r="T30" s="1303"/>
      <c r="U30" s="1304"/>
      <c r="V30" s="1303"/>
      <c r="W30" s="1304"/>
      <c r="X30" s="1305"/>
      <c r="Y30" s="3624"/>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3</v>
      </c>
      <c r="L31" s="1743"/>
      <c r="M31" s="1740"/>
      <c r="N31" s="1740"/>
      <c r="O31" s="1744"/>
      <c r="P31" s="3624"/>
      <c r="Q31" s="817" t="str">
        <f>B31</f>
        <v>基础设施水平</v>
      </c>
      <c r="R31" s="1303" t="s">
        <v>5</v>
      </c>
      <c r="S31" s="1304">
        <f>F31</f>
        <v>100</v>
      </c>
      <c r="T31" s="1303" t="s">
        <v>5</v>
      </c>
      <c r="U31" s="1304">
        <f>H31</f>
        <v>100</v>
      </c>
      <c r="V31" s="1303" t="s">
        <v>5</v>
      </c>
      <c r="W31" s="1304">
        <f>J31</f>
        <v>100</v>
      </c>
      <c r="X31" s="1305"/>
      <c r="Y31" s="3624"/>
      <c r="Z31" s="996" t="str">
        <f>Q31</f>
        <v>基础设施水平</v>
      </c>
      <c r="AA31" s="1309">
        <f>D31/F31</f>
        <v>1</v>
      </c>
      <c r="AB31" s="1309">
        <f>D31/H31</f>
        <v>1</v>
      </c>
      <c r="AC31" s="1309">
        <f>D31/J31</f>
        <v>1</v>
      </c>
    </row>
    <row r="32" spans="1:29" s="1059" customFormat="1" ht="21" thickBot="1">
      <c r="A32" s="527"/>
      <c r="B32" s="516"/>
      <c r="C32" s="529" t="s">
        <v>3538</v>
      </c>
      <c r="D32" s="507"/>
      <c r="E32" s="529" t="s">
        <v>3538</v>
      </c>
      <c r="F32" s="505"/>
      <c r="G32" s="529" t="s">
        <v>3538</v>
      </c>
      <c r="H32" s="505"/>
      <c r="I32" s="529" t="s">
        <v>3538</v>
      </c>
      <c r="J32" s="505"/>
      <c r="K32" s="481"/>
      <c r="L32" s="1743"/>
      <c r="M32" s="1740"/>
      <c r="N32" s="1740"/>
      <c r="O32" s="1744"/>
      <c r="P32" s="3624"/>
      <c r="Q32" s="817"/>
      <c r="R32" s="1303"/>
      <c r="S32" s="1304"/>
      <c r="T32" s="1303"/>
      <c r="U32" s="1304"/>
      <c r="V32" s="1303"/>
      <c r="W32" s="1304"/>
      <c r="X32" s="1305"/>
      <c r="Y32" s="3624"/>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24"/>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24"/>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24"/>
      <c r="Q34" s="1306" t="str">
        <f t="shared" si="8"/>
        <v>毗邻道路的类型与等级</v>
      </c>
      <c r="R34" s="1307" t="s">
        <v>5</v>
      </c>
      <c r="S34" s="1308">
        <f t="shared" si="9"/>
        <v>100</v>
      </c>
      <c r="T34" s="1307" t="s">
        <v>5</v>
      </c>
      <c r="U34" s="1308">
        <f t="shared" si="10"/>
        <v>100</v>
      </c>
      <c r="V34" s="1307" t="s">
        <v>5</v>
      </c>
      <c r="W34" s="1308">
        <f t="shared" si="11"/>
        <v>100</v>
      </c>
      <c r="X34" s="1302"/>
      <c r="Y34" s="3624"/>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24"/>
      <c r="Q35" s="1306"/>
      <c r="R35" s="1307"/>
      <c r="S35" s="1308"/>
      <c r="T35" s="1307"/>
      <c r="U35" s="1308"/>
      <c r="V35" s="1307"/>
      <c r="W35" s="1308"/>
      <c r="X35" s="1302"/>
      <c r="Y35" s="3624"/>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24"/>
      <c r="Q36" s="1306" t="str">
        <f t="shared" si="8"/>
        <v>土地级别</v>
      </c>
      <c r="R36" s="1307" t="s">
        <v>5</v>
      </c>
      <c r="S36" s="1308">
        <f t="shared" si="9"/>
        <v>100</v>
      </c>
      <c r="T36" s="1307" t="s">
        <v>5</v>
      </c>
      <c r="U36" s="1308">
        <f t="shared" si="10"/>
        <v>100</v>
      </c>
      <c r="V36" s="1307" t="s">
        <v>5</v>
      </c>
      <c r="W36" s="1308">
        <f t="shared" si="11"/>
        <v>100</v>
      </c>
      <c r="X36" s="1302"/>
      <c r="Y36" s="3624"/>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24"/>
      <c r="Q37" s="1306">
        <f t="shared" si="8"/>
        <v>111</v>
      </c>
      <c r="R37" s="1307" t="s">
        <v>5</v>
      </c>
      <c r="S37" s="1308">
        <f t="shared" si="9"/>
        <v>100</v>
      </c>
      <c r="T37" s="1307" t="s">
        <v>5</v>
      </c>
      <c r="U37" s="1308">
        <f t="shared" si="10"/>
        <v>100</v>
      </c>
      <c r="V37" s="1307" t="s">
        <v>5</v>
      </c>
      <c r="W37" s="1308">
        <f t="shared" si="11"/>
        <v>100</v>
      </c>
      <c r="X37" s="1302"/>
      <c r="Y37" s="3624"/>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25" t="s">
        <v>499</v>
      </c>
      <c r="Q38" s="1306">
        <f t="shared" si="8"/>
        <v>111</v>
      </c>
      <c r="R38" s="1307" t="s">
        <v>5</v>
      </c>
      <c r="S38" s="1308">
        <f t="shared" si="9"/>
        <v>100</v>
      </c>
      <c r="T38" s="1307" t="s">
        <v>5</v>
      </c>
      <c r="U38" s="1308">
        <f t="shared" si="10"/>
        <v>100</v>
      </c>
      <c r="V38" s="1307" t="s">
        <v>5</v>
      </c>
      <c r="W38" s="1308">
        <f t="shared" si="11"/>
        <v>100</v>
      </c>
      <c r="X38" s="1302"/>
      <c r="Y38" s="3626"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26"/>
      <c r="Q39" s="1306">
        <f t="shared" si="8"/>
        <v>111</v>
      </c>
      <c r="R39" s="1310" t="s">
        <v>5</v>
      </c>
      <c r="S39" s="1311">
        <f t="shared" si="9"/>
        <v>100</v>
      </c>
      <c r="T39" s="1310" t="s">
        <v>5</v>
      </c>
      <c r="U39" s="1311">
        <f t="shared" si="10"/>
        <v>100</v>
      </c>
      <c r="V39" s="1310" t="s">
        <v>5</v>
      </c>
      <c r="W39" s="1311">
        <f t="shared" si="11"/>
        <v>100</v>
      </c>
      <c r="X39" s="1312"/>
      <c r="Y39" s="3626"/>
      <c r="Z39" s="1313">
        <f t="shared" si="12"/>
        <v>111</v>
      </c>
      <c r="AA39" s="1309">
        <f t="shared" si="3"/>
        <v>1</v>
      </c>
      <c r="AB39" s="1309">
        <f t="shared" si="4"/>
        <v>1</v>
      </c>
      <c r="AC39" s="1309">
        <f t="shared" si="5"/>
        <v>1</v>
      </c>
    </row>
    <row r="40" spans="1:29" ht="20.25">
      <c r="A40" s="2204" t="s">
        <v>2037</v>
      </c>
      <c r="B40" s="544" t="s">
        <v>501</v>
      </c>
      <c r="C40" s="545">
        <f>'数据-汇总表'!D3</f>
        <v>22772.01</v>
      </c>
      <c r="D40" s="546">
        <v>100</v>
      </c>
      <c r="E40" s="545">
        <f>sheet1!E2</f>
        <v>36144.26</v>
      </c>
      <c r="F40" s="546">
        <f>LOOKUP(E40,118:118,119:119)-LOOKUP(C40,118:118,119:119)+100</f>
        <v>100</v>
      </c>
      <c r="G40" s="545">
        <f>sheet1!E18</f>
        <v>34059.19</v>
      </c>
      <c r="H40" s="546">
        <f>LOOKUP(G40,118:118,119:119)-LOOKUP(C40,118:118,119:119)+100</f>
        <v>100</v>
      </c>
      <c r="I40" s="547">
        <f>sheet1!E21</f>
        <v>12305.97</v>
      </c>
      <c r="J40" s="546">
        <f>LOOKUP(I40,118:118,119:119)-LOOKUP(C40,118:118,119:119)+100</f>
        <v>99</v>
      </c>
      <c r="K40" s="531"/>
      <c r="L40" s="1749"/>
      <c r="M40" s="1740"/>
      <c r="N40" s="1740"/>
      <c r="O40" s="1748"/>
      <c r="P40" s="3626"/>
      <c r="Q40" s="1306" t="str">
        <f>B40</f>
        <v>宗地面积</v>
      </c>
      <c r="R40" s="1307" t="s">
        <v>5</v>
      </c>
      <c r="S40" s="1308">
        <f t="shared" si="9"/>
        <v>100</v>
      </c>
      <c r="T40" s="1307" t="s">
        <v>5</v>
      </c>
      <c r="U40" s="1308">
        <f t="shared" si="10"/>
        <v>100</v>
      </c>
      <c r="V40" s="1307" t="s">
        <v>5</v>
      </c>
      <c r="W40" s="1308">
        <f t="shared" si="11"/>
        <v>99</v>
      </c>
      <c r="X40" s="1302"/>
      <c r="Y40" s="3626"/>
      <c r="Z40" s="1309" t="str">
        <f t="shared" si="12"/>
        <v>宗地面积</v>
      </c>
      <c r="AA40" s="1309">
        <f t="shared" si="3"/>
        <v>1</v>
      </c>
      <c r="AB40" s="1309">
        <f t="shared" si="4"/>
        <v>1</v>
      </c>
      <c r="AC40" s="1309">
        <f t="shared" si="5"/>
        <v>1.0101010101010102</v>
      </c>
    </row>
    <row r="41" spans="1:29" ht="20.25">
      <c r="A41" s="543"/>
      <c r="B41" s="477" t="s">
        <v>502</v>
      </c>
      <c r="C41" s="548" t="s">
        <v>3546</v>
      </c>
      <c r="D41" s="490">
        <v>100</v>
      </c>
      <c r="E41" s="548" t="s">
        <v>3546</v>
      </c>
      <c r="F41" s="490">
        <f>SUMIF(120:120,E41,121:121)-SUMIF(120:120,C41,121:121)+100</f>
        <v>100</v>
      </c>
      <c r="G41" s="548" t="s">
        <v>3546</v>
      </c>
      <c r="H41" s="490">
        <f>SUMIF(120:120,G41,121:121)-SUMIF(120:120,C41,121:121)+100</f>
        <v>100</v>
      </c>
      <c r="I41" s="548" t="s">
        <v>3546</v>
      </c>
      <c r="J41" s="490">
        <f>SUMIF(120:120,I41,121:121)-SUMIF(120:120,C41,121:121)+100</f>
        <v>100</v>
      </c>
      <c r="K41" s="533">
        <v>1</v>
      </c>
      <c r="L41" s="1749"/>
      <c r="M41" s="1740"/>
      <c r="N41" s="1740"/>
      <c r="O41" s="1748"/>
      <c r="P41" s="3626"/>
      <c r="Q41" s="1306" t="str">
        <f t="shared" ref="Q41:Q47" si="13">B41</f>
        <v>宗地形状</v>
      </c>
      <c r="R41" s="1307" t="s">
        <v>5</v>
      </c>
      <c r="S41" s="1308">
        <f t="shared" si="9"/>
        <v>100</v>
      </c>
      <c r="T41" s="1307" t="s">
        <v>5</v>
      </c>
      <c r="U41" s="1308">
        <f t="shared" si="10"/>
        <v>100</v>
      </c>
      <c r="V41" s="1307" t="s">
        <v>5</v>
      </c>
      <c r="W41" s="1308">
        <f t="shared" si="11"/>
        <v>100</v>
      </c>
      <c r="X41" s="1302"/>
      <c r="Y41" s="3626"/>
      <c r="Z41" s="1309" t="str">
        <f t="shared" si="12"/>
        <v>宗地形状</v>
      </c>
      <c r="AA41" s="1309">
        <f t="shared" si="3"/>
        <v>1</v>
      </c>
      <c r="AB41" s="1309">
        <f t="shared" si="4"/>
        <v>1</v>
      </c>
      <c r="AC41" s="1309">
        <f t="shared" si="5"/>
        <v>1</v>
      </c>
    </row>
    <row r="42" spans="1:29" ht="20.25">
      <c r="A42" s="543"/>
      <c r="B42" s="477" t="s">
        <v>503</v>
      </c>
      <c r="C42" s="548" t="s">
        <v>3547</v>
      </c>
      <c r="D42" s="490">
        <v>100</v>
      </c>
      <c r="E42" s="548" t="s">
        <v>3547</v>
      </c>
      <c r="F42" s="490">
        <f>SUMIF(122:122,E42,123:123)-SUMIF(122:122,C42,123:123)+100</f>
        <v>100</v>
      </c>
      <c r="G42" s="548" t="s">
        <v>3547</v>
      </c>
      <c r="H42" s="490">
        <f>SUMIF(122:122,G42,123:123)-SUMIF(122:122,C42,123:123)+100</f>
        <v>100</v>
      </c>
      <c r="I42" s="548" t="s">
        <v>3547</v>
      </c>
      <c r="J42" s="490">
        <f>SUMIF(122:122,I42,123:123)-SUMIF(122:122,C42,123:123)+100</f>
        <v>100</v>
      </c>
      <c r="K42" s="533">
        <v>1</v>
      </c>
      <c r="L42" s="1749"/>
      <c r="M42" s="1740"/>
      <c r="N42" s="1740"/>
      <c r="O42" s="1748"/>
      <c r="P42" s="3626"/>
      <c r="Q42" s="1306" t="str">
        <f t="shared" si="13"/>
        <v>临街宽度及深度</v>
      </c>
      <c r="R42" s="1307" t="s">
        <v>5</v>
      </c>
      <c r="S42" s="1308">
        <f t="shared" si="9"/>
        <v>100</v>
      </c>
      <c r="T42" s="1307" t="s">
        <v>5</v>
      </c>
      <c r="U42" s="1308">
        <f t="shared" si="10"/>
        <v>100</v>
      </c>
      <c r="V42" s="1307" t="s">
        <v>5</v>
      </c>
      <c r="W42" s="1308">
        <f t="shared" si="11"/>
        <v>100</v>
      </c>
      <c r="X42" s="1302"/>
      <c r="Y42" s="3626"/>
      <c r="Z42" s="1309" t="str">
        <f t="shared" si="12"/>
        <v>临街宽度及深度</v>
      </c>
      <c r="AA42" s="1309">
        <f t="shared" si="3"/>
        <v>1</v>
      </c>
      <c r="AB42" s="1309">
        <f t="shared" si="4"/>
        <v>1</v>
      </c>
      <c r="AC42" s="1309">
        <f t="shared" si="5"/>
        <v>1</v>
      </c>
    </row>
    <row r="43" spans="1:29" s="1059" customFormat="1" ht="20.25">
      <c r="A43" s="549"/>
      <c r="B43" s="1554" t="s">
        <v>1776</v>
      </c>
      <c r="C43" s="550" t="s">
        <v>3538</v>
      </c>
      <c r="D43" s="235">
        <v>100</v>
      </c>
      <c r="E43" s="550" t="s">
        <v>3538</v>
      </c>
      <c r="F43" s="490">
        <f>SUMIF(124:124,E43,125:125)-SUMIF(124:124,C43,125:125)+100</f>
        <v>100</v>
      </c>
      <c r="G43" s="550" t="s">
        <v>3538</v>
      </c>
      <c r="H43" s="490">
        <f>SUMIF(124:124,G43,125:125)-SUMIF(124:124,C43,125:125)+100</f>
        <v>100</v>
      </c>
      <c r="I43" s="550" t="s">
        <v>3538</v>
      </c>
      <c r="J43" s="490">
        <f>SUMIF(124:124,I43,125:125)-SUMIF(124:124,C43,125:125)+100</f>
        <v>100</v>
      </c>
      <c r="K43" s="533">
        <v>1</v>
      </c>
      <c r="L43" s="1743"/>
      <c r="M43" s="1740"/>
      <c r="N43" s="1740"/>
      <c r="O43" s="1744"/>
      <c r="P43" s="3626"/>
      <c r="Q43" s="1306" t="str">
        <f t="shared" si="13"/>
        <v>宗地开发程度</v>
      </c>
      <c r="R43" s="1303" t="s">
        <v>5</v>
      </c>
      <c r="S43" s="1304">
        <f t="shared" si="9"/>
        <v>100</v>
      </c>
      <c r="T43" s="1303" t="s">
        <v>5</v>
      </c>
      <c r="U43" s="1304">
        <f t="shared" si="10"/>
        <v>100</v>
      </c>
      <c r="V43" s="1303" t="s">
        <v>5</v>
      </c>
      <c r="W43" s="1304">
        <f t="shared" si="11"/>
        <v>100</v>
      </c>
      <c r="X43" s="1305"/>
      <c r="Y43" s="3626"/>
      <c r="Z43" s="996" t="str">
        <f t="shared" si="12"/>
        <v>宗地开发程度</v>
      </c>
      <c r="AA43" s="996">
        <f t="shared" si="3"/>
        <v>1</v>
      </c>
      <c r="AB43" s="996">
        <f t="shared" si="4"/>
        <v>1</v>
      </c>
      <c r="AC43" s="996">
        <f t="shared" si="5"/>
        <v>1</v>
      </c>
    </row>
    <row r="44" spans="1:29" ht="20.25">
      <c r="A44" s="543"/>
      <c r="B44" s="477" t="s">
        <v>504</v>
      </c>
      <c r="C44" s="548" t="s">
        <v>3539</v>
      </c>
      <c r="D44" s="490">
        <v>100</v>
      </c>
      <c r="E44" s="548" t="s">
        <v>3539</v>
      </c>
      <c r="F44" s="490">
        <f>SUMIF(126:126,E44,127:127)-SUMIF(126:126,C44,127:127)+100</f>
        <v>100</v>
      </c>
      <c r="G44" s="548" t="s">
        <v>3539</v>
      </c>
      <c r="H44" s="490">
        <f>SUMIF(126:126,G44,127:127)-SUMIF(126:126,C44,127:127)+100</f>
        <v>100</v>
      </c>
      <c r="I44" s="548" t="s">
        <v>3539</v>
      </c>
      <c r="J44" s="490">
        <f>SUMIF(126:126,I44,127:127)-SUMIF(126:126,C44,127:127)+100</f>
        <v>100</v>
      </c>
      <c r="K44" s="533">
        <v>1</v>
      </c>
      <c r="L44" s="1749"/>
      <c r="M44" s="1740"/>
      <c r="N44" s="1740"/>
      <c r="O44" s="1748"/>
      <c r="P44" s="3626" t="s">
        <v>499</v>
      </c>
      <c r="Q44" s="1306" t="str">
        <f t="shared" si="13"/>
        <v>工程地质条件</v>
      </c>
      <c r="R44" s="1307" t="s">
        <v>5</v>
      </c>
      <c r="S44" s="1308">
        <f t="shared" si="9"/>
        <v>100</v>
      </c>
      <c r="T44" s="1307" t="s">
        <v>5</v>
      </c>
      <c r="U44" s="1308">
        <f t="shared" si="10"/>
        <v>100</v>
      </c>
      <c r="V44" s="1307" t="s">
        <v>5</v>
      </c>
      <c r="W44" s="1308">
        <f t="shared" si="11"/>
        <v>100</v>
      </c>
      <c r="X44" s="1302"/>
      <c r="Y44" s="3626" t="s">
        <v>499</v>
      </c>
      <c r="Z44" s="1309" t="str">
        <f t="shared" si="12"/>
        <v>工程地质条件</v>
      </c>
      <c r="AA44" s="1309">
        <f t="shared" si="3"/>
        <v>1</v>
      </c>
      <c r="AB44" s="1309">
        <f t="shared" si="4"/>
        <v>1</v>
      </c>
      <c r="AC44" s="1309">
        <f t="shared" si="5"/>
        <v>1</v>
      </c>
    </row>
    <row r="45" spans="1:29" ht="20.25">
      <c r="A45" s="543"/>
      <c r="B45" s="3410" t="s">
        <v>3545</v>
      </c>
      <c r="C45" s="3411" t="s">
        <v>3544</v>
      </c>
      <c r="D45" s="490">
        <v>100</v>
      </c>
      <c r="E45" s="3411" t="s">
        <v>3548</v>
      </c>
      <c r="F45" s="490">
        <f>SUMIF(128:128,E45,129:129)-SUMIF(128:128,C45,129:129)+100</f>
        <v>105</v>
      </c>
      <c r="G45" s="3411" t="s">
        <v>3548</v>
      </c>
      <c r="H45" s="490">
        <f>SUMIF(128:128,G45,129:129)-SUMIF(128:128,C45,129:129)+100</f>
        <v>105</v>
      </c>
      <c r="I45" s="3412" t="s">
        <v>3548</v>
      </c>
      <c r="J45" s="490">
        <f>SUMIF(128:128,I45,129:129)-SUMIF(128:128,C45,129:129)+100</f>
        <v>105</v>
      </c>
      <c r="K45" s="531"/>
      <c r="L45" s="1749"/>
      <c r="M45" s="1740"/>
      <c r="N45" s="1740"/>
      <c r="O45" s="1748"/>
      <c r="P45" s="3626"/>
      <c r="Q45" s="1306" t="str">
        <f t="shared" si="13"/>
        <v>不利影响因素</v>
      </c>
      <c r="R45" s="1307" t="s">
        <v>5</v>
      </c>
      <c r="S45" s="1308">
        <f t="shared" si="9"/>
        <v>105</v>
      </c>
      <c r="T45" s="1307" t="s">
        <v>5</v>
      </c>
      <c r="U45" s="1308">
        <f t="shared" si="10"/>
        <v>105</v>
      </c>
      <c r="V45" s="1307" t="s">
        <v>5</v>
      </c>
      <c r="W45" s="1308">
        <f t="shared" si="11"/>
        <v>105</v>
      </c>
      <c r="X45" s="1302"/>
      <c r="Y45" s="3626"/>
      <c r="Z45" s="1309" t="str">
        <f t="shared" si="12"/>
        <v>不利影响因素</v>
      </c>
      <c r="AA45" s="1309">
        <f t="shared" si="3"/>
        <v>0.95238095238095233</v>
      </c>
      <c r="AB45" s="1309">
        <f t="shared" si="4"/>
        <v>0.95238095238095233</v>
      </c>
      <c r="AC45" s="1309">
        <f t="shared" si="5"/>
        <v>0.95238095238095233</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26"/>
      <c r="Q46" s="1306">
        <f t="shared" si="13"/>
        <v>111</v>
      </c>
      <c r="R46" s="1307" t="s">
        <v>5</v>
      </c>
      <c r="S46" s="1308">
        <f t="shared" si="9"/>
        <v>100</v>
      </c>
      <c r="T46" s="1307" t="s">
        <v>5</v>
      </c>
      <c r="U46" s="1308">
        <f t="shared" si="10"/>
        <v>100</v>
      </c>
      <c r="V46" s="1307" t="s">
        <v>5</v>
      </c>
      <c r="W46" s="1308">
        <f t="shared" si="11"/>
        <v>100</v>
      </c>
      <c r="X46" s="1302"/>
      <c r="Y46" s="3626"/>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26"/>
      <c r="Q47" s="1306">
        <f t="shared" si="13"/>
        <v>111</v>
      </c>
      <c r="R47" s="1310" t="s">
        <v>5</v>
      </c>
      <c r="S47" s="1311">
        <f t="shared" si="9"/>
        <v>100</v>
      </c>
      <c r="T47" s="1310" t="s">
        <v>5</v>
      </c>
      <c r="U47" s="1311">
        <f t="shared" si="10"/>
        <v>100</v>
      </c>
      <c r="V47" s="1310" t="s">
        <v>5</v>
      </c>
      <c r="W47" s="1311">
        <f t="shared" si="11"/>
        <v>100</v>
      </c>
      <c r="X47" s="1312"/>
      <c r="Y47" s="3626"/>
      <c r="Z47" s="1313">
        <f t="shared" si="12"/>
        <v>111</v>
      </c>
      <c r="AA47" s="1309">
        <f t="shared" si="3"/>
        <v>1</v>
      </c>
      <c r="AB47" s="1309">
        <f t="shared" si="4"/>
        <v>1</v>
      </c>
      <c r="AC47" s="1309">
        <f t="shared" si="5"/>
        <v>1</v>
      </c>
    </row>
    <row r="48" spans="1:29" ht="20.25">
      <c r="A48" s="556" t="s">
        <v>505</v>
      </c>
      <c r="B48" s="557" t="s">
        <v>3575</v>
      </c>
      <c r="C48" s="558" t="s">
        <v>0</v>
      </c>
      <c r="D48" s="559"/>
      <c r="E48" s="560">
        <f>sheet1!Q2</f>
        <v>2500</v>
      </c>
      <c r="F48" s="561"/>
      <c r="G48" s="562">
        <f>sheet1!Q18</f>
        <v>2344</v>
      </c>
      <c r="H48" s="563"/>
      <c r="I48" s="560">
        <f>sheet1!Q21</f>
        <v>2200</v>
      </c>
      <c r="J48" s="563"/>
      <c r="K48" s="1134"/>
      <c r="L48" s="1751"/>
      <c r="M48" s="1740"/>
      <c r="N48" s="1740"/>
      <c r="O48" s="1742"/>
      <c r="P48" s="3590" t="str">
        <f>A48</f>
        <v>成交单价</v>
      </c>
      <c r="Q48" s="3590"/>
      <c r="R48" s="3591">
        <f>E48</f>
        <v>2500</v>
      </c>
      <c r="S48" s="3591"/>
      <c r="T48" s="3591">
        <f>G48</f>
        <v>2344</v>
      </c>
      <c r="U48" s="3591"/>
      <c r="V48" s="3591">
        <f>I48</f>
        <v>2200</v>
      </c>
      <c r="W48" s="3591"/>
      <c r="X48" s="799"/>
      <c r="Y48" s="1314"/>
      <c r="Z48" s="799"/>
      <c r="AA48" s="799"/>
      <c r="AB48" s="799"/>
      <c r="AC48" s="799"/>
    </row>
    <row r="49" spans="1:29" ht="21" thickBot="1">
      <c r="A49" s="564" t="s">
        <v>1975</v>
      </c>
      <c r="B49" s="565"/>
      <c r="C49" s="566">
        <f>R50</f>
        <v>1701</v>
      </c>
      <c r="D49" s="2550" t="s">
        <v>2251</v>
      </c>
      <c r="E49" s="566">
        <f>R49</f>
        <v>1810</v>
      </c>
      <c r="F49" s="2551"/>
      <c r="G49" s="567">
        <f>T49</f>
        <v>1690</v>
      </c>
      <c r="H49" s="2551"/>
      <c r="I49" s="566">
        <f>V49</f>
        <v>1602</v>
      </c>
      <c r="J49" s="2551"/>
      <c r="K49" s="2552">
        <f>F49+H49+J49</f>
        <v>0</v>
      </c>
      <c r="L49" s="1751"/>
      <c r="M49" s="1740"/>
      <c r="N49" s="1740"/>
      <c r="O49" s="1742"/>
      <c r="P49" s="3590" t="str">
        <f>A49</f>
        <v>比较价格（元/平方米）</v>
      </c>
      <c r="Q49" s="3590"/>
      <c r="R49" s="3592">
        <f>ROUND(PRODUCT(R48,AA9:AA47),0)</f>
        <v>1810</v>
      </c>
      <c r="S49" s="3592"/>
      <c r="T49" s="3592">
        <f>ROUND(PRODUCT(T48,AB9:AB47),0)</f>
        <v>1690</v>
      </c>
      <c r="U49" s="3592"/>
      <c r="V49" s="3592">
        <f>ROUND(PRODUCT(V48,AC9:AC47),0)</f>
        <v>1602</v>
      </c>
      <c r="W49" s="3592"/>
      <c r="X49" s="799"/>
      <c r="Y49" s="799"/>
      <c r="Z49" s="799"/>
      <c r="AA49" s="799"/>
      <c r="AB49" s="799"/>
      <c r="AC49" s="799"/>
    </row>
    <row r="50" spans="1:29" ht="21" thickBot="1">
      <c r="A50" s="568" t="s">
        <v>2188</v>
      </c>
      <c r="B50" s="569"/>
      <c r="C50" s="570">
        <f>R50</f>
        <v>1701</v>
      </c>
      <c r="D50" s="570"/>
      <c r="E50" s="570"/>
      <c r="F50" s="570"/>
      <c r="G50" s="570"/>
      <c r="H50" s="570"/>
      <c r="I50" s="570"/>
      <c r="J50" s="570"/>
      <c r="K50" s="1135"/>
      <c r="L50" s="1751"/>
      <c r="M50" s="1740"/>
      <c r="N50" s="1740"/>
      <c r="O50" s="1742"/>
      <c r="P50" s="3627" t="str">
        <f>A50</f>
        <v>估价对象XX用房的比较价格（楼面单价，元/平方米）</v>
      </c>
      <c r="Q50" s="3628"/>
      <c r="R50" s="3589">
        <f>ROUND(IF(D49="简单平均",AVERAGE(R49:W49),R49*F49+T49*H49+V49*J49),0)</f>
        <v>1701</v>
      </c>
      <c r="S50" s="3589"/>
      <c r="T50" s="3589"/>
      <c r="U50" s="3589"/>
      <c r="V50" s="3589"/>
      <c r="W50" s="3589"/>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0.38121546961325969</v>
      </c>
      <c r="F53" s="574" t="str">
        <f>IF(OR(E53&gt;=0.3,E53&lt;=-0.3),"超过30%","")</f>
        <v>超过30%</v>
      </c>
      <c r="G53" s="573">
        <f>IF(G48&lt;G49,G49/G48-1,G48/G49-1)</f>
        <v>0.38698224852070995</v>
      </c>
      <c r="H53" s="574" t="str">
        <f>IF(OR(G53&gt;=0.3,G53&lt;=-0.3),"超过30%","")</f>
        <v>超过30%</v>
      </c>
      <c r="I53" s="573">
        <f>IF(I48&lt;I49,I49/I48-1,I48/I49-1)</f>
        <v>0.37328339575530589</v>
      </c>
      <c r="J53" s="574" t="str">
        <f>IF(OR(I53&gt;=0.3,I53&lt;=-0.3),"超过30%","")</f>
        <v>超过30%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7.1005917159763232E-2</v>
      </c>
      <c r="F54" s="574" t="str">
        <f>IF(OR(E54&gt;=0.2,E54&lt;=-0.2),"超过20%","")</f>
        <v/>
      </c>
      <c r="G54" s="573">
        <f>IF(G49&lt;I49,I49/G49-1,G49/I49-1)</f>
        <v>5.4931335830212147E-2</v>
      </c>
      <c r="H54" s="574" t="str">
        <f>IF(OR(G54&gt;=0.2,G54&lt;=-0.2),"超过20%","")</f>
        <v/>
      </c>
      <c r="I54" s="573">
        <f>IF(I49&lt;E49,E49/I49-1,I49/E49-1)</f>
        <v>0.12983770287141083</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6.6552901023890776E-2</v>
      </c>
      <c r="F55" s="574" t="str">
        <f>IF(OR(E55&gt;=0.3,E55&lt;=-0.3),"超过30%","")</f>
        <v/>
      </c>
      <c r="G55" s="573">
        <f>IF(G48&lt;I48,I48/G48-1,G48/I48-1)</f>
        <v>6.5454545454545432E-2</v>
      </c>
      <c r="H55" s="574" t="str">
        <f>IF(OR(G55&gt;=0.3,G55&lt;=-0.3),"超过30%","")</f>
        <v/>
      </c>
      <c r="I55" s="573">
        <f>IF(I48&lt;E48,E48/I48-1,I48/E48-1)</f>
        <v>0.13636363636363646</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16" t="s">
        <v>1639</v>
      </c>
      <c r="H57" s="3617"/>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1701</v>
      </c>
      <c r="C58" s="582">
        <v>1</v>
      </c>
      <c r="D58" s="1822">
        <v>1</v>
      </c>
      <c r="E58" s="582">
        <f>'数据-汇总表'!E8+'数据-汇总表'!E9</f>
        <v>40989</v>
      </c>
      <c r="F58" s="583">
        <f t="shared" ref="F58:F66" si="14">ROUND(B58*E58/10000,0)</f>
        <v>6972</v>
      </c>
      <c r="G58" s="3618"/>
      <c r="H58" s="3619"/>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40989</v>
      </c>
      <c r="F67" s="591">
        <f>IF(B48="楼面地价",SUM(F58:F66),ROUND(C50*E67/10000,0))</f>
        <v>6972</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2025-6-1</v>
      </c>
      <c r="D69" s="2111">
        <f>EDATE(C69,-3)</f>
        <v>45717</v>
      </c>
      <c r="E69" s="2111">
        <f t="shared" ref="E69:N69" si="17">EDATE(D69,-3)</f>
        <v>45627</v>
      </c>
      <c r="F69" s="2111">
        <f t="shared" si="17"/>
        <v>45536</v>
      </c>
      <c r="G69" s="2111">
        <f t="shared" si="17"/>
        <v>45444</v>
      </c>
      <c r="H69" s="2111">
        <f t="shared" si="17"/>
        <v>45352</v>
      </c>
      <c r="I69" s="2111">
        <f t="shared" si="17"/>
        <v>45261</v>
      </c>
      <c r="J69" s="2111">
        <f t="shared" si="17"/>
        <v>45170</v>
      </c>
      <c r="K69" s="2111">
        <f t="shared" si="17"/>
        <v>45078</v>
      </c>
      <c r="L69" s="2111">
        <f t="shared" si="17"/>
        <v>44986</v>
      </c>
      <c r="M69" s="2111">
        <f t="shared" si="17"/>
        <v>44896</v>
      </c>
      <c r="N69" s="2111">
        <f t="shared" si="17"/>
        <v>44805</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f>C72+$C$73</f>
        <v>100.2</v>
      </c>
      <c r="E72" s="79">
        <f t="shared" ref="E72:N72" si="19">D72+$C$73</f>
        <v>100.4</v>
      </c>
      <c r="F72" s="79">
        <f t="shared" si="19"/>
        <v>100.60000000000001</v>
      </c>
      <c r="G72" s="79">
        <f t="shared" si="19"/>
        <v>100.80000000000001</v>
      </c>
      <c r="H72" s="79">
        <f t="shared" si="19"/>
        <v>101.00000000000001</v>
      </c>
      <c r="I72" s="79">
        <f t="shared" si="19"/>
        <v>101.20000000000002</v>
      </c>
      <c r="J72" s="79">
        <f t="shared" si="19"/>
        <v>101.40000000000002</v>
      </c>
      <c r="K72" s="79">
        <f t="shared" si="19"/>
        <v>101.60000000000002</v>
      </c>
      <c r="L72" s="79">
        <f t="shared" si="19"/>
        <v>101.80000000000003</v>
      </c>
      <c r="M72" s="79">
        <f t="shared" si="19"/>
        <v>102.00000000000003</v>
      </c>
      <c r="N72" s="79">
        <f t="shared" si="19"/>
        <v>102.20000000000003</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599">
        <v>0.2</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3" t="s">
        <v>3572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20">D81&amp;"（含）"&amp;"-"&amp;E81</f>
        <v>0.5（含）-1</v>
      </c>
      <c r="E80" s="624" t="str">
        <f t="shared" si="20"/>
        <v>1（含）-1.5</v>
      </c>
      <c r="F80" s="624" t="str">
        <f t="shared" si="20"/>
        <v>1.5（含）-2</v>
      </c>
      <c r="G80" s="624" t="str">
        <f t="shared" si="20"/>
        <v>2（含）-2.5</v>
      </c>
      <c r="H80" s="624" t="str">
        <f t="shared" si="20"/>
        <v>2.5（含）-3</v>
      </c>
      <c r="I80" s="624" t="str">
        <f t="shared" si="20"/>
        <v>3（含）-3.5</v>
      </c>
      <c r="J80" s="624" t="str">
        <f t="shared" si="20"/>
        <v>3.5（含）-4</v>
      </c>
      <c r="K80" s="624" t="str">
        <f t="shared" si="20"/>
        <v>4（含）-4.5</v>
      </c>
      <c r="L80" s="624" t="str">
        <f t="shared" si="20"/>
        <v>4.5（含）-5</v>
      </c>
      <c r="M80" s="505" t="str">
        <f>M81&amp;"（含）"&amp;"-"&amp;P81</f>
        <v>5（含）-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v>3.5</v>
      </c>
      <c r="K81" s="491">
        <v>4</v>
      </c>
      <c r="L81" s="491">
        <v>4.5</v>
      </c>
      <c r="M81" s="491">
        <v>5</v>
      </c>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97</v>
      </c>
      <c r="E104" s="621">
        <f>D104-$K31</f>
        <v>94</v>
      </c>
      <c r="F104" s="621">
        <f>E104-$K31</f>
        <v>91</v>
      </c>
      <c r="G104" s="621">
        <f>F104-$K31</f>
        <v>88</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v>150000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42">
        <v>102</v>
      </c>
      <c r="F119" s="666">
        <v>103</v>
      </c>
      <c r="G119" s="642">
        <v>104</v>
      </c>
      <c r="H119" s="666">
        <v>105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8" t="s">
        <v>3540</v>
      </c>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9" t="s">
        <v>3541</v>
      </c>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t="s">
        <v>1501</v>
      </c>
      <c r="D124" s="1166"/>
      <c r="E124" s="1166"/>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9" t="s">
        <v>3542</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t="str">
        <f>B45</f>
        <v>不利影响因素</v>
      </c>
      <c r="C128" s="3409" t="s">
        <v>3543</v>
      </c>
      <c r="D128" s="3409" t="s">
        <v>3544</v>
      </c>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95</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5" t="str">
        <f>项目基本情况!B1</f>
        <v>出让国有建设用地使用权抵押价格预评估</v>
      </c>
      <c r="C37" s="3415"/>
      <c r="D37" s="3415"/>
      <c r="E37" s="3415"/>
      <c r="F37" s="3415"/>
      <c r="G37" s="3415"/>
      <c r="H37" s="3415"/>
      <c r="I37" s="3415"/>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596" t="s">
        <v>471</v>
      </c>
      <c r="D6" s="3597"/>
      <c r="E6" s="3631" t="s">
        <v>472</v>
      </c>
      <c r="F6" s="3632"/>
      <c r="G6" s="3596" t="s">
        <v>473</v>
      </c>
      <c r="H6" s="3597"/>
      <c r="I6" s="3596" t="s">
        <v>474</v>
      </c>
      <c r="J6" s="3597"/>
      <c r="K6" s="465" t="s">
        <v>475</v>
      </c>
      <c r="L6" s="1741"/>
      <c r="M6" s="1742"/>
      <c r="N6" s="1742"/>
      <c r="O6" s="1742"/>
      <c r="P6" s="3598" t="s">
        <v>476</v>
      </c>
      <c r="Q6" s="3599"/>
      <c r="R6" s="3604" t="s">
        <v>472</v>
      </c>
      <c r="S6" s="3605"/>
      <c r="T6" s="3604" t="s">
        <v>473</v>
      </c>
      <c r="U6" s="3605"/>
      <c r="V6" s="3591" t="s">
        <v>474</v>
      </c>
      <c r="W6" s="3591"/>
      <c r="X6" s="1302"/>
      <c r="Y6" s="3604" t="s">
        <v>476</v>
      </c>
      <c r="Z6" s="3605"/>
      <c r="AA6" s="3593" t="s">
        <v>472</v>
      </c>
      <c r="AB6" s="3594" t="s">
        <v>473</v>
      </c>
      <c r="AC6" s="3593" t="s">
        <v>474</v>
      </c>
    </row>
    <row r="7" spans="1:29" ht="15">
      <c r="A7" s="466"/>
      <c r="B7" s="467"/>
      <c r="C7" s="3612" t="s">
        <v>2182</v>
      </c>
      <c r="D7" s="3613"/>
      <c r="E7" s="3633" t="s">
        <v>2183</v>
      </c>
      <c r="F7" s="3634"/>
      <c r="G7" s="3612" t="s">
        <v>2184</v>
      </c>
      <c r="H7" s="3613"/>
      <c r="I7" s="3612" t="s">
        <v>2185</v>
      </c>
      <c r="J7" s="3613"/>
      <c r="K7" s="465"/>
      <c r="L7" s="1741"/>
      <c r="M7" s="1742"/>
      <c r="N7" s="1742"/>
      <c r="O7" s="1742"/>
      <c r="P7" s="3600"/>
      <c r="Q7" s="3601"/>
      <c r="R7" s="3606"/>
      <c r="S7" s="3607"/>
      <c r="T7" s="3606"/>
      <c r="U7" s="3607"/>
      <c r="V7" s="3591"/>
      <c r="W7" s="3591"/>
      <c r="X7" s="1302"/>
      <c r="Y7" s="3606"/>
      <c r="Z7" s="3607"/>
      <c r="AA7" s="3594"/>
      <c r="AB7" s="3594"/>
      <c r="AC7" s="3594"/>
    </row>
    <row r="8" spans="1:29" ht="15.75" thickBot="1">
      <c r="A8" s="468"/>
      <c r="B8" s="469"/>
      <c r="C8" s="3610" t="s">
        <v>2186</v>
      </c>
      <c r="D8" s="3611"/>
      <c r="E8" s="3629" t="s">
        <v>2186</v>
      </c>
      <c r="F8" s="3630"/>
      <c r="G8" s="3610" t="s">
        <v>2186</v>
      </c>
      <c r="H8" s="3611"/>
      <c r="I8" s="3610" t="s">
        <v>2186</v>
      </c>
      <c r="J8" s="3611"/>
      <c r="K8" s="465" t="s">
        <v>477</v>
      </c>
      <c r="L8" s="1741"/>
      <c r="M8" s="1742"/>
      <c r="N8" s="1742"/>
      <c r="O8" s="1742"/>
      <c r="P8" s="3602"/>
      <c r="Q8" s="3603"/>
      <c r="R8" s="3606"/>
      <c r="S8" s="3607"/>
      <c r="T8" s="3608"/>
      <c r="U8" s="3609"/>
      <c r="V8" s="3591"/>
      <c r="W8" s="3591"/>
      <c r="X8" s="1302"/>
      <c r="Y8" s="3608"/>
      <c r="Z8" s="3609"/>
      <c r="AA8" s="3595"/>
      <c r="AB8" s="3595"/>
      <c r="AC8" s="3595"/>
    </row>
    <row r="9" spans="1:29" s="1059" customFormat="1" ht="15.75" thickBot="1">
      <c r="A9" s="2209"/>
      <c r="B9" s="2216" t="s">
        <v>478</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20" t="s">
        <v>479</v>
      </c>
      <c r="Q9" s="3622"/>
      <c r="R9" s="1303" t="s">
        <v>5</v>
      </c>
      <c r="S9" s="1304">
        <f t="shared" ref="S9:S17" si="0">F9</f>
        <v>0</v>
      </c>
      <c r="T9" s="1303" t="s">
        <v>5</v>
      </c>
      <c r="U9" s="1304">
        <f t="shared" ref="U9:U17" si="1">H9</f>
        <v>0</v>
      </c>
      <c r="V9" s="1303" t="s">
        <v>5</v>
      </c>
      <c r="W9" s="1304">
        <f t="shared" ref="W9:W17" si="2">J9</f>
        <v>0</v>
      </c>
      <c r="X9" s="1305"/>
      <c r="Y9" s="3620" t="s">
        <v>479</v>
      </c>
      <c r="Z9" s="3621"/>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20" t="s">
        <v>482</v>
      </c>
      <c r="Q10" s="3621"/>
      <c r="R10" s="1303" t="s">
        <v>5</v>
      </c>
      <c r="S10" s="1304">
        <f t="shared" si="0"/>
        <v>0</v>
      </c>
      <c r="T10" s="1303" t="s">
        <v>5</v>
      </c>
      <c r="U10" s="1304">
        <f t="shared" si="1"/>
        <v>0</v>
      </c>
      <c r="V10" s="1303" t="s">
        <v>5</v>
      </c>
      <c r="W10" s="1304">
        <f t="shared" si="2"/>
        <v>0</v>
      </c>
      <c r="X10" s="1305"/>
      <c r="Y10" s="3620" t="s">
        <v>482</v>
      </c>
      <c r="Z10" s="3621"/>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90" t="s">
        <v>484</v>
      </c>
      <c r="Q11" s="817" t="str">
        <f t="shared" ref="Q11:Q17" si="6">B11</f>
        <v>用途</v>
      </c>
      <c r="R11" s="1303" t="s">
        <v>5</v>
      </c>
      <c r="S11" s="1304">
        <f t="shared" si="0"/>
        <v>100</v>
      </c>
      <c r="T11" s="1303" t="s">
        <v>5</v>
      </c>
      <c r="U11" s="1304">
        <f t="shared" si="1"/>
        <v>100</v>
      </c>
      <c r="V11" s="1303" t="s">
        <v>5</v>
      </c>
      <c r="W11" s="1304">
        <f t="shared" si="2"/>
        <v>100</v>
      </c>
      <c r="X11" s="1305"/>
      <c r="Y11" s="3534"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590"/>
      <c r="Q12" s="817" t="str">
        <f t="shared" si="6"/>
        <v>土地使用年限（年）</v>
      </c>
      <c r="R12" s="1303" t="s">
        <v>5</v>
      </c>
      <c r="S12" s="1304">
        <f t="shared" si="0"/>
        <v>100</v>
      </c>
      <c r="T12" s="1303" t="s">
        <v>5</v>
      </c>
      <c r="U12" s="1304">
        <f t="shared" si="1"/>
        <v>100</v>
      </c>
      <c r="V12" s="1303" t="s">
        <v>5</v>
      </c>
      <c r="W12" s="1304">
        <f t="shared" si="2"/>
        <v>100</v>
      </c>
      <c r="X12" s="1305"/>
      <c r="Y12" s="3534"/>
      <c r="Z12" s="996" t="str">
        <f t="shared" si="7"/>
        <v>土地使用年限（年）</v>
      </c>
      <c r="AA12" s="996">
        <f t="shared" si="3"/>
        <v>1</v>
      </c>
      <c r="AB12" s="996">
        <f t="shared" si="4"/>
        <v>1</v>
      </c>
      <c r="AC12" s="996">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90"/>
      <c r="Q13" s="817" t="str">
        <f t="shared" si="6"/>
        <v>容积率</v>
      </c>
      <c r="R13" s="1303" t="s">
        <v>5</v>
      </c>
      <c r="S13" s="1304" t="e">
        <f t="shared" si="0"/>
        <v>#N/A</v>
      </c>
      <c r="T13" s="1303" t="s">
        <v>5</v>
      </c>
      <c r="U13" s="1304" t="e">
        <f t="shared" si="1"/>
        <v>#N/A</v>
      </c>
      <c r="V13" s="1303" t="s">
        <v>5</v>
      </c>
      <c r="W13" s="1304" t="e">
        <f t="shared" si="2"/>
        <v>#N/A</v>
      </c>
      <c r="X13" s="1305"/>
      <c r="Y13" s="3534"/>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90"/>
      <c r="Q14" s="817">
        <f t="shared" si="6"/>
        <v>111</v>
      </c>
      <c r="R14" s="1303" t="s">
        <v>5</v>
      </c>
      <c r="S14" s="1304">
        <f t="shared" si="0"/>
        <v>100</v>
      </c>
      <c r="T14" s="1303" t="s">
        <v>5</v>
      </c>
      <c r="U14" s="1304">
        <f t="shared" si="1"/>
        <v>100</v>
      </c>
      <c r="V14" s="1303" t="s">
        <v>5</v>
      </c>
      <c r="W14" s="1304">
        <f t="shared" si="2"/>
        <v>100</v>
      </c>
      <c r="X14" s="1305"/>
      <c r="Y14" s="3534"/>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90"/>
      <c r="Q15" s="817">
        <f t="shared" si="6"/>
        <v>111</v>
      </c>
      <c r="R15" s="1303" t="s">
        <v>5</v>
      </c>
      <c r="S15" s="1304">
        <f t="shared" si="0"/>
        <v>100</v>
      </c>
      <c r="T15" s="1303" t="s">
        <v>5</v>
      </c>
      <c r="U15" s="1304">
        <f t="shared" si="1"/>
        <v>100</v>
      </c>
      <c r="V15" s="1303" t="s">
        <v>5</v>
      </c>
      <c r="W15" s="1304">
        <f t="shared" si="2"/>
        <v>100</v>
      </c>
      <c r="X15" s="1305"/>
      <c r="Y15" s="3534"/>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90"/>
      <c r="Q16" s="817">
        <f t="shared" si="6"/>
        <v>111</v>
      </c>
      <c r="R16" s="1303" t="s">
        <v>5</v>
      </c>
      <c r="S16" s="1304">
        <f t="shared" si="0"/>
        <v>100</v>
      </c>
      <c r="T16" s="1303" t="s">
        <v>5</v>
      </c>
      <c r="U16" s="1304">
        <f t="shared" si="1"/>
        <v>100</v>
      </c>
      <c r="V16" s="1303" t="s">
        <v>5</v>
      </c>
      <c r="W16" s="1304">
        <f t="shared" si="2"/>
        <v>100</v>
      </c>
      <c r="X16" s="1305"/>
      <c r="Y16" s="3534"/>
      <c r="Z16" s="996">
        <f t="shared" si="7"/>
        <v>111</v>
      </c>
      <c r="AA16" s="996">
        <f t="shared" si="3"/>
        <v>1</v>
      </c>
      <c r="AB16" s="996">
        <f t="shared" si="4"/>
        <v>1</v>
      </c>
      <c r="AC16" s="996">
        <f t="shared" si="5"/>
        <v>1</v>
      </c>
    </row>
    <row r="17" spans="1:29" ht="15">
      <c r="A17" s="2207"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23" t="s">
        <v>489</v>
      </c>
      <c r="Q17" s="1306" t="str">
        <f t="shared" si="6"/>
        <v>产业集聚程度</v>
      </c>
      <c r="R17" s="1307" t="s">
        <v>5</v>
      </c>
      <c r="S17" s="1308">
        <f t="shared" si="0"/>
        <v>100</v>
      </c>
      <c r="T17" s="1307" t="s">
        <v>5</v>
      </c>
      <c r="U17" s="1308">
        <f t="shared" si="1"/>
        <v>100</v>
      </c>
      <c r="V17" s="1307" t="s">
        <v>5</v>
      </c>
      <c r="W17" s="1308">
        <f t="shared" si="2"/>
        <v>100</v>
      </c>
      <c r="X17" s="1302"/>
      <c r="Y17" s="3623"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24"/>
      <c r="Q18" s="1306"/>
      <c r="R18" s="1307"/>
      <c r="S18" s="1308"/>
      <c r="T18" s="1307"/>
      <c r="U18" s="1308"/>
      <c r="V18" s="1307"/>
      <c r="W18" s="1308"/>
      <c r="X18" s="1302"/>
      <c r="Y18" s="3624"/>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24"/>
      <c r="Q19" s="1306" t="str">
        <f>B19</f>
        <v>交通便捷度</v>
      </c>
      <c r="R19" s="1307" t="s">
        <v>5</v>
      </c>
      <c r="S19" s="1308">
        <f>F19</f>
        <v>100</v>
      </c>
      <c r="T19" s="1307" t="s">
        <v>5</v>
      </c>
      <c r="U19" s="1308">
        <f>H19</f>
        <v>100</v>
      </c>
      <c r="V19" s="1307" t="s">
        <v>5</v>
      </c>
      <c r="W19" s="1308">
        <f>J19</f>
        <v>100</v>
      </c>
      <c r="X19" s="1302"/>
      <c r="Y19" s="3624"/>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24"/>
      <c r="Q20" s="1306"/>
      <c r="R20" s="1307"/>
      <c r="S20" s="1308"/>
      <c r="T20" s="1307"/>
      <c r="U20" s="1308"/>
      <c r="V20" s="1307"/>
      <c r="W20" s="1308"/>
      <c r="X20" s="1302"/>
      <c r="Y20" s="3624"/>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24"/>
      <c r="Q21" s="1306" t="str">
        <f t="shared" ref="Q21:Q35" si="8">B21</f>
        <v>区域土地利用方向</v>
      </c>
      <c r="R21" s="1307" t="s">
        <v>5</v>
      </c>
      <c r="S21" s="1308">
        <f>F21</f>
        <v>100</v>
      </c>
      <c r="T21" s="1307" t="s">
        <v>5</v>
      </c>
      <c r="U21" s="1308">
        <f>H21</f>
        <v>100</v>
      </c>
      <c r="V21" s="1307" t="s">
        <v>5</v>
      </c>
      <c r="W21" s="1308">
        <f>J21</f>
        <v>100</v>
      </c>
      <c r="X21" s="1302"/>
      <c r="Y21" s="3624"/>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24"/>
      <c r="Q22" s="1306"/>
      <c r="R22" s="1307"/>
      <c r="S22" s="1308"/>
      <c r="T22" s="1307"/>
      <c r="U22" s="1308"/>
      <c r="V22" s="1307"/>
      <c r="W22" s="1308"/>
      <c r="X22" s="1302"/>
      <c r="Y22" s="3624"/>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24"/>
      <c r="Q23" s="1306" t="str">
        <f t="shared" si="8"/>
        <v>环境状况</v>
      </c>
      <c r="R23" s="1307" t="s">
        <v>5</v>
      </c>
      <c r="S23" s="1308">
        <f>F23</f>
        <v>100</v>
      </c>
      <c r="T23" s="1307" t="s">
        <v>5</v>
      </c>
      <c r="U23" s="1308">
        <f>H23</f>
        <v>100</v>
      </c>
      <c r="V23" s="1307" t="s">
        <v>5</v>
      </c>
      <c r="W23" s="1308">
        <f>J23</f>
        <v>100</v>
      </c>
      <c r="X23" s="1302"/>
      <c r="Y23" s="3624"/>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24"/>
      <c r="Q24" s="1306"/>
      <c r="R24" s="1307"/>
      <c r="S24" s="1308"/>
      <c r="T24" s="1307"/>
      <c r="U24" s="1308"/>
      <c r="V24" s="1307"/>
      <c r="W24" s="1308"/>
      <c r="X24" s="1302"/>
      <c r="Y24" s="3624"/>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24"/>
      <c r="Q25" s="817" t="str">
        <f t="shared" si="8"/>
        <v>公共配套设施</v>
      </c>
      <c r="R25" s="1303" t="s">
        <v>5</v>
      </c>
      <c r="S25" s="1304">
        <f>F25</f>
        <v>100</v>
      </c>
      <c r="T25" s="1303" t="s">
        <v>5</v>
      </c>
      <c r="U25" s="1304">
        <f>H25</f>
        <v>100</v>
      </c>
      <c r="V25" s="1303" t="s">
        <v>5</v>
      </c>
      <c r="W25" s="1304">
        <f>J25</f>
        <v>100</v>
      </c>
      <c r="X25" s="1305"/>
      <c r="Y25" s="3624"/>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24"/>
      <c r="Q26" s="817"/>
      <c r="R26" s="1303"/>
      <c r="S26" s="1304"/>
      <c r="T26" s="1303"/>
      <c r="U26" s="1304"/>
      <c r="V26" s="1303"/>
      <c r="W26" s="1304"/>
      <c r="X26" s="1305"/>
      <c r="Y26" s="3624"/>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24"/>
      <c r="Q27" s="817" t="str">
        <f>B27</f>
        <v>基础设施水平</v>
      </c>
      <c r="R27" s="1303" t="s">
        <v>5</v>
      </c>
      <c r="S27" s="1304">
        <f>F27</f>
        <v>100</v>
      </c>
      <c r="T27" s="1303" t="s">
        <v>5</v>
      </c>
      <c r="U27" s="1304">
        <f>H27</f>
        <v>100</v>
      </c>
      <c r="V27" s="1303" t="s">
        <v>5</v>
      </c>
      <c r="W27" s="1304">
        <f>J27</f>
        <v>100</v>
      </c>
      <c r="X27" s="1305"/>
      <c r="Y27" s="3624"/>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24"/>
      <c r="Q28" s="817"/>
      <c r="R28" s="1303"/>
      <c r="S28" s="1304"/>
      <c r="T28" s="1303"/>
      <c r="U28" s="1304"/>
      <c r="V28" s="1303"/>
      <c r="W28" s="1304"/>
      <c r="X28" s="1305"/>
      <c r="Y28" s="3624"/>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24"/>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24"/>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24"/>
      <c r="Q30" s="1306" t="str">
        <f t="shared" si="8"/>
        <v>毗邻道路的类型与等级</v>
      </c>
      <c r="R30" s="1307" t="s">
        <v>5</v>
      </c>
      <c r="S30" s="1308">
        <f t="shared" si="9"/>
        <v>100</v>
      </c>
      <c r="T30" s="1307" t="s">
        <v>5</v>
      </c>
      <c r="U30" s="1308">
        <f t="shared" si="10"/>
        <v>100</v>
      </c>
      <c r="V30" s="1307" t="s">
        <v>5</v>
      </c>
      <c r="W30" s="1308">
        <f t="shared" si="11"/>
        <v>100</v>
      </c>
      <c r="X30" s="1302"/>
      <c r="Y30" s="3624"/>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24"/>
      <c r="Q31" s="1306"/>
      <c r="R31" s="1307"/>
      <c r="S31" s="1308"/>
      <c r="T31" s="1307"/>
      <c r="U31" s="1308"/>
      <c r="V31" s="1307"/>
      <c r="W31" s="1308"/>
      <c r="X31" s="1302"/>
      <c r="Y31" s="3624"/>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24"/>
      <c r="Q32" s="1306" t="str">
        <f t="shared" si="8"/>
        <v>土地级别</v>
      </c>
      <c r="R32" s="1307" t="s">
        <v>5</v>
      </c>
      <c r="S32" s="1308">
        <f t="shared" si="9"/>
        <v>100</v>
      </c>
      <c r="T32" s="1307" t="s">
        <v>5</v>
      </c>
      <c r="U32" s="1308">
        <f t="shared" si="10"/>
        <v>100</v>
      </c>
      <c r="V32" s="1307" t="s">
        <v>5</v>
      </c>
      <c r="W32" s="1308">
        <f t="shared" si="11"/>
        <v>100</v>
      </c>
      <c r="X32" s="1302"/>
      <c r="Y32" s="3624"/>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24"/>
      <c r="Q33" s="1306">
        <f t="shared" si="8"/>
        <v>111</v>
      </c>
      <c r="R33" s="1307" t="s">
        <v>5</v>
      </c>
      <c r="S33" s="1308">
        <f t="shared" si="9"/>
        <v>100</v>
      </c>
      <c r="T33" s="1307" t="s">
        <v>5</v>
      </c>
      <c r="U33" s="1308">
        <f t="shared" si="10"/>
        <v>100</v>
      </c>
      <c r="V33" s="1307" t="s">
        <v>5</v>
      </c>
      <c r="W33" s="1308">
        <f t="shared" si="11"/>
        <v>100</v>
      </c>
      <c r="X33" s="1302"/>
      <c r="Y33" s="3624"/>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25" t="s">
        <v>499</v>
      </c>
      <c r="Q34" s="1306">
        <f t="shared" si="8"/>
        <v>111</v>
      </c>
      <c r="R34" s="1307" t="s">
        <v>5</v>
      </c>
      <c r="S34" s="1308">
        <f t="shared" si="9"/>
        <v>100</v>
      </c>
      <c r="T34" s="1307" t="s">
        <v>5</v>
      </c>
      <c r="U34" s="1308">
        <f t="shared" si="10"/>
        <v>100</v>
      </c>
      <c r="V34" s="1307" t="s">
        <v>5</v>
      </c>
      <c r="W34" s="1308">
        <f t="shared" si="11"/>
        <v>100</v>
      </c>
      <c r="X34" s="1302"/>
      <c r="Y34" s="3626"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26"/>
      <c r="Q35" s="1306">
        <f t="shared" si="8"/>
        <v>111</v>
      </c>
      <c r="R35" s="1310" t="s">
        <v>5</v>
      </c>
      <c r="S35" s="1311">
        <f t="shared" si="9"/>
        <v>100</v>
      </c>
      <c r="T35" s="1310" t="s">
        <v>5</v>
      </c>
      <c r="U35" s="1311">
        <f t="shared" si="10"/>
        <v>100</v>
      </c>
      <c r="V35" s="1310" t="s">
        <v>5</v>
      </c>
      <c r="W35" s="1311">
        <f t="shared" si="11"/>
        <v>100</v>
      </c>
      <c r="X35" s="1312"/>
      <c r="Y35" s="3626"/>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26"/>
      <c r="Q36" s="1306" t="str">
        <f>B36</f>
        <v>宗地面积</v>
      </c>
      <c r="R36" s="1307" t="s">
        <v>5</v>
      </c>
      <c r="S36" s="1308" t="e">
        <f t="shared" si="9"/>
        <v>#N/A</v>
      </c>
      <c r="T36" s="1307" t="s">
        <v>5</v>
      </c>
      <c r="U36" s="1308" t="e">
        <f t="shared" si="10"/>
        <v>#N/A</v>
      </c>
      <c r="V36" s="1307" t="s">
        <v>5</v>
      </c>
      <c r="W36" s="1308" t="e">
        <f t="shared" si="11"/>
        <v>#N/A</v>
      </c>
      <c r="X36" s="1302"/>
      <c r="Y36" s="3626"/>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26"/>
      <c r="Q37" s="1306" t="str">
        <f t="shared" ref="Q37:Q42" si="13">B37</f>
        <v>宗地形状</v>
      </c>
      <c r="R37" s="1307" t="s">
        <v>5</v>
      </c>
      <c r="S37" s="1308">
        <f t="shared" si="9"/>
        <v>100</v>
      </c>
      <c r="T37" s="1307" t="s">
        <v>5</v>
      </c>
      <c r="U37" s="1308">
        <f t="shared" si="10"/>
        <v>100</v>
      </c>
      <c r="V37" s="1307" t="s">
        <v>5</v>
      </c>
      <c r="W37" s="1308">
        <f t="shared" si="11"/>
        <v>100</v>
      </c>
      <c r="X37" s="1302"/>
      <c r="Y37" s="3626"/>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26"/>
      <c r="Q38" s="1306" t="str">
        <f t="shared" si="13"/>
        <v>宗地开发程度</v>
      </c>
      <c r="R38" s="1303" t="s">
        <v>5</v>
      </c>
      <c r="S38" s="1304">
        <f t="shared" si="9"/>
        <v>100</v>
      </c>
      <c r="T38" s="1303" t="s">
        <v>5</v>
      </c>
      <c r="U38" s="1304">
        <f t="shared" si="10"/>
        <v>100</v>
      </c>
      <c r="V38" s="1303" t="s">
        <v>5</v>
      </c>
      <c r="W38" s="1304">
        <f t="shared" si="11"/>
        <v>100</v>
      </c>
      <c r="X38" s="1305"/>
      <c r="Y38" s="3626"/>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26" t="s">
        <v>549</v>
      </c>
      <c r="Q39" s="1306" t="str">
        <f t="shared" si="13"/>
        <v>工程地质条件</v>
      </c>
      <c r="R39" s="1307" t="s">
        <v>5</v>
      </c>
      <c r="S39" s="1308">
        <f t="shared" si="9"/>
        <v>100</v>
      </c>
      <c r="T39" s="1307" t="s">
        <v>5</v>
      </c>
      <c r="U39" s="1308">
        <f t="shared" si="10"/>
        <v>100</v>
      </c>
      <c r="V39" s="1307" t="s">
        <v>5</v>
      </c>
      <c r="W39" s="1308">
        <f t="shared" si="11"/>
        <v>100</v>
      </c>
      <c r="X39" s="1302"/>
      <c r="Y39" s="3626"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26"/>
      <c r="Q40" s="1306">
        <f t="shared" si="13"/>
        <v>111</v>
      </c>
      <c r="R40" s="1307" t="s">
        <v>5</v>
      </c>
      <c r="S40" s="1308">
        <f t="shared" si="9"/>
        <v>100</v>
      </c>
      <c r="T40" s="1307" t="s">
        <v>5</v>
      </c>
      <c r="U40" s="1308">
        <f t="shared" si="10"/>
        <v>100</v>
      </c>
      <c r="V40" s="1307" t="s">
        <v>5</v>
      </c>
      <c r="W40" s="1308">
        <f t="shared" si="11"/>
        <v>100</v>
      </c>
      <c r="X40" s="1302"/>
      <c r="Y40" s="3626"/>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26"/>
      <c r="Q41" s="1306">
        <f t="shared" si="13"/>
        <v>111</v>
      </c>
      <c r="R41" s="1307" t="s">
        <v>5</v>
      </c>
      <c r="S41" s="1308">
        <f t="shared" si="9"/>
        <v>100</v>
      </c>
      <c r="T41" s="1307" t="s">
        <v>5</v>
      </c>
      <c r="U41" s="1308">
        <f t="shared" si="10"/>
        <v>100</v>
      </c>
      <c r="V41" s="1307" t="s">
        <v>5</v>
      </c>
      <c r="W41" s="1308">
        <f t="shared" si="11"/>
        <v>100</v>
      </c>
      <c r="X41" s="1302"/>
      <c r="Y41" s="3626"/>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26"/>
      <c r="Q42" s="1306">
        <f t="shared" si="13"/>
        <v>111</v>
      </c>
      <c r="R42" s="1310" t="s">
        <v>5</v>
      </c>
      <c r="S42" s="1311">
        <f t="shared" si="9"/>
        <v>100</v>
      </c>
      <c r="T42" s="1310" t="s">
        <v>5</v>
      </c>
      <c r="U42" s="1311">
        <f t="shared" si="10"/>
        <v>100</v>
      </c>
      <c r="V42" s="1310" t="s">
        <v>5</v>
      </c>
      <c r="W42" s="1311">
        <f t="shared" si="11"/>
        <v>100</v>
      </c>
      <c r="X42" s="1312"/>
      <c r="Y42" s="3626"/>
      <c r="Z42" s="1313">
        <f t="shared" si="12"/>
        <v>111</v>
      </c>
      <c r="AA42" s="1309">
        <f t="shared" si="3"/>
        <v>1</v>
      </c>
      <c r="AB42" s="1309">
        <f t="shared" si="4"/>
        <v>1</v>
      </c>
      <c r="AC42" s="1309">
        <f t="shared" si="5"/>
        <v>1</v>
      </c>
    </row>
    <row r="43" spans="1:29" ht="15">
      <c r="A43" s="556" t="s">
        <v>505</v>
      </c>
      <c r="B43" s="557" t="s">
        <v>2187</v>
      </c>
      <c r="C43" s="558" t="s">
        <v>0</v>
      </c>
      <c r="D43" s="559"/>
      <c r="E43" s="560"/>
      <c r="F43" s="561"/>
      <c r="G43" s="562"/>
      <c r="H43" s="563"/>
      <c r="I43" s="560"/>
      <c r="J43" s="563"/>
      <c r="K43" s="1134"/>
      <c r="L43" s="1751"/>
      <c r="M43" s="1742"/>
      <c r="N43" s="1742"/>
      <c r="O43" s="1742"/>
      <c r="P43" s="3590" t="str">
        <f>A43</f>
        <v>成交单价</v>
      </c>
      <c r="Q43" s="3590"/>
      <c r="R43" s="3591">
        <f>E43</f>
        <v>0</v>
      </c>
      <c r="S43" s="3591"/>
      <c r="T43" s="3591">
        <f>G43</f>
        <v>0</v>
      </c>
      <c r="U43" s="3591"/>
      <c r="V43" s="3591">
        <f>I43</f>
        <v>0</v>
      </c>
      <c r="W43" s="3591"/>
      <c r="X43" s="799"/>
      <c r="Y43" s="1314"/>
      <c r="Z43" s="799"/>
      <c r="AA43" s="799"/>
      <c r="AB43" s="799"/>
      <c r="AC43" s="799"/>
    </row>
    <row r="44" spans="1:29" ht="15.75" thickBot="1">
      <c r="A44" s="564" t="s">
        <v>1975</v>
      </c>
      <c r="B44" s="565"/>
      <c r="C44" s="566" t="e">
        <f>R45</f>
        <v>#DIV/0!</v>
      </c>
      <c r="D44" s="2550" t="s">
        <v>2251</v>
      </c>
      <c r="E44" s="566" t="e">
        <f>R44</f>
        <v>#DIV/0!</v>
      </c>
      <c r="F44" s="2551"/>
      <c r="G44" s="567" t="e">
        <f>T44</f>
        <v>#DIV/0!</v>
      </c>
      <c r="H44" s="2551"/>
      <c r="I44" s="566" t="e">
        <f>V44</f>
        <v>#DIV/0!</v>
      </c>
      <c r="J44" s="2551"/>
      <c r="K44" s="2552">
        <f>F44+H44+J44</f>
        <v>0</v>
      </c>
      <c r="L44" s="1751"/>
      <c r="M44" s="1742"/>
      <c r="N44" s="1742"/>
      <c r="O44" s="1742"/>
      <c r="P44" s="3590" t="str">
        <f>A44</f>
        <v>比较价格（元/平方米）</v>
      </c>
      <c r="Q44" s="3590"/>
      <c r="R44" s="3592" t="e">
        <f>ROUND(PRODUCT(R43,AA9:AA42),0)</f>
        <v>#DIV/0!</v>
      </c>
      <c r="S44" s="3592"/>
      <c r="T44" s="3592" t="e">
        <f>ROUND(PRODUCT(T43,AB9:AB42),0)</f>
        <v>#DIV/0!</v>
      </c>
      <c r="U44" s="3592"/>
      <c r="V44" s="3592" t="e">
        <f>ROUND(PRODUCT(V43,AC9:AC42),0)</f>
        <v>#DIV/0!</v>
      </c>
      <c r="W44" s="3592"/>
      <c r="X44" s="799"/>
      <c r="Y44" s="799"/>
      <c r="Z44" s="799"/>
      <c r="AA44" s="799"/>
      <c r="AB44" s="799"/>
      <c r="AC44" s="799"/>
    </row>
    <row r="45" spans="1:29" ht="15.75" thickBot="1">
      <c r="A45" s="568" t="s">
        <v>2188</v>
      </c>
      <c r="B45" s="569"/>
      <c r="C45" s="570" t="e">
        <f>R45</f>
        <v>#DIV/0!</v>
      </c>
      <c r="D45" s="570"/>
      <c r="E45" s="570"/>
      <c r="F45" s="570"/>
      <c r="G45" s="570"/>
      <c r="H45" s="570"/>
      <c r="I45" s="570"/>
      <c r="J45" s="570"/>
      <c r="K45" s="1135"/>
      <c r="L45" s="1751"/>
      <c r="M45" s="1742"/>
      <c r="N45" s="1742"/>
      <c r="O45" s="1742"/>
      <c r="P45" s="3627" t="str">
        <f>A45</f>
        <v>估价对象XX用房的比较价格（楼面单价，元/平方米）</v>
      </c>
      <c r="Q45" s="3628"/>
      <c r="R45" s="3639" t="e">
        <f>ROUND(IF(D44="简单平均",AVERAGE(R44:W44),R44*F44+T44*H44+V44*J44),0)</f>
        <v>#DIV/0!</v>
      </c>
      <c r="S45" s="3639"/>
      <c r="T45" s="3639"/>
      <c r="U45" s="3639"/>
      <c r="V45" s="3639"/>
      <c r="W45" s="3639"/>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5" t="s">
        <v>1642</v>
      </c>
      <c r="H52" s="363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40989</v>
      </c>
      <c r="F53" s="1609" t="e">
        <f t="shared" ref="F53:F61" si="14">ROUND(B53*E53/10000,0)</f>
        <v>#DIV/0!</v>
      </c>
      <c r="G53" s="3637"/>
      <c r="H53" s="3638"/>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22772.01</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2025-6-1</v>
      </c>
      <c r="D64" s="2111">
        <f>EDATE(C64,-3)</f>
        <v>45717</v>
      </c>
      <c r="E64" s="2111">
        <f t="shared" ref="E64:N64" si="17">EDATE(D64,-3)</f>
        <v>45627</v>
      </c>
      <c r="F64" s="2111">
        <f t="shared" si="17"/>
        <v>45536</v>
      </c>
      <c r="G64" s="2111">
        <f t="shared" si="17"/>
        <v>45444</v>
      </c>
      <c r="H64" s="2111">
        <f t="shared" si="17"/>
        <v>45352</v>
      </c>
      <c r="I64" s="2111">
        <f t="shared" si="17"/>
        <v>45261</v>
      </c>
      <c r="J64" s="2111">
        <f t="shared" si="17"/>
        <v>45170</v>
      </c>
      <c r="K64" s="2111">
        <f t="shared" si="17"/>
        <v>45078</v>
      </c>
      <c r="L64" s="2111">
        <f t="shared" si="17"/>
        <v>44986</v>
      </c>
      <c r="M64" s="2111">
        <f t="shared" si="17"/>
        <v>44896</v>
      </c>
      <c r="N64" s="2111">
        <f t="shared" si="17"/>
        <v>44805</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3181</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1" t="s">
        <v>2060</v>
      </c>
      <c r="X8" s="3642"/>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0"/>
      <c r="X9" s="2228" t="s">
        <v>3204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0"/>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3182</v>
      </c>
      <c r="B12" s="3238" t="s">
        <v>3183</v>
      </c>
      <c r="C12" s="3244">
        <v>1.02</v>
      </c>
      <c r="D12" s="3239" t="s">
        <v>3184</v>
      </c>
      <c r="E12" s="3240" t="s">
        <v>3185</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3186</v>
      </c>
      <c r="B13" s="1210" t="s">
        <v>874</v>
      </c>
      <c r="C13" s="3257">
        <f>ROUND(C16*D16*E16*F16*G16*H16*I16*J16,4)</f>
        <v>0</v>
      </c>
      <c r="D13" s="3275" t="s">
        <v>3187</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3188</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3189</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3190</v>
      </c>
      <c r="B17" s="3286" t="s">
        <v>3191</v>
      </c>
      <c r="C17" s="3294">
        <f>ROUND(IF(OR(E2="工业",E2="公共服务"),1,IF(AND(E18=0,E19=0),1,IF(AND(E18=J24,E19=G19),0.8,IF(E19=0,1+E17*(-0.2),1+E17*G17*(-0.2))))),4)</f>
        <v>1</v>
      </c>
      <c r="D17" s="3287" t="s">
        <v>3192</v>
      </c>
      <c r="E17" s="3294" t="e">
        <f>ROUND(G18/I18,2)</f>
        <v>#DIV/0!</v>
      </c>
      <c r="F17" s="3287" t="s">
        <v>3195</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3193</v>
      </c>
      <c r="E18" s="3293"/>
      <c r="F18" s="3290" t="s">
        <v>3196</v>
      </c>
      <c r="G18" s="3292">
        <f>ROUND(1-(1/(POWER(1+G24,E18))),4)</f>
        <v>0</v>
      </c>
      <c r="H18" s="3290" t="s">
        <v>3198</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3194</v>
      </c>
      <c r="E19" s="3295"/>
      <c r="F19" s="3291" t="s">
        <v>3197</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51" t="s">
        <v>1370</v>
      </c>
      <c r="B20" s="1205" t="s">
        <v>875</v>
      </c>
      <c r="C20" s="947" t="e">
        <f>ROUND(IF(F21="与级别开发程度一致",0,(G21-E21)/C21),0)</f>
        <v>#DIV/0!</v>
      </c>
      <c r="D20" s="3646" t="s">
        <v>879</v>
      </c>
      <c r="E20" s="3647"/>
      <c r="F20" s="3646" t="s">
        <v>876</v>
      </c>
      <c r="G20" s="3647"/>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52"/>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45817</v>
      </c>
      <c r="H23" s="1224" t="s">
        <v>2237</v>
      </c>
      <c r="I23" s="2101" t="str">
        <f>IF(H23="季度增幅（自定义）",SUMIF(N25:N28,E2,O25:O28),"")</f>
        <v/>
      </c>
      <c r="J23" s="3296" t="s">
        <v>3248</v>
      </c>
      <c r="K23" s="2740"/>
      <c r="L23" s="2323" t="s">
        <v>2116</v>
      </c>
      <c r="M23" s="2324">
        <f>ROUND(SUMIF(地价!B2:F2,E2,地价!B41:F41),0)</f>
        <v>0</v>
      </c>
      <c r="N23" s="2103" t="s">
        <v>1211</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2265</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3199</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3200</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3226</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3201</v>
      </c>
      <c r="G33" s="1253"/>
      <c r="H33" s="1253"/>
      <c r="I33" s="1253"/>
      <c r="J33" s="1254"/>
      <c r="K33" s="2744"/>
      <c r="L33" s="3366" t="s">
        <v>3227</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3202</v>
      </c>
      <c r="G34" s="1258"/>
      <c r="H34" s="1258"/>
      <c r="I34" s="1258"/>
      <c r="J34" s="1259"/>
      <c r="K34" s="1789"/>
      <c r="L34" s="3366" t="s">
        <v>3228</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3229</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8"/>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48"/>
      <c r="K37" s="3369" t="s">
        <v>3230</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0"/>
      <c r="S37" s="1790"/>
      <c r="T37" s="1790"/>
      <c r="U37" s="1790"/>
      <c r="V37" s="1790"/>
      <c r="W37" s="1789"/>
      <c r="X37" s="1789"/>
      <c r="Y37" s="1789"/>
      <c r="Z37" s="1789"/>
      <c r="AA37" s="1789"/>
      <c r="AB37" s="1789"/>
      <c r="AC37" s="1790"/>
    </row>
    <row r="38" spans="1:44" ht="12.75">
      <c r="A38" s="3649"/>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49"/>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49"/>
      <c r="B39" s="3300" t="s">
        <v>3203</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49"/>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3231</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2233</v>
      </c>
      <c r="C44" s="773" t="e">
        <f>ROUND(POWER(1+E44,H44-G44)*(POWER(1+E44,G44)-1)/(POWER(1+E44,H44)-1),4)</f>
        <v>#DIV/0!</v>
      </c>
      <c r="D44" s="348" t="s">
        <v>2231</v>
      </c>
      <c r="E44" s="2395">
        <f>G24</f>
        <v>0</v>
      </c>
      <c r="F44" s="348" t="s">
        <v>2232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3205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2189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3205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2189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3205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2189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2189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3214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3215</v>
      </c>
      <c r="B92" s="3303"/>
      <c r="C92" s="3303" t="s">
        <v>3220</v>
      </c>
      <c r="D92" s="3303" t="s">
        <v>3207</v>
      </c>
      <c r="E92" s="346" t="s">
        <v>3208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3216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14.25">
      <c r="A94" s="3303" t="s">
        <v>3217</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3205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3209</v>
      </c>
      <c r="B96" s="3307" t="s">
        <v>3210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3211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3218</v>
      </c>
      <c r="B98" s="3334" t="s">
        <v>2189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3219</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3212</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3213</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53" t="s">
        <v>1172</v>
      </c>
      <c r="B104" s="3653"/>
      <c r="C104" s="3653"/>
      <c r="D104" s="3653"/>
      <c r="E104" s="3653"/>
      <c r="F104" s="3653"/>
      <c r="G104" s="3653"/>
      <c r="H104" s="3653"/>
      <c r="I104" s="3653"/>
      <c r="J104" s="3653"/>
      <c r="K104" s="1000"/>
      <c r="L104" s="1000"/>
      <c r="M104" s="1000"/>
      <c r="N104" s="1000"/>
    </row>
    <row r="105" spans="1:36">
      <c r="A105" s="3654" t="s">
        <v>1161</v>
      </c>
      <c r="B105" s="3654" t="s">
        <v>1173</v>
      </c>
      <c r="C105" s="988" t="s">
        <v>1174</v>
      </c>
      <c r="D105" s="989"/>
      <c r="E105" s="989"/>
      <c r="F105" s="989"/>
      <c r="G105" s="989"/>
      <c r="H105" s="989"/>
      <c r="I105" s="989"/>
      <c r="J105" s="990"/>
      <c r="K105" s="983"/>
      <c r="L105" s="983"/>
      <c r="M105" s="983"/>
      <c r="N105" s="983"/>
    </row>
    <row r="106" spans="1:36">
      <c r="A106" s="3654"/>
      <c r="B106" s="3654"/>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3"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4"/>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4"/>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4"/>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4"/>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4"/>
      <c r="B112" s="991" t="s">
        <v>3221</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45"/>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50" t="s">
        <v>1175</v>
      </c>
      <c r="B114" s="3650"/>
      <c r="C114" s="3650"/>
      <c r="D114" s="3650"/>
      <c r="E114" s="3650"/>
      <c r="F114" s="3650"/>
      <c r="G114" s="3650"/>
      <c r="H114" s="3650"/>
      <c r="I114" s="3650"/>
      <c r="J114" s="3650"/>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3222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2751</v>
      </c>
      <c r="B1" s="962" t="s">
        <v>990</v>
      </c>
      <c r="C1" s="962" t="s">
        <v>1031</v>
      </c>
      <c r="D1" s="962" t="s">
        <v>1145</v>
      </c>
      <c r="E1" s="962" t="s">
        <v>853</v>
      </c>
      <c r="F1" s="962" t="s">
        <v>1152</v>
      </c>
      <c r="G1" s="962" t="s">
        <v>1153</v>
      </c>
      <c r="H1" s="962" t="s">
        <v>1154</v>
      </c>
      <c r="I1" s="962" t="s">
        <v>1155</v>
      </c>
      <c r="J1" s="962" t="s">
        <v>1156</v>
      </c>
      <c r="K1" s="962" t="s">
        <v>1157</v>
      </c>
      <c r="L1" s="962" t="s">
        <v>2752</v>
      </c>
      <c r="M1" s="963" t="s">
        <v>2753</v>
      </c>
    </row>
    <row r="2" spans="1:13">
      <c r="A2" s="2985" t="s">
        <v>2728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2754</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2726</v>
      </c>
      <c r="B7" s="2999">
        <v>2.5</v>
      </c>
      <c r="C7" s="2999">
        <v>2.5</v>
      </c>
      <c r="D7" s="2999">
        <v>2</v>
      </c>
      <c r="E7" s="2999">
        <v>2</v>
      </c>
      <c r="F7" s="2999">
        <v>2</v>
      </c>
      <c r="G7" s="2999">
        <v>2</v>
      </c>
      <c r="H7" s="2999">
        <v>2</v>
      </c>
      <c r="I7" s="3000">
        <v>1.5</v>
      </c>
      <c r="J7" s="3000">
        <v>1.5</v>
      </c>
      <c r="K7" s="3000">
        <v>1.5</v>
      </c>
      <c r="L7" s="3000">
        <v>1.5</v>
      </c>
      <c r="M7" s="3001">
        <v>1.5</v>
      </c>
    </row>
    <row r="8" spans="1:13">
      <c r="A8" s="975" t="s">
        <v>2755</v>
      </c>
      <c r="B8" s="3002">
        <v>80</v>
      </c>
      <c r="C8" s="3002">
        <v>80</v>
      </c>
      <c r="D8" s="3002">
        <v>70</v>
      </c>
      <c r="E8" s="3002">
        <v>70</v>
      </c>
      <c r="F8" s="3002">
        <v>70</v>
      </c>
      <c r="G8" s="3002">
        <v>70</v>
      </c>
      <c r="H8" s="3002">
        <v>70</v>
      </c>
      <c r="I8" s="3002">
        <v>60</v>
      </c>
      <c r="J8" s="3002">
        <v>60</v>
      </c>
      <c r="K8" s="3002">
        <v>60</v>
      </c>
      <c r="L8" s="3002">
        <v>60</v>
      </c>
      <c r="M8" s="3003">
        <v>60</v>
      </c>
    </row>
    <row r="9" spans="1:13">
      <c r="A9" s="958" t="s">
        <v>2756</v>
      </c>
      <c r="B9" s="3004">
        <v>70</v>
      </c>
      <c r="C9" s="3004">
        <v>70</v>
      </c>
      <c r="D9" s="3004">
        <v>60</v>
      </c>
      <c r="E9" s="3004">
        <v>60</v>
      </c>
      <c r="F9" s="3004">
        <v>60</v>
      </c>
      <c r="G9" s="3004">
        <v>60</v>
      </c>
      <c r="H9" s="3004">
        <v>60</v>
      </c>
      <c r="I9" s="3004">
        <v>50</v>
      </c>
      <c r="J9" s="3004">
        <v>50</v>
      </c>
      <c r="K9" s="3004">
        <v>50</v>
      </c>
      <c r="L9" s="3004">
        <v>50</v>
      </c>
      <c r="M9" s="3005">
        <v>50</v>
      </c>
    </row>
    <row r="10" spans="1:13">
      <c r="A10" s="958" t="s">
        <v>2757</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2758</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2759</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2760</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2761</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2762</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2763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2445</v>
      </c>
      <c r="B19" s="3008" t="s">
        <v>2446</v>
      </c>
      <c r="C19" s="3009" t="s">
        <v>2447</v>
      </c>
      <c r="D19" s="3010"/>
      <c r="E19" s="3004" t="s">
        <v>2448</v>
      </c>
      <c r="F19" s="981"/>
      <c r="G19" s="981"/>
    </row>
    <row r="20" spans="1:13">
      <c r="A20" s="3655" t="s">
        <v>2439</v>
      </c>
      <c r="B20" s="3658" t="s">
        <v>2449</v>
      </c>
      <c r="C20" s="3011" t="s">
        <v>2450</v>
      </c>
      <c r="D20" s="3012"/>
      <c r="E20" s="3013">
        <v>1</v>
      </c>
      <c r="F20" s="3014" t="s">
        <v>2451</v>
      </c>
      <c r="G20" s="983"/>
    </row>
    <row r="21" spans="1:13">
      <c r="A21" s="3656"/>
      <c r="B21" s="3659"/>
      <c r="C21" s="3015" t="s">
        <v>2452</v>
      </c>
      <c r="D21" s="3016"/>
      <c r="E21" s="3017">
        <v>1</v>
      </c>
      <c r="F21" s="3014" t="s">
        <v>2453</v>
      </c>
      <c r="G21" s="983"/>
    </row>
    <row r="22" spans="1:13">
      <c r="A22" s="3656"/>
      <c r="B22" s="3659"/>
      <c r="C22" s="3015" t="s">
        <v>2454</v>
      </c>
      <c r="D22" s="3016"/>
      <c r="E22" s="3017">
        <v>0.9</v>
      </c>
      <c r="F22" s="3014" t="s">
        <v>2455</v>
      </c>
      <c r="G22" s="983"/>
    </row>
    <row r="23" spans="1:13">
      <c r="A23" s="3656"/>
      <c r="B23" s="3659"/>
      <c r="C23" s="3015" t="s">
        <v>2456</v>
      </c>
      <c r="D23" s="3016"/>
      <c r="E23" s="3017">
        <v>0.9</v>
      </c>
      <c r="F23" s="3014" t="s">
        <v>2457</v>
      </c>
      <c r="G23" s="983"/>
    </row>
    <row r="24" spans="1:13">
      <c r="A24" s="3656"/>
      <c r="B24" s="3659"/>
      <c r="C24" s="3015" t="s">
        <v>2458</v>
      </c>
      <c r="D24" s="3016"/>
      <c r="E24" s="3017">
        <v>0.8</v>
      </c>
      <c r="F24" s="3014" t="s">
        <v>2459</v>
      </c>
      <c r="G24" s="983"/>
    </row>
    <row r="25" spans="1:13" ht="14.25" thickBot="1">
      <c r="A25" s="3657"/>
      <c r="B25" s="3660"/>
      <c r="C25" s="3018" t="s">
        <v>2460</v>
      </c>
      <c r="D25" s="3019"/>
      <c r="E25" s="3020">
        <v>0.8</v>
      </c>
      <c r="F25" s="3014" t="s">
        <v>2461</v>
      </c>
      <c r="G25" s="983"/>
    </row>
    <row r="26" spans="1:13" ht="14.25" thickBot="1">
      <c r="A26" s="3021" t="s">
        <v>2440</v>
      </c>
      <c r="B26" s="3022" t="s">
        <v>2449</v>
      </c>
      <c r="C26" s="3023" t="s">
        <v>2462</v>
      </c>
      <c r="D26" s="3024"/>
      <c r="E26" s="3025">
        <v>1</v>
      </c>
      <c r="F26" s="3014" t="s">
        <v>2463</v>
      </c>
      <c r="G26" s="983"/>
    </row>
    <row r="27" spans="1:13">
      <c r="A27" s="3661" t="s">
        <v>2444</v>
      </c>
      <c r="B27" s="3658" t="s">
        <v>2444</v>
      </c>
      <c r="C27" s="3011" t="s">
        <v>2464</v>
      </c>
      <c r="D27" s="3012"/>
      <c r="E27" s="3013">
        <v>1</v>
      </c>
      <c r="F27" s="3014" t="s">
        <v>2465</v>
      </c>
      <c r="G27" s="983"/>
    </row>
    <row r="28" spans="1:13">
      <c r="A28" s="3662"/>
      <c r="B28" s="3659"/>
      <c r="C28" s="3015" t="s">
        <v>2466</v>
      </c>
      <c r="D28" s="3016"/>
      <c r="E28" s="3017">
        <v>1</v>
      </c>
      <c r="F28" s="3014" t="s">
        <v>2467</v>
      </c>
      <c r="G28" s="983"/>
    </row>
    <row r="29" spans="1:13">
      <c r="A29" s="3662"/>
      <c r="B29" s="3659"/>
      <c r="C29" s="3015" t="s">
        <v>2468</v>
      </c>
      <c r="D29" s="3016"/>
      <c r="E29" s="3017">
        <v>0.8</v>
      </c>
      <c r="F29" s="3014" t="s">
        <v>2469</v>
      </c>
      <c r="G29" s="983"/>
    </row>
    <row r="30" spans="1:13">
      <c r="A30" s="3662"/>
      <c r="B30" s="3659"/>
      <c r="C30" s="3015" t="s">
        <v>2470</v>
      </c>
      <c r="D30" s="3016"/>
      <c r="E30" s="3017">
        <v>0.8</v>
      </c>
      <c r="F30" s="3014" t="s">
        <v>2471</v>
      </c>
      <c r="G30" s="983"/>
    </row>
    <row r="31" spans="1:13">
      <c r="A31" s="3662"/>
      <c r="B31" s="3659"/>
      <c r="C31" s="3015" t="s">
        <v>2472</v>
      </c>
      <c r="D31" s="3016"/>
      <c r="E31" s="3017">
        <v>0.8</v>
      </c>
      <c r="F31" s="3014" t="s">
        <v>2473</v>
      </c>
      <c r="G31" s="983"/>
    </row>
    <row r="32" spans="1:13">
      <c r="A32" s="3662"/>
      <c r="B32" s="3659"/>
      <c r="C32" s="3015" t="s">
        <v>2474</v>
      </c>
      <c r="D32" s="3016"/>
      <c r="E32" s="3017">
        <v>0.7</v>
      </c>
      <c r="F32" s="3014" t="s">
        <v>2475</v>
      </c>
      <c r="G32" s="983"/>
    </row>
    <row r="33" spans="1:7">
      <c r="A33" s="3662"/>
      <c r="B33" s="3659"/>
      <c r="C33" s="3015" t="s">
        <v>2476</v>
      </c>
      <c r="D33" s="3016"/>
      <c r="E33" s="3017">
        <v>0.8</v>
      </c>
      <c r="F33" s="3014" t="s">
        <v>2477</v>
      </c>
      <c r="G33" s="983"/>
    </row>
    <row r="34" spans="1:7">
      <c r="A34" s="3662"/>
      <c r="B34" s="3659"/>
      <c r="C34" s="3015" t="s">
        <v>2478</v>
      </c>
      <c r="D34" s="3016"/>
      <c r="E34" s="3017">
        <v>0.6</v>
      </c>
      <c r="F34" s="3014" t="s">
        <v>2479</v>
      </c>
      <c r="G34" s="983"/>
    </row>
    <row r="35" spans="1:7">
      <c r="A35" s="3662"/>
      <c r="B35" s="3659"/>
      <c r="C35" s="3015" t="s">
        <v>2480</v>
      </c>
      <c r="D35" s="3016"/>
      <c r="E35" s="3017">
        <v>0.2</v>
      </c>
      <c r="F35" s="3014" t="s">
        <v>2481</v>
      </c>
      <c r="G35" s="983"/>
    </row>
    <row r="36" spans="1:7">
      <c r="A36" s="3662"/>
      <c r="B36" s="3659"/>
      <c r="C36" s="3015" t="s">
        <v>2482</v>
      </c>
      <c r="D36" s="3016"/>
      <c r="E36" s="3017">
        <v>0.2</v>
      </c>
      <c r="F36" s="3014" t="s">
        <v>2483</v>
      </c>
      <c r="G36" s="983"/>
    </row>
    <row r="37" spans="1:7">
      <c r="A37" s="3662"/>
      <c r="B37" s="3664" t="s">
        <v>2484</v>
      </c>
      <c r="C37" s="3015" t="s">
        <v>2485</v>
      </c>
      <c r="D37" s="3016"/>
      <c r="E37" s="3017">
        <v>0.6</v>
      </c>
      <c r="F37" s="3014" t="s">
        <v>2486</v>
      </c>
      <c r="G37" s="983"/>
    </row>
    <row r="38" spans="1:7">
      <c r="A38" s="3662"/>
      <c r="B38" s="3659"/>
      <c r="C38" s="3015" t="s">
        <v>2487</v>
      </c>
      <c r="D38" s="3016"/>
      <c r="E38" s="3017">
        <v>0.6</v>
      </c>
      <c r="F38" s="3014" t="s">
        <v>2488</v>
      </c>
      <c r="G38" s="983"/>
    </row>
    <row r="39" spans="1:7" ht="14.25" thickBot="1">
      <c r="A39" s="3663"/>
      <c r="B39" s="3660"/>
      <c r="C39" s="3018" t="s">
        <v>2489</v>
      </c>
      <c r="D39" s="3019"/>
      <c r="E39" s="3020">
        <v>0.6</v>
      </c>
      <c r="F39" s="3014" t="s">
        <v>2490</v>
      </c>
      <c r="G39" s="983"/>
    </row>
    <row r="40" spans="1:7" ht="14.25" thickBot="1">
      <c r="A40" s="3021" t="s">
        <v>2441</v>
      </c>
      <c r="B40" s="3022" t="s">
        <v>2441</v>
      </c>
      <c r="C40" s="3023" t="s">
        <v>2491</v>
      </c>
      <c r="D40" s="3024"/>
      <c r="E40" s="3025">
        <v>1</v>
      </c>
      <c r="F40" s="3014" t="s">
        <v>2492</v>
      </c>
      <c r="G40" s="983"/>
    </row>
    <row r="41" spans="1:7">
      <c r="A41" s="3655" t="s">
        <v>2442</v>
      </c>
      <c r="B41" s="3658" t="s">
        <v>2493</v>
      </c>
      <c r="C41" s="3011" t="s">
        <v>2494</v>
      </c>
      <c r="D41" s="3012"/>
      <c r="E41" s="3013">
        <v>1</v>
      </c>
      <c r="F41" s="3014" t="s">
        <v>2495</v>
      </c>
      <c r="G41" s="983"/>
    </row>
    <row r="42" spans="1:7">
      <c r="A42" s="3656"/>
      <c r="B42" s="3659"/>
      <c r="C42" s="3015" t="s">
        <v>2496</v>
      </c>
      <c r="D42" s="3016"/>
      <c r="E42" s="3017">
        <v>1</v>
      </c>
      <c r="F42" s="3014" t="s">
        <v>2497</v>
      </c>
      <c r="G42" s="983"/>
    </row>
    <row r="43" spans="1:7">
      <c r="A43" s="3656"/>
      <c r="B43" s="3665"/>
      <c r="C43" s="3015" t="s">
        <v>2498</v>
      </c>
      <c r="D43" s="3016"/>
      <c r="E43" s="3017">
        <v>1.5</v>
      </c>
      <c r="F43" s="3014" t="s">
        <v>2499</v>
      </c>
      <c r="G43" s="983"/>
    </row>
    <row r="44" spans="1:7">
      <c r="A44" s="3656"/>
      <c r="B44" s="3026" t="s">
        <v>2444</v>
      </c>
      <c r="C44" s="3015" t="s">
        <v>2443</v>
      </c>
      <c r="D44" s="3016"/>
      <c r="E44" s="3017">
        <v>2</v>
      </c>
      <c r="F44" s="3014" t="s">
        <v>2500</v>
      </c>
      <c r="G44" s="983"/>
    </row>
    <row r="45" spans="1:7">
      <c r="A45" s="3656"/>
      <c r="B45" s="3664" t="s">
        <v>2501</v>
      </c>
      <c r="C45" s="3015" t="s">
        <v>2502</v>
      </c>
      <c r="D45" s="3016"/>
      <c r="E45" s="3017">
        <v>1</v>
      </c>
      <c r="F45" s="3014" t="s">
        <v>2503</v>
      </c>
      <c r="G45" s="983"/>
    </row>
    <row r="46" spans="1:7">
      <c r="A46" s="3656"/>
      <c r="B46" s="3659"/>
      <c r="C46" s="3015" t="s">
        <v>2504</v>
      </c>
      <c r="D46" s="3016"/>
      <c r="E46" s="3017">
        <v>1</v>
      </c>
      <c r="F46" s="3014" t="s">
        <v>2505</v>
      </c>
      <c r="G46" s="983"/>
    </row>
    <row r="47" spans="1:7">
      <c r="A47" s="3656"/>
      <c r="B47" s="3659"/>
      <c r="C47" s="3015" t="s">
        <v>2506</v>
      </c>
      <c r="D47" s="3016"/>
      <c r="E47" s="3017">
        <v>1</v>
      </c>
      <c r="F47" s="3014" t="s">
        <v>2507</v>
      </c>
      <c r="G47" s="983"/>
    </row>
    <row r="48" spans="1:7">
      <c r="A48" s="3656"/>
      <c r="B48" s="3659"/>
      <c r="C48" s="3015" t="s">
        <v>2508</v>
      </c>
      <c r="D48" s="3016"/>
      <c r="E48" s="3017">
        <v>1</v>
      </c>
      <c r="F48" s="3014" t="s">
        <v>2509</v>
      </c>
      <c r="G48" s="983"/>
    </row>
    <row r="49" spans="1:9">
      <c r="A49" s="3656"/>
      <c r="B49" s="3659"/>
      <c r="C49" s="3015" t="s">
        <v>2510</v>
      </c>
      <c r="D49" s="3016"/>
      <c r="E49" s="3017">
        <v>1</v>
      </c>
      <c r="F49" s="3014" t="s">
        <v>2511</v>
      </c>
      <c r="G49" s="983"/>
    </row>
    <row r="50" spans="1:9">
      <c r="A50" s="3656"/>
      <c r="B50" s="3659"/>
      <c r="C50" s="3015" t="s">
        <v>2512</v>
      </c>
      <c r="D50" s="3016"/>
      <c r="E50" s="3017">
        <v>1</v>
      </c>
      <c r="F50" s="3014" t="s">
        <v>2513</v>
      </c>
      <c r="G50" s="983"/>
    </row>
    <row r="51" spans="1:9" ht="14.25" thickBot="1">
      <c r="A51" s="3657"/>
      <c r="B51" s="3660"/>
      <c r="C51" s="3018" t="s">
        <v>2514</v>
      </c>
      <c r="D51" s="3019"/>
      <c r="E51" s="3020">
        <v>1</v>
      </c>
      <c r="F51" s="3014" t="s">
        <v>2515</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2764</v>
      </c>
      <c r="F56" s="980" t="s">
        <v>2764</v>
      </c>
      <c r="G56" s="980" t="s">
        <v>2764</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2516</v>
      </c>
      <c r="D72" s="999"/>
      <c r="E72" s="987" t="s">
        <v>1159</v>
      </c>
      <c r="F72" s="999" t="s">
        <v>1159</v>
      </c>
    </row>
    <row r="73" spans="1:8" s="973" customFormat="1">
      <c r="A73" s="3026">
        <v>1</v>
      </c>
      <c r="B73" s="3664" t="s">
        <v>2517</v>
      </c>
      <c r="C73" s="3004" t="s">
        <v>2518</v>
      </c>
      <c r="D73" s="3004" t="s">
        <v>2519</v>
      </c>
      <c r="E73" s="3027">
        <v>0.2</v>
      </c>
      <c r="F73" s="3026">
        <v>25</v>
      </c>
      <c r="H73" s="973">
        <f>SUMIF(C71:C139,基准地价!C8,E71:E139)</f>
        <v>0</v>
      </c>
    </row>
    <row r="74" spans="1:8" s="973" customFormat="1" ht="24">
      <c r="A74" s="3026">
        <v>2</v>
      </c>
      <c r="B74" s="3659"/>
      <c r="C74" s="3004" t="s">
        <v>2520</v>
      </c>
      <c r="D74" s="3004" t="s">
        <v>2521</v>
      </c>
      <c r="E74" s="3027">
        <v>0.2</v>
      </c>
      <c r="F74" s="3026">
        <v>25</v>
      </c>
    </row>
    <row r="75" spans="1:8" s="973" customFormat="1" ht="24">
      <c r="A75" s="3026">
        <v>3</v>
      </c>
      <c r="B75" s="3659"/>
      <c r="C75" s="3004" t="s">
        <v>2522</v>
      </c>
      <c r="D75" s="3004" t="s">
        <v>2523</v>
      </c>
      <c r="E75" s="3027">
        <v>0.2</v>
      </c>
      <c r="F75" s="3026">
        <v>25</v>
      </c>
    </row>
    <row r="76" spans="1:8" s="973" customFormat="1">
      <c r="A76" s="3026">
        <v>4</v>
      </c>
      <c r="B76" s="3659"/>
      <c r="C76" s="3004" t="s">
        <v>2524</v>
      </c>
      <c r="D76" s="3004" t="s">
        <v>2525</v>
      </c>
      <c r="E76" s="3027">
        <v>0.15</v>
      </c>
      <c r="F76" s="3026">
        <v>20</v>
      </c>
    </row>
    <row r="77" spans="1:8" s="973" customFormat="1" ht="24">
      <c r="A77" s="3026">
        <v>5</v>
      </c>
      <c r="B77" s="3659"/>
      <c r="C77" s="3004" t="s">
        <v>2526</v>
      </c>
      <c r="D77" s="3004" t="s">
        <v>2527</v>
      </c>
      <c r="E77" s="3027">
        <v>0.15</v>
      </c>
      <c r="F77" s="3026">
        <v>20</v>
      </c>
    </row>
    <row r="78" spans="1:8" s="973" customFormat="1" ht="24">
      <c r="A78" s="3026">
        <v>6</v>
      </c>
      <c r="B78" s="3659"/>
      <c r="C78" s="3004" t="s">
        <v>2528</v>
      </c>
      <c r="D78" s="3004" t="s">
        <v>2529</v>
      </c>
      <c r="E78" s="3027">
        <v>0.15</v>
      </c>
      <c r="F78" s="3026">
        <v>20</v>
      </c>
    </row>
    <row r="79" spans="1:8" s="973" customFormat="1" ht="24">
      <c r="A79" s="3026">
        <v>7</v>
      </c>
      <c r="B79" s="3659"/>
      <c r="C79" s="3004" t="s">
        <v>2530</v>
      </c>
      <c r="D79" s="3004" t="s">
        <v>2531</v>
      </c>
      <c r="E79" s="3027">
        <v>0.15</v>
      </c>
      <c r="F79" s="3026">
        <v>20</v>
      </c>
    </row>
    <row r="80" spans="1:8" s="973" customFormat="1" ht="24">
      <c r="A80" s="3026">
        <v>8</v>
      </c>
      <c r="B80" s="3659"/>
      <c r="C80" s="3004" t="s">
        <v>2532</v>
      </c>
      <c r="D80" s="3004" t="s">
        <v>2533</v>
      </c>
      <c r="E80" s="3027">
        <v>0.1</v>
      </c>
      <c r="F80" s="3026">
        <v>15</v>
      </c>
    </row>
    <row r="81" spans="1:6" s="973" customFormat="1" ht="24">
      <c r="A81" s="3026">
        <v>9</v>
      </c>
      <c r="B81" s="3659"/>
      <c r="C81" s="3004" t="s">
        <v>2534</v>
      </c>
      <c r="D81" s="3004" t="s">
        <v>2535</v>
      </c>
      <c r="E81" s="3027">
        <v>0.1</v>
      </c>
      <c r="F81" s="3026">
        <v>15</v>
      </c>
    </row>
    <row r="82" spans="1:6" s="973" customFormat="1" ht="24">
      <c r="A82" s="3026">
        <v>10</v>
      </c>
      <c r="B82" s="3659"/>
      <c r="C82" s="3004" t="s">
        <v>2536</v>
      </c>
      <c r="D82" s="3004" t="s">
        <v>2537</v>
      </c>
      <c r="E82" s="3027">
        <v>0.1</v>
      </c>
      <c r="F82" s="3026">
        <v>15</v>
      </c>
    </row>
    <row r="83" spans="1:6" s="973" customFormat="1" ht="24">
      <c r="A83" s="3026">
        <v>11</v>
      </c>
      <c r="B83" s="3659"/>
      <c r="C83" s="3004" t="s">
        <v>2538</v>
      </c>
      <c r="D83" s="3004" t="s">
        <v>2539</v>
      </c>
      <c r="E83" s="3027">
        <v>0.1</v>
      </c>
      <c r="F83" s="3026">
        <v>15</v>
      </c>
    </row>
    <row r="84" spans="1:6" s="973" customFormat="1" ht="24">
      <c r="A84" s="3026">
        <v>12</v>
      </c>
      <c r="B84" s="3659"/>
      <c r="C84" s="3004" t="s">
        <v>2540</v>
      </c>
      <c r="D84" s="3004" t="s">
        <v>2541</v>
      </c>
      <c r="E84" s="3027">
        <v>0.1</v>
      </c>
      <c r="F84" s="3026">
        <v>15</v>
      </c>
    </row>
    <row r="85" spans="1:6" s="973" customFormat="1">
      <c r="A85" s="3026">
        <v>13</v>
      </c>
      <c r="B85" s="3659"/>
      <c r="C85" s="3004" t="s">
        <v>2542</v>
      </c>
      <c r="D85" s="3004" t="s">
        <v>2543</v>
      </c>
      <c r="E85" s="3027">
        <v>0.1</v>
      </c>
      <c r="F85" s="3026">
        <v>15</v>
      </c>
    </row>
    <row r="86" spans="1:6" s="973" customFormat="1">
      <c r="A86" s="3026">
        <v>14</v>
      </c>
      <c r="B86" s="3659"/>
      <c r="C86" s="3004" t="s">
        <v>2544</v>
      </c>
      <c r="D86" s="3004" t="s">
        <v>2545</v>
      </c>
      <c r="E86" s="3027">
        <v>0.1</v>
      </c>
      <c r="F86" s="3026">
        <v>15</v>
      </c>
    </row>
    <row r="87" spans="1:6" s="973" customFormat="1">
      <c r="A87" s="3026">
        <v>15</v>
      </c>
      <c r="B87" s="3659"/>
      <c r="C87" s="3004" t="s">
        <v>2546</v>
      </c>
      <c r="D87" s="3004" t="s">
        <v>2547</v>
      </c>
      <c r="E87" s="3027">
        <v>0.1</v>
      </c>
      <c r="F87" s="3026">
        <v>15</v>
      </c>
    </row>
    <row r="88" spans="1:6" s="973" customFormat="1" ht="24">
      <c r="A88" s="3026">
        <v>16</v>
      </c>
      <c r="B88" s="3659"/>
      <c r="C88" s="3004" t="s">
        <v>2548</v>
      </c>
      <c r="D88" s="3004" t="s">
        <v>2549</v>
      </c>
      <c r="E88" s="3027">
        <v>0.1</v>
      </c>
      <c r="F88" s="3026">
        <v>15</v>
      </c>
    </row>
    <row r="89" spans="1:6" s="973" customFormat="1" ht="24">
      <c r="A89" s="3026">
        <v>17</v>
      </c>
      <c r="B89" s="3665"/>
      <c r="C89" s="3004" t="s">
        <v>2550</v>
      </c>
      <c r="D89" s="3004" t="s">
        <v>2551</v>
      </c>
      <c r="E89" s="3027">
        <v>0.1</v>
      </c>
      <c r="F89" s="3026">
        <v>15</v>
      </c>
    </row>
    <row r="90" spans="1:6" s="973" customFormat="1">
      <c r="A90" s="3026">
        <v>18</v>
      </c>
      <c r="B90" s="3664" t="s">
        <v>2552</v>
      </c>
      <c r="C90" s="3004" t="s">
        <v>2553</v>
      </c>
      <c r="D90" s="3004" t="s">
        <v>2554</v>
      </c>
      <c r="E90" s="3027">
        <v>0.2</v>
      </c>
      <c r="F90" s="3026">
        <v>25</v>
      </c>
    </row>
    <row r="91" spans="1:6" s="973" customFormat="1" ht="24">
      <c r="A91" s="3026">
        <v>19</v>
      </c>
      <c r="B91" s="3659"/>
      <c r="C91" s="3004" t="s">
        <v>2555</v>
      </c>
      <c r="D91" s="3004" t="s">
        <v>2556</v>
      </c>
      <c r="E91" s="3027">
        <v>0.2</v>
      </c>
      <c r="F91" s="3026">
        <v>25</v>
      </c>
    </row>
    <row r="92" spans="1:6" s="973" customFormat="1">
      <c r="A92" s="3026">
        <v>20</v>
      </c>
      <c r="B92" s="3659"/>
      <c r="C92" s="3004" t="s">
        <v>2557</v>
      </c>
      <c r="D92" s="3004" t="s">
        <v>2558</v>
      </c>
      <c r="E92" s="3027">
        <v>0.15</v>
      </c>
      <c r="F92" s="3026">
        <v>20</v>
      </c>
    </row>
    <row r="93" spans="1:6" s="973" customFormat="1" ht="24">
      <c r="A93" s="3026">
        <v>21</v>
      </c>
      <c r="B93" s="3659"/>
      <c r="C93" s="3004" t="s">
        <v>2559</v>
      </c>
      <c r="D93" s="3004" t="s">
        <v>2560</v>
      </c>
      <c r="E93" s="3027">
        <v>0.15</v>
      </c>
      <c r="F93" s="3026">
        <v>20</v>
      </c>
    </row>
    <row r="94" spans="1:6" s="973" customFormat="1" ht="24">
      <c r="A94" s="3026">
        <v>22</v>
      </c>
      <c r="B94" s="3659"/>
      <c r="C94" s="3004" t="s">
        <v>2561</v>
      </c>
      <c r="D94" s="3004" t="s">
        <v>2562</v>
      </c>
      <c r="E94" s="3027">
        <v>0.15</v>
      </c>
      <c r="F94" s="3026">
        <v>20</v>
      </c>
    </row>
    <row r="95" spans="1:6" s="973" customFormat="1" ht="36">
      <c r="A95" s="3026">
        <v>23</v>
      </c>
      <c r="B95" s="3659"/>
      <c r="C95" s="3004" t="s">
        <v>2563</v>
      </c>
      <c r="D95" s="3004" t="s">
        <v>2564</v>
      </c>
      <c r="E95" s="3027">
        <v>0.15</v>
      </c>
      <c r="F95" s="3026">
        <v>20</v>
      </c>
    </row>
    <row r="96" spans="1:6" s="973" customFormat="1">
      <c r="A96" s="3026">
        <v>24</v>
      </c>
      <c r="B96" s="3659"/>
      <c r="C96" s="3004" t="s">
        <v>2565</v>
      </c>
      <c r="D96" s="3004" t="s">
        <v>2566</v>
      </c>
      <c r="E96" s="3027">
        <v>0.1</v>
      </c>
      <c r="F96" s="3026">
        <v>15</v>
      </c>
    </row>
    <row r="97" spans="1:6" s="973" customFormat="1" ht="24">
      <c r="A97" s="3026">
        <v>25</v>
      </c>
      <c r="B97" s="3659"/>
      <c r="C97" s="3004" t="s">
        <v>2567</v>
      </c>
      <c r="D97" s="3004" t="s">
        <v>2568</v>
      </c>
      <c r="E97" s="3027">
        <v>0.1</v>
      </c>
      <c r="F97" s="3026">
        <v>15</v>
      </c>
    </row>
    <row r="98" spans="1:6" s="973" customFormat="1" ht="24">
      <c r="A98" s="3026">
        <v>26</v>
      </c>
      <c r="B98" s="3659"/>
      <c r="C98" s="3004" t="s">
        <v>2569</v>
      </c>
      <c r="D98" s="3004" t="s">
        <v>2570</v>
      </c>
      <c r="E98" s="3027">
        <v>0.1</v>
      </c>
      <c r="F98" s="3026">
        <v>15</v>
      </c>
    </row>
    <row r="99" spans="1:6" s="973" customFormat="1" ht="24">
      <c r="A99" s="3026">
        <v>27</v>
      </c>
      <c r="B99" s="3659"/>
      <c r="C99" s="3004" t="s">
        <v>2571</v>
      </c>
      <c r="D99" s="3004" t="s">
        <v>2572</v>
      </c>
      <c r="E99" s="3027">
        <v>0.1</v>
      </c>
      <c r="F99" s="3026">
        <v>15</v>
      </c>
    </row>
    <row r="100" spans="1:6" s="973" customFormat="1" ht="24">
      <c r="A100" s="3026">
        <v>28</v>
      </c>
      <c r="B100" s="3659"/>
      <c r="C100" s="3004" t="s">
        <v>2573</v>
      </c>
      <c r="D100" s="3004" t="s">
        <v>2574</v>
      </c>
      <c r="E100" s="3027">
        <v>0.1</v>
      </c>
      <c r="F100" s="3026">
        <v>15</v>
      </c>
    </row>
    <row r="101" spans="1:6" s="973" customFormat="1" ht="24">
      <c r="A101" s="3026">
        <v>29</v>
      </c>
      <c r="B101" s="3659"/>
      <c r="C101" s="3004" t="s">
        <v>2575</v>
      </c>
      <c r="D101" s="3004" t="s">
        <v>2576</v>
      </c>
      <c r="E101" s="3027">
        <v>0.1</v>
      </c>
      <c r="F101" s="3026">
        <v>15</v>
      </c>
    </row>
    <row r="102" spans="1:6" s="973" customFormat="1" ht="24">
      <c r="A102" s="3026">
        <v>30</v>
      </c>
      <c r="B102" s="3659"/>
      <c r="C102" s="3004" t="s">
        <v>2577</v>
      </c>
      <c r="D102" s="3004" t="s">
        <v>2578</v>
      </c>
      <c r="E102" s="3027">
        <v>0.1</v>
      </c>
      <c r="F102" s="3026">
        <v>15</v>
      </c>
    </row>
    <row r="103" spans="1:6" s="973" customFormat="1" ht="24">
      <c r="A103" s="3026">
        <v>31</v>
      </c>
      <c r="B103" s="3659"/>
      <c r="C103" s="3004" t="s">
        <v>2579</v>
      </c>
      <c r="D103" s="3004" t="s">
        <v>2580</v>
      </c>
      <c r="E103" s="3027">
        <v>0.1</v>
      </c>
      <c r="F103" s="3026">
        <v>15</v>
      </c>
    </row>
    <row r="104" spans="1:6" s="973" customFormat="1" ht="24">
      <c r="A104" s="3026">
        <v>32</v>
      </c>
      <c r="B104" s="3659"/>
      <c r="C104" s="3004" t="s">
        <v>2581</v>
      </c>
      <c r="D104" s="3004" t="s">
        <v>2582</v>
      </c>
      <c r="E104" s="3027">
        <v>0.1</v>
      </c>
      <c r="F104" s="3026">
        <v>15</v>
      </c>
    </row>
    <row r="105" spans="1:6" s="973" customFormat="1" ht="24">
      <c r="A105" s="3026">
        <v>33</v>
      </c>
      <c r="B105" s="3659"/>
      <c r="C105" s="3004" t="s">
        <v>2583</v>
      </c>
      <c r="D105" s="3004" t="s">
        <v>2584</v>
      </c>
      <c r="E105" s="3027">
        <v>0.1</v>
      </c>
      <c r="F105" s="3026">
        <v>15</v>
      </c>
    </row>
    <row r="106" spans="1:6" s="973" customFormat="1" ht="24">
      <c r="A106" s="3026">
        <v>34</v>
      </c>
      <c r="B106" s="3665"/>
      <c r="C106" s="3004" t="s">
        <v>2585</v>
      </c>
      <c r="D106" s="3004" t="s">
        <v>2586</v>
      </c>
      <c r="E106" s="3027">
        <v>0.1</v>
      </c>
      <c r="F106" s="3026">
        <v>15</v>
      </c>
    </row>
    <row r="107" spans="1:6" s="973" customFormat="1" ht="24">
      <c r="A107" s="3026">
        <v>35</v>
      </c>
      <c r="B107" s="3664" t="s">
        <v>2587</v>
      </c>
      <c r="C107" s="3026" t="s">
        <v>2588</v>
      </c>
      <c r="D107" s="3004" t="s">
        <v>2589</v>
      </c>
      <c r="E107" s="3027">
        <v>0.15</v>
      </c>
      <c r="F107" s="3026">
        <v>20</v>
      </c>
    </row>
    <row r="108" spans="1:6" s="973" customFormat="1" ht="24">
      <c r="A108" s="3026">
        <v>36</v>
      </c>
      <c r="B108" s="3659"/>
      <c r="C108" s="3026" t="s">
        <v>2590</v>
      </c>
      <c r="D108" s="3004" t="s">
        <v>2591</v>
      </c>
      <c r="E108" s="3027">
        <v>0.15</v>
      </c>
      <c r="F108" s="3026">
        <v>20</v>
      </c>
    </row>
    <row r="109" spans="1:6" s="973" customFormat="1" ht="24">
      <c r="A109" s="3026">
        <v>37</v>
      </c>
      <c r="B109" s="3659"/>
      <c r="C109" s="3026" t="s">
        <v>2592</v>
      </c>
      <c r="D109" s="3004" t="s">
        <v>2593</v>
      </c>
      <c r="E109" s="3027">
        <v>0.15</v>
      </c>
      <c r="F109" s="3026">
        <v>20</v>
      </c>
    </row>
    <row r="110" spans="1:6" s="973" customFormat="1">
      <c r="A110" s="3026">
        <v>38</v>
      </c>
      <c r="B110" s="3659"/>
      <c r="C110" s="3026" t="s">
        <v>2594</v>
      </c>
      <c r="D110" s="3004" t="s">
        <v>2595</v>
      </c>
      <c r="E110" s="3027">
        <v>0.1</v>
      </c>
      <c r="F110" s="3026">
        <v>15</v>
      </c>
    </row>
    <row r="111" spans="1:6" s="973" customFormat="1" ht="24">
      <c r="A111" s="3026">
        <v>39</v>
      </c>
      <c r="B111" s="3659"/>
      <c r="C111" s="3026" t="s">
        <v>2596</v>
      </c>
      <c r="D111" s="3004" t="s">
        <v>2597</v>
      </c>
      <c r="E111" s="3027">
        <v>0.1</v>
      </c>
      <c r="F111" s="3026">
        <v>15</v>
      </c>
    </row>
    <row r="112" spans="1:6" s="973" customFormat="1" ht="24">
      <c r="A112" s="3026">
        <v>40</v>
      </c>
      <c r="B112" s="3665"/>
      <c r="C112" s="3026" t="s">
        <v>2598</v>
      </c>
      <c r="D112" s="3004" t="s">
        <v>2599</v>
      </c>
      <c r="E112" s="3027">
        <v>0.1</v>
      </c>
      <c r="F112" s="3026">
        <v>15</v>
      </c>
    </row>
    <row r="113" spans="1:6" s="973" customFormat="1" ht="24">
      <c r="A113" s="3026">
        <v>41</v>
      </c>
      <c r="B113" s="3666" t="s">
        <v>2600</v>
      </c>
      <c r="C113" s="3026" t="s">
        <v>2601</v>
      </c>
      <c r="D113" s="3004" t="s">
        <v>2602</v>
      </c>
      <c r="E113" s="3027">
        <v>0.1</v>
      </c>
      <c r="F113" s="3026">
        <v>15</v>
      </c>
    </row>
    <row r="114" spans="1:6" s="973" customFormat="1">
      <c r="A114" s="3026">
        <v>42</v>
      </c>
      <c r="B114" s="3666"/>
      <c r="C114" s="3026" t="s">
        <v>2603</v>
      </c>
      <c r="D114" s="3004" t="s">
        <v>2604</v>
      </c>
      <c r="E114" s="3027">
        <v>0.1</v>
      </c>
      <c r="F114" s="3026">
        <v>15</v>
      </c>
    </row>
    <row r="115" spans="1:6" s="973" customFormat="1" ht="24">
      <c r="A115" s="3026">
        <v>43</v>
      </c>
      <c r="B115" s="3666"/>
      <c r="C115" s="3026" t="s">
        <v>2605</v>
      </c>
      <c r="D115" s="3004" t="s">
        <v>2606</v>
      </c>
      <c r="E115" s="3027">
        <v>0.1</v>
      </c>
      <c r="F115" s="3026">
        <v>15</v>
      </c>
    </row>
    <row r="116" spans="1:6" s="973" customFormat="1" ht="24">
      <c r="A116" s="3026">
        <v>44</v>
      </c>
      <c r="B116" s="3664" t="s">
        <v>2607</v>
      </c>
      <c r="C116" s="3026" t="s">
        <v>2608</v>
      </c>
      <c r="D116" s="3004" t="s">
        <v>2609</v>
      </c>
      <c r="E116" s="3027">
        <v>0.1</v>
      </c>
      <c r="F116" s="3026">
        <v>15</v>
      </c>
    </row>
    <row r="117" spans="1:6" s="973" customFormat="1" ht="24">
      <c r="A117" s="3026">
        <v>45</v>
      </c>
      <c r="B117" s="3665"/>
      <c r="C117" s="3004" t="s">
        <v>2610</v>
      </c>
      <c r="D117" s="3004" t="s">
        <v>2611</v>
      </c>
      <c r="E117" s="3027">
        <v>0.1</v>
      </c>
      <c r="F117" s="3026">
        <v>15</v>
      </c>
    </row>
    <row r="118" spans="1:6" s="973" customFormat="1" ht="24">
      <c r="A118" s="3026">
        <v>46</v>
      </c>
      <c r="B118" s="3664" t="s">
        <v>2612</v>
      </c>
      <c r="C118" s="3026" t="s">
        <v>2613</v>
      </c>
      <c r="D118" s="3004" t="s">
        <v>2614</v>
      </c>
      <c r="E118" s="3027">
        <v>0.1</v>
      </c>
      <c r="F118" s="3026">
        <v>15</v>
      </c>
    </row>
    <row r="119" spans="1:6" s="973" customFormat="1" ht="24">
      <c r="A119" s="3026">
        <v>47</v>
      </c>
      <c r="B119" s="3665"/>
      <c r="C119" s="3026" t="s">
        <v>2615</v>
      </c>
      <c r="D119" s="3004" t="s">
        <v>2616</v>
      </c>
      <c r="E119" s="3027">
        <v>0.1</v>
      </c>
      <c r="F119" s="3026">
        <v>15</v>
      </c>
    </row>
    <row r="120" spans="1:6" s="973" customFormat="1" ht="24">
      <c r="A120" s="3026">
        <v>48</v>
      </c>
      <c r="B120" s="3664" t="s">
        <v>2617</v>
      </c>
      <c r="C120" s="3026" t="s">
        <v>2618</v>
      </c>
      <c r="D120" s="3004" t="s">
        <v>2619</v>
      </c>
      <c r="E120" s="3027">
        <v>0.1</v>
      </c>
      <c r="F120" s="3026">
        <v>15</v>
      </c>
    </row>
    <row r="121" spans="1:6" s="973" customFormat="1">
      <c r="A121" s="3026">
        <v>49</v>
      </c>
      <c r="B121" s="3665"/>
      <c r="C121" s="3026" t="s">
        <v>2620</v>
      </c>
      <c r="D121" s="3004" t="s">
        <v>2621</v>
      </c>
      <c r="E121" s="3027">
        <v>0.1</v>
      </c>
      <c r="F121" s="3026">
        <v>15</v>
      </c>
    </row>
    <row r="122" spans="1:6" s="973" customFormat="1" ht="24">
      <c r="A122" s="3026">
        <v>50</v>
      </c>
      <c r="B122" s="3666" t="s">
        <v>2622</v>
      </c>
      <c r="C122" s="3026" t="s">
        <v>2623</v>
      </c>
      <c r="D122" s="3004" t="s">
        <v>2624</v>
      </c>
      <c r="E122" s="3027">
        <v>0.1</v>
      </c>
      <c r="F122" s="3026">
        <v>15</v>
      </c>
    </row>
    <row r="123" spans="1:6" s="973" customFormat="1" ht="24">
      <c r="A123" s="3026">
        <v>51</v>
      </c>
      <c r="B123" s="3666"/>
      <c r="C123" s="3026" t="s">
        <v>2625</v>
      </c>
      <c r="D123" s="3004" t="s">
        <v>2626</v>
      </c>
      <c r="E123" s="3027">
        <v>0.1</v>
      </c>
      <c r="F123" s="3026">
        <v>15</v>
      </c>
    </row>
    <row r="124" spans="1:6" s="973" customFormat="1" ht="24">
      <c r="A124" s="3026">
        <v>52</v>
      </c>
      <c r="B124" s="3666" t="s">
        <v>2627</v>
      </c>
      <c r="C124" s="3026" t="s">
        <v>2628</v>
      </c>
      <c r="D124" s="3004" t="s">
        <v>2629</v>
      </c>
      <c r="E124" s="3027">
        <v>0.1</v>
      </c>
      <c r="F124" s="3026">
        <v>15</v>
      </c>
    </row>
    <row r="125" spans="1:6" s="973" customFormat="1" ht="24">
      <c r="A125" s="3026">
        <v>53</v>
      </c>
      <c r="B125" s="3666"/>
      <c r="C125" s="3026" t="s">
        <v>2630</v>
      </c>
      <c r="D125" s="3004" t="s">
        <v>2631</v>
      </c>
      <c r="E125" s="3027">
        <v>0.1</v>
      </c>
      <c r="F125" s="3026">
        <v>15</v>
      </c>
    </row>
    <row r="126" spans="1:6" ht="24">
      <c r="A126" s="3026">
        <v>54</v>
      </c>
      <c r="B126" s="3026" t="s">
        <v>2632</v>
      </c>
      <c r="C126" s="3026" t="s">
        <v>2633</v>
      </c>
      <c r="D126" s="3004" t="s">
        <v>2634</v>
      </c>
      <c r="E126" s="3027">
        <v>0.1</v>
      </c>
      <c r="F126" s="3026">
        <v>15</v>
      </c>
    </row>
    <row r="127" spans="1:6">
      <c r="A127" s="3026">
        <v>55</v>
      </c>
      <c r="B127" s="3666" t="s">
        <v>2635</v>
      </c>
      <c r="C127" s="3026" t="s">
        <v>2636</v>
      </c>
      <c r="D127" s="3004" t="s">
        <v>2637</v>
      </c>
      <c r="E127" s="3027">
        <v>0.1</v>
      </c>
      <c r="F127" s="3026">
        <v>15</v>
      </c>
    </row>
    <row r="128" spans="1:6">
      <c r="A128" s="3026">
        <v>56</v>
      </c>
      <c r="B128" s="3666"/>
      <c r="C128" s="3026" t="s">
        <v>2638</v>
      </c>
      <c r="D128" s="3004" t="s">
        <v>2639</v>
      </c>
      <c r="E128" s="3027">
        <v>0.1</v>
      </c>
      <c r="F128" s="3026">
        <v>15</v>
      </c>
    </row>
    <row r="129" spans="1:14" ht="24">
      <c r="A129" s="3026">
        <v>57</v>
      </c>
      <c r="B129" s="3666"/>
      <c r="C129" s="3026" t="s">
        <v>2640</v>
      </c>
      <c r="D129" s="3004" t="s">
        <v>2641</v>
      </c>
      <c r="E129" s="3027">
        <v>0.1</v>
      </c>
      <c r="F129" s="3026">
        <v>15</v>
      </c>
    </row>
    <row r="130" spans="1:14" ht="24">
      <c r="A130" s="3026">
        <v>58</v>
      </c>
      <c r="B130" s="3666" t="s">
        <v>2642</v>
      </c>
      <c r="C130" s="3026" t="s">
        <v>2643</v>
      </c>
      <c r="D130" s="3004" t="s">
        <v>2644</v>
      </c>
      <c r="E130" s="3027">
        <v>0.1</v>
      </c>
      <c r="F130" s="3026">
        <v>15</v>
      </c>
    </row>
    <row r="131" spans="1:14" ht="24">
      <c r="A131" s="3026">
        <v>59</v>
      </c>
      <c r="B131" s="3666"/>
      <c r="C131" s="3026" t="s">
        <v>2645</v>
      </c>
      <c r="D131" s="3004" t="s">
        <v>2646</v>
      </c>
      <c r="E131" s="3027">
        <v>0.1</v>
      </c>
      <c r="F131" s="3026">
        <v>15</v>
      </c>
    </row>
    <row r="132" spans="1:14" ht="24">
      <c r="A132" s="3026">
        <v>60</v>
      </c>
      <c r="B132" s="3664" t="s">
        <v>2647</v>
      </c>
      <c r="C132" s="3026" t="s">
        <v>2648</v>
      </c>
      <c r="D132" s="3004" t="s">
        <v>2649</v>
      </c>
      <c r="E132" s="3027">
        <v>0.1</v>
      </c>
      <c r="F132" s="3026">
        <v>15</v>
      </c>
    </row>
    <row r="133" spans="1:14" ht="24">
      <c r="A133" s="3026">
        <v>61</v>
      </c>
      <c r="B133" s="3665"/>
      <c r="C133" s="3026" t="s">
        <v>2650</v>
      </c>
      <c r="D133" s="3004" t="s">
        <v>2651</v>
      </c>
      <c r="E133" s="3027">
        <v>0.1</v>
      </c>
      <c r="F133" s="3026">
        <v>15</v>
      </c>
    </row>
    <row r="134" spans="1:14" ht="24">
      <c r="A134" s="3026">
        <v>62</v>
      </c>
      <c r="B134" s="3026" t="s">
        <v>2652</v>
      </c>
      <c r="C134" s="3026" t="s">
        <v>2653</v>
      </c>
      <c r="D134" s="3004" t="s">
        <v>2654</v>
      </c>
      <c r="E134" s="3027">
        <v>0.1</v>
      </c>
      <c r="F134" s="3026">
        <v>15</v>
      </c>
    </row>
    <row r="135" spans="1:14" ht="24">
      <c r="A135" s="3026">
        <v>63</v>
      </c>
      <c r="B135" s="3666" t="s">
        <v>2655</v>
      </c>
      <c r="C135" s="3026" t="s">
        <v>2656</v>
      </c>
      <c r="D135" s="3004" t="s">
        <v>2657</v>
      </c>
      <c r="E135" s="3027">
        <v>0.1</v>
      </c>
      <c r="F135" s="3026">
        <v>15</v>
      </c>
    </row>
    <row r="136" spans="1:14">
      <c r="A136" s="3026">
        <v>64</v>
      </c>
      <c r="B136" s="3666"/>
      <c r="C136" s="3026" t="s">
        <v>2658</v>
      </c>
      <c r="D136" s="3004" t="s">
        <v>2659</v>
      </c>
      <c r="E136" s="3027">
        <v>0.1</v>
      </c>
      <c r="F136" s="3026">
        <v>15</v>
      </c>
    </row>
    <row r="137" spans="1:14" ht="24">
      <c r="A137" s="3026">
        <v>65</v>
      </c>
      <c r="B137" s="3026" t="s">
        <v>2660</v>
      </c>
      <c r="C137" s="3026" t="s">
        <v>2661</v>
      </c>
      <c r="D137" s="3004" t="s">
        <v>2662</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67" t="s">
        <v>2801</v>
      </c>
      <c r="B1" s="3667"/>
      <c r="C1" s="3667"/>
      <c r="D1" s="3667"/>
      <c r="E1" s="3667"/>
      <c r="F1" s="3667"/>
      <c r="G1" s="3668"/>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2802</v>
      </c>
      <c r="B2" s="3154"/>
      <c r="C2" s="3154"/>
      <c r="D2" s="3154"/>
      <c r="E2" s="3154"/>
      <c r="F2" s="3154"/>
      <c r="G2" s="3149" t="s">
        <v>2803</v>
      </c>
      <c r="J2" s="3178" t="s">
        <v>2809</v>
      </c>
      <c r="K2" s="3158" t="s">
        <v>2811</v>
      </c>
      <c r="L2" s="3158" t="s">
        <v>2813</v>
      </c>
      <c r="M2" s="3158" t="s">
        <v>2819</v>
      </c>
      <c r="N2" s="3158" t="s">
        <v>2829</v>
      </c>
      <c r="O2" s="3158" t="s">
        <v>2844</v>
      </c>
      <c r="P2" s="3158" t="s">
        <v>2881</v>
      </c>
      <c r="Q2" s="3158" t="s">
        <v>2912</v>
      </c>
      <c r="R2" s="3158" t="s">
        <v>2940</v>
      </c>
      <c r="S2" s="3158" t="s">
        <v>2975</v>
      </c>
      <c r="T2" s="3158" t="s">
        <v>2995</v>
      </c>
      <c r="U2" s="3158" t="s">
        <v>3007</v>
      </c>
    </row>
    <row r="3" spans="1:21" s="961" customFormat="1" ht="19.5" customHeight="1">
      <c r="A3" s="3669" t="s">
        <v>2804</v>
      </c>
      <c r="B3" s="3150"/>
      <c r="C3" s="3151" t="s">
        <v>2782</v>
      </c>
      <c r="D3" s="3151" t="s">
        <v>2805</v>
      </c>
      <c r="E3" s="3151" t="s">
        <v>2784</v>
      </c>
      <c r="F3" s="3151" t="s">
        <v>2806</v>
      </c>
      <c r="G3" s="3151" t="s">
        <v>2727</v>
      </c>
      <c r="H3" s="964"/>
      <c r="J3" s="3178" t="s">
        <v>2810</v>
      </c>
      <c r="K3" s="3158" t="s">
        <v>973</v>
      </c>
      <c r="L3" s="3158" t="s">
        <v>974</v>
      </c>
      <c r="M3" s="3158" t="s">
        <v>975</v>
      </c>
      <c r="N3" s="3158" t="s">
        <v>976</v>
      </c>
      <c r="O3" s="3158" t="s">
        <v>977</v>
      </c>
      <c r="P3" s="3158" t="s">
        <v>978</v>
      </c>
      <c r="Q3" s="3158" t="s">
        <v>979</v>
      </c>
      <c r="R3" s="3158" t="s">
        <v>980</v>
      </c>
      <c r="S3" s="3158" t="s">
        <v>981</v>
      </c>
      <c r="T3" s="3158" t="s">
        <v>2996</v>
      </c>
      <c r="U3" s="3158" t="s">
        <v>3008</v>
      </c>
    </row>
    <row r="4" spans="1:21" s="961" customFormat="1" ht="19.5" customHeight="1" thickBot="1">
      <c r="A4" s="3670"/>
      <c r="B4" s="3152" t="s">
        <v>2807</v>
      </c>
      <c r="C4" s="3152" t="s">
        <v>2808</v>
      </c>
      <c r="D4" s="3152" t="s">
        <v>2808</v>
      </c>
      <c r="E4" s="3152" t="s">
        <v>2808</v>
      </c>
      <c r="F4" s="3153" t="s">
        <v>2808</v>
      </c>
      <c r="G4" s="3153" t="s">
        <v>2808</v>
      </c>
      <c r="H4" s="964"/>
      <c r="J4" s="3178" t="s">
        <v>982</v>
      </c>
      <c r="K4" s="3158" t="s">
        <v>983</v>
      </c>
      <c r="L4" s="3158" t="s">
        <v>984</v>
      </c>
      <c r="M4" s="3158" t="s">
        <v>985</v>
      </c>
      <c r="N4" s="3158" t="s">
        <v>986</v>
      </c>
      <c r="O4" s="3158" t="s">
        <v>987</v>
      </c>
      <c r="P4" s="3158" t="s">
        <v>988</v>
      </c>
      <c r="Q4" s="3158" t="s">
        <v>989</v>
      </c>
      <c r="R4" s="3158" t="s">
        <v>2941</v>
      </c>
      <c r="S4" s="3158" t="s">
        <v>2976</v>
      </c>
      <c r="T4" s="3158" t="s">
        <v>2997</v>
      </c>
      <c r="U4" s="3158" t="s">
        <v>3009</v>
      </c>
    </row>
    <row r="5" spans="1:21" ht="14.25" customHeight="1">
      <c r="A5" s="3155" t="s">
        <v>990</v>
      </c>
      <c r="B5" s="3156" t="s">
        <v>2809</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2942</v>
      </c>
      <c r="S5" s="3158" t="s">
        <v>2977</v>
      </c>
      <c r="T5" s="3158" t="s">
        <v>999</v>
      </c>
      <c r="U5" s="3158" t="s">
        <v>3010</v>
      </c>
    </row>
    <row r="6" spans="1:21" ht="14.25" customHeight="1">
      <c r="A6" s="3158" t="s">
        <v>990</v>
      </c>
      <c r="B6" s="3158" t="s">
        <v>2810</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2913</v>
      </c>
      <c r="R6" s="3158" t="s">
        <v>2943</v>
      </c>
      <c r="S6" s="3158" t="s">
        <v>1008</v>
      </c>
      <c r="T6" s="3158" t="s">
        <v>2998</v>
      </c>
      <c r="U6" s="3158" t="s">
        <v>3011</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2914</v>
      </c>
      <c r="R7" s="3158" t="s">
        <v>2944</v>
      </c>
      <c r="S7" s="3158" t="s">
        <v>2978</v>
      </c>
      <c r="T7" s="3158" t="s">
        <v>2999</v>
      </c>
      <c r="U7" s="1216" t="s">
        <v>3012</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2915</v>
      </c>
      <c r="R8" s="3158" t="s">
        <v>1021</v>
      </c>
      <c r="S8" s="3158" t="s">
        <v>2979</v>
      </c>
      <c r="T8" s="3158" t="s">
        <v>3000</v>
      </c>
      <c r="U8" s="3158" t="s">
        <v>3013</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2916</v>
      </c>
      <c r="R9" s="3158" t="s">
        <v>1029</v>
      </c>
      <c r="S9" s="3158" t="s">
        <v>1030</v>
      </c>
      <c r="T9" s="3158" t="s">
        <v>1047</v>
      </c>
    </row>
    <row r="10" spans="1:21" ht="14.25" customHeight="1">
      <c r="A10" s="3155" t="s">
        <v>1031</v>
      </c>
      <c r="B10" s="3156" t="s">
        <v>2811</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3001</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2882</v>
      </c>
      <c r="Q11" s="3158" t="s">
        <v>1038</v>
      </c>
      <c r="R11" s="3158" t="s">
        <v>1046</v>
      </c>
      <c r="S11" s="3158" t="s">
        <v>2980</v>
      </c>
      <c r="T11" s="3158" t="s">
        <v>3002</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2883</v>
      </c>
      <c r="Q12" s="3158" t="s">
        <v>2917</v>
      </c>
      <c r="R12" s="3158" t="s">
        <v>2945</v>
      </c>
      <c r="S12" s="3158" t="s">
        <v>2981</v>
      </c>
      <c r="T12" s="3158" t="s">
        <v>3003</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2884</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2946</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2885</v>
      </c>
      <c r="Q15" s="3158" t="s">
        <v>2918</v>
      </c>
      <c r="R15" s="3158" t="s">
        <v>1090</v>
      </c>
      <c r="S15" s="3158" t="s">
        <v>2982</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2886</v>
      </c>
      <c r="Q16" s="3158" t="s">
        <v>1075</v>
      </c>
      <c r="R16" s="3158" t="s">
        <v>1098</v>
      </c>
      <c r="S16" s="3158" t="s">
        <v>1054</v>
      </c>
      <c r="T16" s="3158" t="s">
        <v>3004</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2887</v>
      </c>
      <c r="Q17" s="3158" t="s">
        <v>2919</v>
      </c>
      <c r="R17" s="3158" t="s">
        <v>1104</v>
      </c>
      <c r="S17" s="3158" t="s">
        <v>2983</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2888</v>
      </c>
      <c r="Q18" s="3158" t="s">
        <v>1089</v>
      </c>
      <c r="R18" s="3158" t="s">
        <v>2947</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2889</v>
      </c>
      <c r="Q19" s="3158" t="s">
        <v>1097</v>
      </c>
      <c r="R19" s="3158" t="s">
        <v>2948</v>
      </c>
      <c r="S19" s="3158" t="s">
        <v>1113</v>
      </c>
      <c r="T19" s="3158" t="s">
        <v>3005</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2890</v>
      </c>
      <c r="Q20" s="3158" t="s">
        <v>2920</v>
      </c>
      <c r="R20" s="3158" t="s">
        <v>1139</v>
      </c>
      <c r="S20" s="3158" t="s">
        <v>2984</v>
      </c>
      <c r="T20" s="3158" t="s">
        <v>1126</v>
      </c>
    </row>
    <row r="21" spans="1:20" ht="14.25" customHeight="1">
      <c r="A21" s="3158" t="s">
        <v>1031</v>
      </c>
      <c r="B21" s="1216" t="s">
        <v>1055</v>
      </c>
      <c r="C21" s="3158">
        <v>32370</v>
      </c>
      <c r="D21" s="3158">
        <v>26730</v>
      </c>
      <c r="E21" s="3158">
        <v>26640</v>
      </c>
      <c r="F21" s="3164"/>
      <c r="G21" s="3165">
        <v>19440</v>
      </c>
      <c r="K21" s="3167" t="s">
        <v>2812</v>
      </c>
      <c r="L21" s="3158" t="s">
        <v>1115</v>
      </c>
      <c r="M21" s="3158" t="s">
        <v>1116</v>
      </c>
      <c r="N21" s="3158" t="s">
        <v>1117</v>
      </c>
      <c r="O21" s="3158" t="s">
        <v>1118</v>
      </c>
      <c r="P21" s="3158" t="s">
        <v>1112</v>
      </c>
      <c r="Q21" s="3158" t="s">
        <v>1132</v>
      </c>
      <c r="R21" s="3158" t="s">
        <v>1142</v>
      </c>
      <c r="S21" s="3158" t="s">
        <v>2985</v>
      </c>
      <c r="T21" s="3158" t="s">
        <v>3006</v>
      </c>
    </row>
    <row r="22" spans="1:20" ht="14.25" customHeight="1">
      <c r="A22" s="3158" t="s">
        <v>1031</v>
      </c>
      <c r="B22" s="1216" t="s">
        <v>1062</v>
      </c>
      <c r="C22" s="3158">
        <v>29830</v>
      </c>
      <c r="D22" s="3158">
        <v>27600</v>
      </c>
      <c r="E22" s="3158">
        <v>28150</v>
      </c>
      <c r="F22" s="3164"/>
      <c r="G22" s="3165">
        <v>20080</v>
      </c>
      <c r="L22" s="3167" t="s">
        <v>2814</v>
      </c>
      <c r="M22" s="3158" t="s">
        <v>1120</v>
      </c>
      <c r="N22" s="3158" t="s">
        <v>1121</v>
      </c>
      <c r="O22" s="3158" t="s">
        <v>1122</v>
      </c>
      <c r="P22" s="3158" t="s">
        <v>2891</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2815</v>
      </c>
      <c r="M23" s="3158" t="s">
        <v>1127</v>
      </c>
      <c r="N23" s="3158" t="s">
        <v>1128</v>
      </c>
      <c r="O23" s="3158" t="s">
        <v>2845</v>
      </c>
      <c r="P23" s="3158" t="s">
        <v>2892</v>
      </c>
      <c r="Q23" s="3158" t="s">
        <v>1138</v>
      </c>
      <c r="R23" s="3158" t="s">
        <v>1147</v>
      </c>
      <c r="S23" s="3158" t="s">
        <v>2986</v>
      </c>
    </row>
    <row r="24" spans="1:20" ht="14.25" customHeight="1">
      <c r="A24" s="3158" t="s">
        <v>1031</v>
      </c>
      <c r="B24" s="1216" t="s">
        <v>1078</v>
      </c>
      <c r="C24" s="3158">
        <v>27930</v>
      </c>
      <c r="D24" s="3158">
        <v>32260</v>
      </c>
      <c r="E24" s="3158">
        <v>32120</v>
      </c>
      <c r="F24" s="3164"/>
      <c r="G24" s="3165">
        <v>23470</v>
      </c>
      <c r="L24" s="3167" t="s">
        <v>2816</v>
      </c>
      <c r="M24" s="3158" t="s">
        <v>1130</v>
      </c>
      <c r="N24" s="3158" t="s">
        <v>1131</v>
      </c>
      <c r="O24" s="3158" t="s">
        <v>2846</v>
      </c>
      <c r="P24" s="3158" t="s">
        <v>1134</v>
      </c>
      <c r="Q24" s="3158" t="s">
        <v>2921</v>
      </c>
      <c r="R24" s="3158" t="s">
        <v>2949</v>
      </c>
      <c r="S24" s="3158" t="s">
        <v>2987</v>
      </c>
    </row>
    <row r="25" spans="1:20" ht="14.25" customHeight="1">
      <c r="A25" s="3158" t="s">
        <v>1031</v>
      </c>
      <c r="B25" s="1216" t="s">
        <v>1083</v>
      </c>
      <c r="C25" s="3158">
        <v>32230</v>
      </c>
      <c r="D25" s="3158">
        <v>29640</v>
      </c>
      <c r="E25" s="3158">
        <v>29510</v>
      </c>
      <c r="F25" s="3164"/>
      <c r="G25" s="3165">
        <v>21560</v>
      </c>
      <c r="L25" s="3167" t="s">
        <v>2817</v>
      </c>
      <c r="M25" s="3158" t="s">
        <v>2820</v>
      </c>
      <c r="N25" s="3158" t="s">
        <v>1133</v>
      </c>
      <c r="O25" s="3158" t="s">
        <v>1141</v>
      </c>
      <c r="P25" s="3158" t="s">
        <v>1137</v>
      </c>
      <c r="Q25" s="3158" t="s">
        <v>1124</v>
      </c>
      <c r="R25" s="3158" t="s">
        <v>1119</v>
      </c>
      <c r="S25" s="3158" t="s">
        <v>2988</v>
      </c>
    </row>
    <row r="26" spans="1:20" ht="14.25" customHeight="1">
      <c r="A26" s="3158" t="s">
        <v>1031</v>
      </c>
      <c r="B26" s="1216" t="s">
        <v>1092</v>
      </c>
      <c r="C26" s="3158">
        <v>31690</v>
      </c>
      <c r="D26" s="3158">
        <v>27650</v>
      </c>
      <c r="E26" s="3158">
        <v>28200</v>
      </c>
      <c r="F26" s="3164"/>
      <c r="G26" s="3165">
        <v>20110</v>
      </c>
      <c r="L26" s="3167" t="s">
        <v>2818</v>
      </c>
      <c r="M26" s="3158" t="s">
        <v>2821</v>
      </c>
      <c r="N26" s="3158" t="s">
        <v>1136</v>
      </c>
      <c r="O26" s="3158" t="s">
        <v>1143</v>
      </c>
      <c r="P26" s="3158" t="s">
        <v>2893</v>
      </c>
      <c r="Q26" s="3158" t="s">
        <v>2922</v>
      </c>
      <c r="R26" s="3158" t="s">
        <v>1125</v>
      </c>
      <c r="S26" s="3158" t="s">
        <v>2989</v>
      </c>
    </row>
    <row r="27" spans="1:20" ht="14.25" customHeight="1">
      <c r="A27" s="3158" t="s">
        <v>1031</v>
      </c>
      <c r="B27" s="1216" t="s">
        <v>1099</v>
      </c>
      <c r="C27" s="3158">
        <v>29610</v>
      </c>
      <c r="D27" s="3158">
        <v>27770</v>
      </c>
      <c r="E27" s="3158">
        <v>28300</v>
      </c>
      <c r="F27" s="3164"/>
      <c r="G27" s="3165">
        <v>20210</v>
      </c>
      <c r="M27" s="3158" t="s">
        <v>2822</v>
      </c>
      <c r="N27" s="3158" t="s">
        <v>1140</v>
      </c>
      <c r="O27" s="3158" t="s">
        <v>1146</v>
      </c>
      <c r="P27" s="3158" t="s">
        <v>1123</v>
      </c>
      <c r="Q27" s="3158" t="s">
        <v>2923</v>
      </c>
      <c r="R27" s="3158" t="s">
        <v>2950</v>
      </c>
      <c r="S27" s="3158" t="s">
        <v>2990</v>
      </c>
    </row>
    <row r="28" spans="1:20" ht="14.25" customHeight="1">
      <c r="A28" s="3172" t="s">
        <v>1031</v>
      </c>
      <c r="B28" s="2406" t="s">
        <v>1107</v>
      </c>
      <c r="C28" s="1214"/>
      <c r="D28" s="1214">
        <v>31520</v>
      </c>
      <c r="E28" s="1214">
        <v>31410</v>
      </c>
      <c r="F28" s="3169"/>
      <c r="G28" s="3170">
        <v>22940</v>
      </c>
      <c r="M28" s="3158" t="s">
        <v>2823</v>
      </c>
      <c r="N28" s="3158" t="s">
        <v>2830</v>
      </c>
      <c r="O28" s="3158" t="s">
        <v>2847</v>
      </c>
      <c r="P28" s="3158" t="s">
        <v>2894</v>
      </c>
      <c r="Q28" s="3158" t="s">
        <v>2924</v>
      </c>
      <c r="R28" s="3158" t="s">
        <v>2951</v>
      </c>
      <c r="S28" s="3167" t="s">
        <v>2991</v>
      </c>
    </row>
    <row r="29" spans="1:20" ht="14.25" customHeight="1" thickBot="1">
      <c r="A29" s="3173" t="s">
        <v>1031</v>
      </c>
      <c r="B29" s="3161" t="s">
        <v>2812</v>
      </c>
      <c r="C29" s="3161"/>
      <c r="D29" s="3161">
        <v>29460</v>
      </c>
      <c r="E29" s="3161">
        <v>28640</v>
      </c>
      <c r="F29" s="3162"/>
      <c r="G29" s="3174">
        <v>21430</v>
      </c>
      <c r="M29" s="3167" t="s">
        <v>2824</v>
      </c>
      <c r="N29" s="3158" t="s">
        <v>2831</v>
      </c>
      <c r="O29" s="3158" t="s">
        <v>2848</v>
      </c>
      <c r="P29" s="3158" t="s">
        <v>2895</v>
      </c>
      <c r="Q29" s="3158" t="s">
        <v>2925</v>
      </c>
      <c r="R29" s="3158" t="s">
        <v>2952</v>
      </c>
      <c r="S29" s="3167" t="s">
        <v>1129</v>
      </c>
    </row>
    <row r="30" spans="1:20" ht="14.25" customHeight="1">
      <c r="A30" s="3172" t="s">
        <v>1145</v>
      </c>
      <c r="B30" s="1216" t="s">
        <v>2813</v>
      </c>
      <c r="C30" s="1216">
        <v>26890</v>
      </c>
      <c r="D30" s="1216">
        <v>26770</v>
      </c>
      <c r="E30" s="1216">
        <v>25700</v>
      </c>
      <c r="F30" s="3159">
        <v>8180</v>
      </c>
      <c r="G30" s="3159">
        <v>18740</v>
      </c>
      <c r="I30" s="971"/>
      <c r="M30" s="3167" t="s">
        <v>2825</v>
      </c>
      <c r="N30" s="3158" t="s">
        <v>2832</v>
      </c>
      <c r="O30" s="3158" t="s">
        <v>2849</v>
      </c>
      <c r="P30" s="3158" t="s">
        <v>2896</v>
      </c>
      <c r="Q30" s="3158" t="s">
        <v>2926</v>
      </c>
      <c r="R30" s="3158" t="s">
        <v>2953</v>
      </c>
      <c r="S30" s="3167" t="s">
        <v>2992</v>
      </c>
    </row>
    <row r="31" spans="1:20" ht="14.25" customHeight="1">
      <c r="A31" s="3158" t="s">
        <v>1145</v>
      </c>
      <c r="B31" s="1216" t="s">
        <v>974</v>
      </c>
      <c r="C31" s="3158">
        <v>24550</v>
      </c>
      <c r="D31" s="3158">
        <v>23990</v>
      </c>
      <c r="E31" s="3158">
        <v>22930</v>
      </c>
      <c r="F31" s="3164">
        <v>7470</v>
      </c>
      <c r="G31" s="3164">
        <v>16790</v>
      </c>
      <c r="I31" s="971"/>
      <c r="M31" s="3167" t="s">
        <v>2826</v>
      </c>
      <c r="N31" s="3158" t="s">
        <v>2833</v>
      </c>
      <c r="O31" s="3158" t="s">
        <v>2850</v>
      </c>
      <c r="P31" s="3158" t="s">
        <v>2897</v>
      </c>
      <c r="Q31" s="3158" t="s">
        <v>2927</v>
      </c>
      <c r="R31" s="3158" t="s">
        <v>2954</v>
      </c>
      <c r="S31" s="3167" t="s">
        <v>2993</v>
      </c>
    </row>
    <row r="32" spans="1:20" ht="14.25" customHeight="1">
      <c r="A32" s="3158" t="s">
        <v>1145</v>
      </c>
      <c r="B32" s="1216" t="s">
        <v>984</v>
      </c>
      <c r="C32" s="3158">
        <v>27210</v>
      </c>
      <c r="D32" s="3158">
        <v>23240</v>
      </c>
      <c r="E32" s="3158">
        <v>23260</v>
      </c>
      <c r="F32" s="3164">
        <v>7130</v>
      </c>
      <c r="G32" s="3164">
        <v>16270</v>
      </c>
      <c r="I32" s="971"/>
      <c r="M32" s="3167" t="s">
        <v>2827</v>
      </c>
      <c r="N32" s="3158" t="s">
        <v>2834</v>
      </c>
      <c r="O32" s="3158" t="s">
        <v>1149</v>
      </c>
      <c r="P32" s="3158" t="s">
        <v>2898</v>
      </c>
      <c r="Q32" s="3158" t="s">
        <v>1148</v>
      </c>
      <c r="R32" s="3158" t="s">
        <v>2955</v>
      </c>
      <c r="S32" s="3167" t="s">
        <v>2994</v>
      </c>
    </row>
    <row r="33" spans="1:18" ht="14.25" customHeight="1">
      <c r="A33" s="3158" t="s">
        <v>1145</v>
      </c>
      <c r="B33" s="1216" t="s">
        <v>993</v>
      </c>
      <c r="C33" s="3158">
        <v>27300</v>
      </c>
      <c r="D33" s="3158">
        <v>22980</v>
      </c>
      <c r="E33" s="3158">
        <v>24260</v>
      </c>
      <c r="F33" s="3164">
        <v>5860</v>
      </c>
      <c r="G33" s="3164">
        <v>16090</v>
      </c>
      <c r="I33" s="971"/>
      <c r="M33" s="3167" t="s">
        <v>2828</v>
      </c>
      <c r="N33" s="3158" t="s">
        <v>2835</v>
      </c>
      <c r="O33" s="3158" t="s">
        <v>1150</v>
      </c>
      <c r="P33" s="3158" t="s">
        <v>2899</v>
      </c>
      <c r="Q33" s="3158" t="s">
        <v>2928</v>
      </c>
      <c r="R33" s="3158" t="s">
        <v>2956</v>
      </c>
    </row>
    <row r="34" spans="1:18" ht="14.25" customHeight="1">
      <c r="A34" s="3158" t="s">
        <v>1145</v>
      </c>
      <c r="B34" s="1216" t="s">
        <v>1003</v>
      </c>
      <c r="C34" s="3158">
        <v>23090</v>
      </c>
      <c r="D34" s="3158">
        <v>23390</v>
      </c>
      <c r="E34" s="3158">
        <v>23510</v>
      </c>
      <c r="F34" s="3164">
        <v>6700</v>
      </c>
      <c r="G34" s="3164">
        <v>16370</v>
      </c>
      <c r="I34" s="971"/>
      <c r="N34" s="3158" t="s">
        <v>2836</v>
      </c>
      <c r="O34" s="3158" t="s">
        <v>1151</v>
      </c>
      <c r="P34" s="3158" t="s">
        <v>2900</v>
      </c>
      <c r="Q34" s="3158" t="s">
        <v>2929</v>
      </c>
      <c r="R34" s="3158" t="s">
        <v>2957</v>
      </c>
    </row>
    <row r="35" spans="1:18" ht="14.25" customHeight="1">
      <c r="A35" s="3158" t="s">
        <v>1145</v>
      </c>
      <c r="B35" s="1216" t="s">
        <v>1010</v>
      </c>
      <c r="C35" s="3158">
        <v>27270</v>
      </c>
      <c r="D35" s="3158">
        <v>24270</v>
      </c>
      <c r="E35" s="3158">
        <v>24950</v>
      </c>
      <c r="F35" s="3164">
        <v>6600</v>
      </c>
      <c r="G35" s="3164">
        <v>16990</v>
      </c>
      <c r="I35" s="971"/>
      <c r="N35" s="3158" t="s">
        <v>2837</v>
      </c>
      <c r="O35" s="3158" t="s">
        <v>2851</v>
      </c>
      <c r="P35" s="3158" t="s">
        <v>2901</v>
      </c>
      <c r="Q35" s="3158" t="s">
        <v>2930</v>
      </c>
      <c r="R35" s="3158" t="s">
        <v>2958</v>
      </c>
    </row>
    <row r="36" spans="1:18" ht="14.25" customHeight="1">
      <c r="A36" s="3158" t="s">
        <v>1145</v>
      </c>
      <c r="B36" s="1216" t="s">
        <v>1016</v>
      </c>
      <c r="C36" s="3158">
        <v>23490</v>
      </c>
      <c r="D36" s="3158">
        <v>23020</v>
      </c>
      <c r="E36" s="3158">
        <v>25230</v>
      </c>
      <c r="F36" s="3164">
        <v>6780</v>
      </c>
      <c r="G36" s="3164">
        <v>16120</v>
      </c>
      <c r="I36" s="971"/>
      <c r="N36" s="3167" t="s">
        <v>2838</v>
      </c>
      <c r="O36" s="3194" t="s">
        <v>2852</v>
      </c>
      <c r="P36" s="3158" t="s">
        <v>2902</v>
      </c>
      <c r="Q36" s="3158" t="s">
        <v>2931</v>
      </c>
      <c r="R36" s="3158" t="s">
        <v>2959</v>
      </c>
    </row>
    <row r="37" spans="1:18" ht="14.25" customHeight="1">
      <c r="A37" s="3158" t="s">
        <v>1145</v>
      </c>
      <c r="B37" s="1216" t="s">
        <v>1023</v>
      </c>
      <c r="C37" s="3158">
        <v>24380</v>
      </c>
      <c r="D37" s="3158">
        <v>22240</v>
      </c>
      <c r="E37" s="3158">
        <v>25980</v>
      </c>
      <c r="F37" s="3164">
        <v>8160</v>
      </c>
      <c r="G37" s="3164">
        <v>15570</v>
      </c>
      <c r="I37" s="972"/>
      <c r="N37" s="3167" t="s">
        <v>2839</v>
      </c>
      <c r="O37" s="3194" t="s">
        <v>2853</v>
      </c>
      <c r="P37" s="3158" t="s">
        <v>2903</v>
      </c>
      <c r="Q37" s="3158" t="s">
        <v>2932</v>
      </c>
      <c r="R37" s="3158" t="s">
        <v>2960</v>
      </c>
    </row>
    <row r="38" spans="1:18" ht="14.25" customHeight="1">
      <c r="A38" s="3158" t="s">
        <v>1145</v>
      </c>
      <c r="B38" s="1216" t="s">
        <v>1033</v>
      </c>
      <c r="C38" s="3158">
        <v>23120</v>
      </c>
      <c r="D38" s="3158">
        <v>24630</v>
      </c>
      <c r="E38" s="3158">
        <v>25030</v>
      </c>
      <c r="F38" s="3164">
        <v>7710</v>
      </c>
      <c r="G38" s="3164">
        <v>17240</v>
      </c>
      <c r="I38" s="971"/>
      <c r="N38" s="3167" t="s">
        <v>2840</v>
      </c>
      <c r="O38" s="3194" t="s">
        <v>2854</v>
      </c>
      <c r="P38" s="3158" t="s">
        <v>2904</v>
      </c>
      <c r="Q38" s="3158" t="s">
        <v>2933</v>
      </c>
      <c r="R38" s="3158" t="s">
        <v>2961</v>
      </c>
    </row>
    <row r="39" spans="1:18" ht="14.25" customHeight="1">
      <c r="A39" s="3158" t="s">
        <v>1145</v>
      </c>
      <c r="B39" s="1216" t="s">
        <v>1042</v>
      </c>
      <c r="C39" s="3158">
        <v>22330</v>
      </c>
      <c r="D39" s="3158">
        <v>21140</v>
      </c>
      <c r="E39" s="3158">
        <v>23970</v>
      </c>
      <c r="F39" s="3164">
        <v>7940</v>
      </c>
      <c r="G39" s="3164">
        <v>14790</v>
      </c>
      <c r="I39" s="971"/>
      <c r="N39" s="3167" t="s">
        <v>2841</v>
      </c>
      <c r="O39" s="3194" t="s">
        <v>2855</v>
      </c>
      <c r="P39" s="3158" t="s">
        <v>2905</v>
      </c>
      <c r="Q39" s="3158" t="s">
        <v>2934</v>
      </c>
      <c r="R39" s="3158" t="s">
        <v>2962</v>
      </c>
    </row>
    <row r="40" spans="1:18" ht="14.25" customHeight="1">
      <c r="A40" s="3158" t="s">
        <v>1145</v>
      </c>
      <c r="B40" s="1216" t="s">
        <v>1049</v>
      </c>
      <c r="C40" s="3158">
        <v>24740</v>
      </c>
      <c r="D40" s="3158">
        <v>24690</v>
      </c>
      <c r="E40" s="3158">
        <v>22610</v>
      </c>
      <c r="F40" s="3164"/>
      <c r="G40" s="3164">
        <v>17280</v>
      </c>
      <c r="I40" s="971"/>
      <c r="N40" s="3167" t="s">
        <v>2842</v>
      </c>
      <c r="O40" s="3194" t="s">
        <v>2856</v>
      </c>
      <c r="P40" s="3158" t="s">
        <v>2906</v>
      </c>
      <c r="Q40" s="3158" t="s">
        <v>2935</v>
      </c>
      <c r="R40" s="3158" t="s">
        <v>2963</v>
      </c>
    </row>
    <row r="41" spans="1:18" ht="14.25" customHeight="1">
      <c r="A41" s="3158" t="s">
        <v>1145</v>
      </c>
      <c r="B41" s="1216" t="s">
        <v>1056</v>
      </c>
      <c r="C41" s="3158">
        <v>21220</v>
      </c>
      <c r="D41" s="3158">
        <v>21120</v>
      </c>
      <c r="E41" s="3158">
        <v>22590</v>
      </c>
      <c r="F41" s="3164"/>
      <c r="G41" s="3164">
        <v>14780</v>
      </c>
      <c r="I41" s="971"/>
      <c r="N41" s="3167" t="s">
        <v>2843</v>
      </c>
      <c r="O41" s="3195" t="s">
        <v>2857</v>
      </c>
      <c r="P41" s="1216" t="s">
        <v>2907</v>
      </c>
      <c r="Q41" s="3167" t="s">
        <v>2936</v>
      </c>
      <c r="R41" s="1216" t="s">
        <v>2964</v>
      </c>
    </row>
    <row r="42" spans="1:18" ht="14.25" customHeight="1">
      <c r="A42" s="3158" t="s">
        <v>1145</v>
      </c>
      <c r="B42" s="1216" t="s">
        <v>1063</v>
      </c>
      <c r="C42" s="3158">
        <v>24800</v>
      </c>
      <c r="D42" s="3158">
        <v>22280</v>
      </c>
      <c r="E42" s="3158">
        <v>24350</v>
      </c>
      <c r="F42" s="3164"/>
      <c r="G42" s="3164">
        <v>15590</v>
      </c>
      <c r="I42" s="971"/>
      <c r="O42" s="3158" t="s">
        <v>2858</v>
      </c>
      <c r="P42" s="3158" t="s">
        <v>2908</v>
      </c>
      <c r="Q42" s="3167" t="s">
        <v>2937</v>
      </c>
      <c r="R42" s="3158" t="s">
        <v>2965</v>
      </c>
    </row>
    <row r="43" spans="1:18" ht="14.25" customHeight="1">
      <c r="A43" s="3158" t="s">
        <v>1145</v>
      </c>
      <c r="B43" s="1216" t="s">
        <v>1071</v>
      </c>
      <c r="C43" s="3158">
        <v>21210</v>
      </c>
      <c r="D43" s="3158">
        <v>21160</v>
      </c>
      <c r="E43" s="3158">
        <v>22650</v>
      </c>
      <c r="F43" s="3164"/>
      <c r="G43" s="3164">
        <v>14800</v>
      </c>
      <c r="I43" s="971"/>
      <c r="O43" s="3158" t="s">
        <v>2859</v>
      </c>
      <c r="P43" s="3158" t="s">
        <v>2909</v>
      </c>
      <c r="Q43" s="3167" t="s">
        <v>2938</v>
      </c>
      <c r="R43" s="3158" t="s">
        <v>2966</v>
      </c>
    </row>
    <row r="44" spans="1:18" ht="14.25" customHeight="1">
      <c r="A44" s="3158" t="s">
        <v>1145</v>
      </c>
      <c r="B44" s="1216" t="s">
        <v>1079</v>
      </c>
      <c r="C44" s="3158">
        <v>22370</v>
      </c>
      <c r="D44" s="3158">
        <v>23140</v>
      </c>
      <c r="E44" s="3158">
        <v>25090</v>
      </c>
      <c r="F44" s="3164"/>
      <c r="G44" s="3164">
        <v>16190</v>
      </c>
      <c r="I44" s="971"/>
      <c r="O44" s="3158" t="s">
        <v>2860</v>
      </c>
      <c r="P44" s="3158" t="s">
        <v>2910</v>
      </c>
      <c r="Q44" s="3167" t="s">
        <v>2939</v>
      </c>
      <c r="R44" s="3158" t="s">
        <v>2967</v>
      </c>
    </row>
    <row r="45" spans="1:18" ht="14.25" customHeight="1">
      <c r="A45" s="3158" t="s">
        <v>1145</v>
      </c>
      <c r="B45" s="1216" t="s">
        <v>1084</v>
      </c>
      <c r="C45" s="3158">
        <v>21240</v>
      </c>
      <c r="D45" s="3158">
        <v>27050</v>
      </c>
      <c r="E45" s="3158">
        <v>28000</v>
      </c>
      <c r="F45" s="3164"/>
      <c r="G45" s="3164">
        <v>18940</v>
      </c>
      <c r="I45" s="971"/>
      <c r="O45" s="3158" t="s">
        <v>2861</v>
      </c>
      <c r="P45" s="3158" t="s">
        <v>2911</v>
      </c>
      <c r="R45" s="3158" t="s">
        <v>2968</v>
      </c>
    </row>
    <row r="46" spans="1:18" ht="14.25" customHeight="1">
      <c r="A46" s="3158" t="s">
        <v>1145</v>
      </c>
      <c r="B46" s="1216" t="s">
        <v>1093</v>
      </c>
      <c r="C46" s="3158">
        <v>23240</v>
      </c>
      <c r="D46" s="3158">
        <v>23000</v>
      </c>
      <c r="E46" s="3158">
        <v>24980</v>
      </c>
      <c r="F46" s="3164"/>
      <c r="G46" s="3164">
        <v>16100</v>
      </c>
      <c r="I46" s="971"/>
      <c r="O46" s="3158" t="s">
        <v>2862</v>
      </c>
      <c r="P46" s="3158"/>
      <c r="R46" s="3158" t="s">
        <v>2969</v>
      </c>
    </row>
    <row r="47" spans="1:18" ht="14.25" customHeight="1">
      <c r="A47" s="3158" t="s">
        <v>1145</v>
      </c>
      <c r="B47" s="2406" t="s">
        <v>1100</v>
      </c>
      <c r="C47" s="1214">
        <v>27150</v>
      </c>
      <c r="D47" s="1214">
        <v>23310</v>
      </c>
      <c r="E47" s="1214">
        <v>25150</v>
      </c>
      <c r="F47" s="3169"/>
      <c r="G47" s="3169">
        <v>16310</v>
      </c>
      <c r="I47" s="971"/>
      <c r="O47" s="3158" t="s">
        <v>2863</v>
      </c>
      <c r="P47" s="3158"/>
      <c r="R47" s="3167" t="s">
        <v>2970</v>
      </c>
    </row>
    <row r="48" spans="1:18" ht="14.25" customHeight="1">
      <c r="A48" s="3158" t="s">
        <v>1145</v>
      </c>
      <c r="B48" s="3158" t="s">
        <v>1108</v>
      </c>
      <c r="C48" s="3158">
        <v>23100</v>
      </c>
      <c r="D48" s="3158">
        <v>21110</v>
      </c>
      <c r="E48" s="3158">
        <v>23080</v>
      </c>
      <c r="F48" s="3164"/>
      <c r="G48" s="3171">
        <v>14780</v>
      </c>
      <c r="I48" s="971"/>
      <c r="O48" s="3158" t="s">
        <v>2864</v>
      </c>
      <c r="P48" s="3158"/>
      <c r="R48" s="3167" t="s">
        <v>2971</v>
      </c>
    </row>
    <row r="49" spans="1:18" ht="14.25" customHeight="1">
      <c r="A49" s="3158" t="s">
        <v>1145</v>
      </c>
      <c r="B49" s="1216" t="s">
        <v>1115</v>
      </c>
      <c r="C49" s="1216">
        <v>23400</v>
      </c>
      <c r="D49" s="1216">
        <v>22920</v>
      </c>
      <c r="E49" s="1216">
        <v>24900</v>
      </c>
      <c r="F49" s="3159"/>
      <c r="G49" s="3159">
        <v>16040</v>
      </c>
      <c r="I49" s="971"/>
      <c r="O49" s="3158" t="s">
        <v>2865</v>
      </c>
      <c r="P49" s="3158"/>
      <c r="R49" s="3167" t="s">
        <v>2972</v>
      </c>
    </row>
    <row r="50" spans="1:18" ht="14.25" customHeight="1">
      <c r="A50" s="3158" t="s">
        <v>1145</v>
      </c>
      <c r="B50" s="3158" t="s">
        <v>2814</v>
      </c>
      <c r="C50" s="3158">
        <v>21200</v>
      </c>
      <c r="D50" s="3158">
        <v>26540</v>
      </c>
      <c r="E50" s="3158">
        <v>23200</v>
      </c>
      <c r="F50" s="3164"/>
      <c r="G50" s="3164">
        <v>18580</v>
      </c>
      <c r="I50" s="971"/>
      <c r="O50" s="3167" t="s">
        <v>2866</v>
      </c>
      <c r="R50" s="3167" t="s">
        <v>2973</v>
      </c>
    </row>
    <row r="51" spans="1:18" ht="14.25" customHeight="1">
      <c r="A51" s="3158" t="s">
        <v>1145</v>
      </c>
      <c r="B51" s="3158" t="s">
        <v>2815</v>
      </c>
      <c r="C51" s="3158">
        <v>23000</v>
      </c>
      <c r="D51" s="3158">
        <v>23460</v>
      </c>
      <c r="E51" s="3158">
        <v>25290</v>
      </c>
      <c r="F51" s="3164"/>
      <c r="G51" s="3164">
        <v>16420</v>
      </c>
      <c r="I51" s="971"/>
      <c r="O51" s="3167" t="s">
        <v>2867</v>
      </c>
      <c r="R51" s="3167" t="s">
        <v>2974</v>
      </c>
    </row>
    <row r="52" spans="1:18" ht="14.25" customHeight="1">
      <c r="A52" s="3158" t="s">
        <v>1145</v>
      </c>
      <c r="B52" s="3158" t="s">
        <v>2816</v>
      </c>
      <c r="C52" s="3158">
        <v>26660</v>
      </c>
      <c r="D52" s="3158">
        <v>22350</v>
      </c>
      <c r="E52" s="3158">
        <v>22920</v>
      </c>
      <c r="F52" s="3164"/>
      <c r="G52" s="3164">
        <v>15640</v>
      </c>
      <c r="I52" s="971"/>
      <c r="O52" s="3167" t="s">
        <v>2868</v>
      </c>
    </row>
    <row r="53" spans="1:18" ht="14.25" customHeight="1">
      <c r="A53" s="3158" t="s">
        <v>1145</v>
      </c>
      <c r="B53" s="3158" t="s">
        <v>2817</v>
      </c>
      <c r="C53" s="3158">
        <v>23580</v>
      </c>
      <c r="D53" s="3158"/>
      <c r="E53" s="3158">
        <v>24280</v>
      </c>
      <c r="F53" s="3164"/>
      <c r="G53" s="3164"/>
      <c r="I53" s="971"/>
      <c r="O53" s="3167" t="s">
        <v>2869</v>
      </c>
    </row>
    <row r="54" spans="1:18" ht="14.25" customHeight="1" thickBot="1">
      <c r="A54" s="3173" t="s">
        <v>1145</v>
      </c>
      <c r="B54" s="3161" t="s">
        <v>2818</v>
      </c>
      <c r="C54" s="3161">
        <v>22460</v>
      </c>
      <c r="D54" s="3161"/>
      <c r="E54" s="3161"/>
      <c r="F54" s="3162"/>
      <c r="G54" s="3174"/>
      <c r="I54" s="971"/>
      <c r="O54" s="3167" t="s">
        <v>2870</v>
      </c>
    </row>
    <row r="55" spans="1:18" ht="14.25" customHeight="1">
      <c r="A55" s="3172" t="s">
        <v>853</v>
      </c>
      <c r="B55" s="1216" t="s">
        <v>2819</v>
      </c>
      <c r="C55" s="1216">
        <v>21970</v>
      </c>
      <c r="D55" s="1216">
        <v>20370</v>
      </c>
      <c r="E55" s="1216">
        <v>20180</v>
      </c>
      <c r="F55" s="3159">
        <v>5730</v>
      </c>
      <c r="G55" s="3159">
        <v>13820</v>
      </c>
      <c r="I55" s="971"/>
      <c r="O55" s="3167" t="s">
        <v>2871</v>
      </c>
    </row>
    <row r="56" spans="1:18" ht="14.25" customHeight="1">
      <c r="A56" s="3158" t="s">
        <v>853</v>
      </c>
      <c r="B56" s="3158" t="s">
        <v>975</v>
      </c>
      <c r="C56" s="3158">
        <v>20470</v>
      </c>
      <c r="D56" s="3158">
        <v>20700</v>
      </c>
      <c r="E56" s="3158">
        <v>20380</v>
      </c>
      <c r="F56" s="3164">
        <v>4760</v>
      </c>
      <c r="G56" s="3164">
        <v>14050</v>
      </c>
      <c r="I56" s="971"/>
      <c r="O56" s="3167" t="s">
        <v>2872</v>
      </c>
    </row>
    <row r="57" spans="1:18" ht="14.25" customHeight="1">
      <c r="A57" s="3158" t="s">
        <v>853</v>
      </c>
      <c r="B57" s="3158" t="s">
        <v>985</v>
      </c>
      <c r="C57" s="3158">
        <v>20790</v>
      </c>
      <c r="D57" s="3158">
        <v>21370</v>
      </c>
      <c r="E57" s="3158">
        <v>20890</v>
      </c>
      <c r="F57" s="3164">
        <v>4910</v>
      </c>
      <c r="G57" s="3164">
        <v>14510</v>
      </c>
      <c r="I57" s="971"/>
      <c r="O57" s="3167" t="s">
        <v>2873</v>
      </c>
    </row>
    <row r="58" spans="1:18" ht="14.25" customHeight="1">
      <c r="A58" s="3158" t="s">
        <v>853</v>
      </c>
      <c r="B58" s="3158" t="s">
        <v>994</v>
      </c>
      <c r="C58" s="3158">
        <v>21460</v>
      </c>
      <c r="D58" s="3158">
        <v>20920</v>
      </c>
      <c r="E58" s="3158">
        <v>23410</v>
      </c>
      <c r="F58" s="3164">
        <v>5100</v>
      </c>
      <c r="G58" s="3164">
        <v>14200</v>
      </c>
      <c r="I58" s="971"/>
      <c r="O58" s="3167" t="s">
        <v>2874</v>
      </c>
    </row>
    <row r="59" spans="1:18" ht="14.25" customHeight="1">
      <c r="A59" s="3158" t="s">
        <v>853</v>
      </c>
      <c r="B59" s="3158" t="s">
        <v>1004</v>
      </c>
      <c r="C59" s="3158">
        <v>21000</v>
      </c>
      <c r="D59" s="3158">
        <v>21550</v>
      </c>
      <c r="E59" s="3158">
        <v>21150</v>
      </c>
      <c r="F59" s="3164">
        <v>5250</v>
      </c>
      <c r="G59" s="3164">
        <v>14630</v>
      </c>
      <c r="I59" s="971"/>
      <c r="O59" s="3167" t="s">
        <v>2875</v>
      </c>
    </row>
    <row r="60" spans="1:18" ht="14.25" customHeight="1">
      <c r="A60" s="3158" t="s">
        <v>853</v>
      </c>
      <c r="B60" s="3158" t="s">
        <v>1011</v>
      </c>
      <c r="C60" s="3158">
        <v>21640</v>
      </c>
      <c r="D60" s="3158">
        <v>21260</v>
      </c>
      <c r="E60" s="3158">
        <v>24040</v>
      </c>
      <c r="F60" s="3164">
        <v>4470</v>
      </c>
      <c r="G60" s="3164">
        <v>14430</v>
      </c>
      <c r="I60" s="971"/>
      <c r="O60" s="3167" t="s">
        <v>2876</v>
      </c>
    </row>
    <row r="61" spans="1:18" ht="14.25" customHeight="1">
      <c r="A61" s="3158" t="s">
        <v>853</v>
      </c>
      <c r="B61" s="3158" t="s">
        <v>1017</v>
      </c>
      <c r="C61" s="3158">
        <v>21330</v>
      </c>
      <c r="D61" s="3158">
        <v>18640</v>
      </c>
      <c r="E61" s="3158">
        <v>21190</v>
      </c>
      <c r="F61" s="3164">
        <v>4180</v>
      </c>
      <c r="G61" s="3166">
        <v>12650</v>
      </c>
      <c r="I61" s="971"/>
      <c r="O61" s="3167" t="s">
        <v>2877</v>
      </c>
    </row>
    <row r="62" spans="1:18" ht="14.25" customHeight="1">
      <c r="A62" s="3158" t="s">
        <v>853</v>
      </c>
      <c r="B62" s="3158" t="s">
        <v>1024</v>
      </c>
      <c r="C62" s="3158">
        <v>18710</v>
      </c>
      <c r="D62" s="3158">
        <v>19400</v>
      </c>
      <c r="E62" s="3158">
        <v>23750</v>
      </c>
      <c r="F62" s="3164">
        <v>4860</v>
      </c>
      <c r="G62" s="3166">
        <v>13170</v>
      </c>
      <c r="I62" s="971"/>
      <c r="O62" s="3167" t="s">
        <v>2878</v>
      </c>
    </row>
    <row r="63" spans="1:18" ht="14.25" customHeight="1">
      <c r="A63" s="3158" t="s">
        <v>853</v>
      </c>
      <c r="B63" s="3158" t="s">
        <v>1034</v>
      </c>
      <c r="C63" s="3158">
        <v>19480</v>
      </c>
      <c r="D63" s="3158">
        <v>16830</v>
      </c>
      <c r="E63" s="3158">
        <v>21590</v>
      </c>
      <c r="F63" s="3164">
        <v>4560</v>
      </c>
      <c r="G63" s="3166">
        <v>11420</v>
      </c>
      <c r="I63" s="971"/>
      <c r="O63" s="3167" t="s">
        <v>2879</v>
      </c>
    </row>
    <row r="64" spans="1:18" ht="14.25" customHeight="1">
      <c r="A64" s="3158" t="s">
        <v>853</v>
      </c>
      <c r="B64" s="3158" t="s">
        <v>1043</v>
      </c>
      <c r="C64" s="3158">
        <v>16920</v>
      </c>
      <c r="D64" s="3158">
        <v>19190</v>
      </c>
      <c r="E64" s="3158">
        <v>22200</v>
      </c>
      <c r="F64" s="3164">
        <v>4390</v>
      </c>
      <c r="G64" s="3166">
        <v>13030</v>
      </c>
      <c r="I64" s="971"/>
      <c r="O64" s="3167" t="s">
        <v>2880</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2820</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2821</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2822</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2823</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2824</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2825</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2826</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2827</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2828</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2829</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2830</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2831</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2832</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2833</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2834</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2835</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2836</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2837</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2838</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2839</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2840</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2841</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2842</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2843</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2844</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2845</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2846</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2847</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2848</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2849</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2850</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2851</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2852</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2853</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2854</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2855</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2856</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2857</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2858</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2859</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2860</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2861</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2862</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2863</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2864</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2865</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2866</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2867</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2868</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2869</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2870</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2871</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2872</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2873</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2874</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2875</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2876</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2877</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2878</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2879</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2880</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2881</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2882</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2883</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2884</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2885</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2886</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2887</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2888</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2889</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2890</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2891</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2892</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2893</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2894</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2895</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2896</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2897</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2898</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2899</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2900</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2901</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2902</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2903</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2904</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2905</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2906</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2907</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2908</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2909</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2910</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2911</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2912</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2913</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2914</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2915</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2916</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2917</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2918</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2919</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2920</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2921</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2922</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2923</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2924</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2925</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2926</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2927</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2928</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2929</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2930</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2931</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2932</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2933</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2934</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2935</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2936</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2937</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2938</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2939</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2940</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2941</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2942</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2943</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2944</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2945</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2946</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2947</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2948</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2949</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2950</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2951</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2952</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2953</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2954</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2955</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2956</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2957</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2958</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2959</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2960</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2961</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2962</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2963</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2964</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2965</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2966</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2967</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2968</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2969</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2970</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2971</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2972</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2973</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2974</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2975</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2976</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2977</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2978</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2979</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2980</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2981</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2982</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2983</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2984</v>
      </c>
      <c r="C345" s="3167">
        <v>3190</v>
      </c>
      <c r="D345" s="3167">
        <v>3140</v>
      </c>
      <c r="E345" s="3167">
        <v>3450</v>
      </c>
      <c r="F345" s="3167">
        <v>720</v>
      </c>
      <c r="G345" s="3167">
        <v>1880</v>
      </c>
      <c r="H345" s="957"/>
    </row>
    <row r="346" spans="1:21">
      <c r="A346" s="3167" t="s">
        <v>1157</v>
      </c>
      <c r="B346" s="3167" t="s">
        <v>2985</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2986</v>
      </c>
      <c r="C348" s="3167">
        <v>4000</v>
      </c>
      <c r="D348" s="3167">
        <v>3950</v>
      </c>
      <c r="E348" s="3167">
        <v>4430</v>
      </c>
      <c r="F348" s="3167">
        <v>760</v>
      </c>
      <c r="G348" s="3167">
        <v>2360</v>
      </c>
      <c r="H348" s="957"/>
    </row>
    <row r="349" spans="1:21">
      <c r="A349" s="3167" t="s">
        <v>1157</v>
      </c>
      <c r="B349" s="3167" t="s">
        <v>2987</v>
      </c>
      <c r="C349" s="3167">
        <v>3820</v>
      </c>
      <c r="D349" s="3167">
        <v>3780</v>
      </c>
      <c r="E349" s="3167">
        <v>4170</v>
      </c>
      <c r="F349" s="3167">
        <v>710</v>
      </c>
      <c r="G349" s="3167">
        <v>2260</v>
      </c>
      <c r="H349" s="957"/>
    </row>
    <row r="350" spans="1:21">
      <c r="A350" s="3167" t="s">
        <v>1157</v>
      </c>
      <c r="B350" s="3167" t="s">
        <v>2988</v>
      </c>
      <c r="C350" s="3167">
        <v>3760</v>
      </c>
      <c r="D350" s="3167">
        <v>3730</v>
      </c>
      <c r="E350" s="3167">
        <v>4100</v>
      </c>
      <c r="F350" s="3167">
        <v>800</v>
      </c>
      <c r="G350" s="3167">
        <v>2230</v>
      </c>
      <c r="H350" s="957"/>
    </row>
    <row r="351" spans="1:21">
      <c r="A351" s="3167" t="s">
        <v>1157</v>
      </c>
      <c r="B351" s="3167" t="s">
        <v>2989</v>
      </c>
      <c r="C351" s="3167">
        <v>3610</v>
      </c>
      <c r="D351" s="3167">
        <v>3580</v>
      </c>
      <c r="E351" s="3167">
        <v>3930</v>
      </c>
      <c r="F351" s="3167">
        <v>700</v>
      </c>
      <c r="G351" s="3167">
        <v>2140</v>
      </c>
      <c r="H351" s="957"/>
    </row>
    <row r="352" spans="1:21">
      <c r="A352" s="3167" t="s">
        <v>1157</v>
      </c>
      <c r="B352" s="3167" t="s">
        <v>2990</v>
      </c>
      <c r="C352" s="3167">
        <v>3670</v>
      </c>
      <c r="D352" s="3167">
        <v>3630</v>
      </c>
      <c r="E352" s="3167">
        <v>4000</v>
      </c>
      <c r="F352" s="3167">
        <v>750</v>
      </c>
      <c r="G352" s="3167">
        <v>2180</v>
      </c>
      <c r="H352" s="957"/>
    </row>
    <row r="353" spans="1:8">
      <c r="A353" s="3167" t="s">
        <v>1157</v>
      </c>
      <c r="B353" s="3167" t="s">
        <v>2991</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2992</v>
      </c>
      <c r="C355" s="3167">
        <v>3650</v>
      </c>
      <c r="D355" s="3167">
        <v>3610</v>
      </c>
      <c r="E355" s="3167">
        <v>4200</v>
      </c>
      <c r="F355" s="3167">
        <v>640</v>
      </c>
      <c r="G355" s="3167">
        <v>2160</v>
      </c>
      <c r="H355" s="957"/>
    </row>
    <row r="356" spans="1:8">
      <c r="A356" s="3167" t="s">
        <v>1157</v>
      </c>
      <c r="B356" s="3167" t="s">
        <v>2993</v>
      </c>
      <c r="C356" s="3167">
        <v>3260</v>
      </c>
      <c r="D356" s="3167">
        <v>3230</v>
      </c>
      <c r="E356" s="3167">
        <v>3740</v>
      </c>
      <c r="F356" s="3167">
        <v>600</v>
      </c>
      <c r="G356" s="3167">
        <v>1930</v>
      </c>
      <c r="H356" s="957"/>
    </row>
    <row r="357" spans="1:8" ht="14.25" thickBot="1">
      <c r="A357" s="3182" t="s">
        <v>1157</v>
      </c>
      <c r="B357" s="3182" t="s">
        <v>2994</v>
      </c>
      <c r="C357" s="3182">
        <v>3690</v>
      </c>
      <c r="D357" s="3182">
        <v>3650</v>
      </c>
      <c r="E357" s="3182">
        <v>4020</v>
      </c>
      <c r="F357" s="3182">
        <v>700</v>
      </c>
      <c r="G357" s="3182">
        <v>2190</v>
      </c>
      <c r="H357" s="957"/>
    </row>
    <row r="358" spans="1:8">
      <c r="A358" s="3183" t="s">
        <v>2752</v>
      </c>
      <c r="B358" s="3184" t="s">
        <v>2995</v>
      </c>
      <c r="C358" s="3184">
        <v>2080</v>
      </c>
      <c r="D358" s="3184">
        <v>2040</v>
      </c>
      <c r="E358" s="3184">
        <v>2010</v>
      </c>
      <c r="F358" s="3184">
        <v>530</v>
      </c>
      <c r="G358" s="3185">
        <v>1230</v>
      </c>
      <c r="H358" s="957"/>
    </row>
    <row r="359" spans="1:8">
      <c r="A359" s="3186" t="s">
        <v>2752</v>
      </c>
      <c r="B359" s="3167" t="s">
        <v>2996</v>
      </c>
      <c r="C359" s="3167">
        <v>1850</v>
      </c>
      <c r="D359" s="3167">
        <v>1820</v>
      </c>
      <c r="E359" s="3167">
        <v>1780</v>
      </c>
      <c r="F359" s="3167">
        <v>520</v>
      </c>
      <c r="G359" s="3179">
        <v>1100</v>
      </c>
      <c r="H359" s="957"/>
    </row>
    <row r="360" spans="1:8">
      <c r="A360" s="3186" t="s">
        <v>2752</v>
      </c>
      <c r="B360" s="3167" t="s">
        <v>2997</v>
      </c>
      <c r="C360" s="3167">
        <v>2020</v>
      </c>
      <c r="D360" s="3167">
        <v>1990</v>
      </c>
      <c r="E360" s="3167">
        <v>1950</v>
      </c>
      <c r="F360" s="3167">
        <v>500</v>
      </c>
      <c r="G360" s="3179">
        <v>1200</v>
      </c>
      <c r="H360" s="957"/>
    </row>
    <row r="361" spans="1:8">
      <c r="A361" s="3186" t="s">
        <v>2752</v>
      </c>
      <c r="B361" s="3167" t="s">
        <v>999</v>
      </c>
      <c r="C361" s="3167">
        <v>2260</v>
      </c>
      <c r="D361" s="3167">
        <v>2220</v>
      </c>
      <c r="E361" s="3167">
        <v>2180</v>
      </c>
      <c r="F361" s="3167">
        <v>580</v>
      </c>
      <c r="G361" s="3179">
        <v>1340</v>
      </c>
      <c r="H361" s="957"/>
    </row>
    <row r="362" spans="1:8">
      <c r="A362" s="3186" t="s">
        <v>2752</v>
      </c>
      <c r="B362" s="3167" t="s">
        <v>2998</v>
      </c>
      <c r="C362" s="3167">
        <v>2650</v>
      </c>
      <c r="D362" s="3167">
        <v>2610</v>
      </c>
      <c r="E362" s="3167">
        <v>2570</v>
      </c>
      <c r="F362" s="3167">
        <v>630</v>
      </c>
      <c r="G362" s="3179">
        <v>1570</v>
      </c>
      <c r="H362" s="957"/>
    </row>
    <row r="363" spans="1:8">
      <c r="A363" s="3186" t="s">
        <v>2752</v>
      </c>
      <c r="B363" s="3167" t="s">
        <v>2999</v>
      </c>
      <c r="C363" s="3167">
        <v>2390</v>
      </c>
      <c r="D363" s="3167">
        <v>2360</v>
      </c>
      <c r="E363" s="3167">
        <v>2320</v>
      </c>
      <c r="F363" s="3167">
        <v>600</v>
      </c>
      <c r="G363" s="3179">
        <v>1420</v>
      </c>
      <c r="H363" s="957"/>
    </row>
    <row r="364" spans="1:8">
      <c r="A364" s="3186" t="s">
        <v>2752</v>
      </c>
      <c r="B364" s="3167" t="s">
        <v>3000</v>
      </c>
      <c r="C364" s="3167">
        <v>2050</v>
      </c>
      <c r="D364" s="3167">
        <v>2030</v>
      </c>
      <c r="E364" s="3167">
        <v>1990</v>
      </c>
      <c r="F364" s="3167">
        <v>550</v>
      </c>
      <c r="G364" s="3179">
        <v>1220</v>
      </c>
      <c r="H364" s="957"/>
    </row>
    <row r="365" spans="1:8">
      <c r="A365" s="3186" t="s">
        <v>2752</v>
      </c>
      <c r="B365" s="3167" t="s">
        <v>1047</v>
      </c>
      <c r="C365" s="3167">
        <v>2140</v>
      </c>
      <c r="D365" s="3167">
        <v>2100</v>
      </c>
      <c r="E365" s="3167">
        <v>2060</v>
      </c>
      <c r="F365" s="3167">
        <v>540</v>
      </c>
      <c r="G365" s="3179">
        <v>1270</v>
      </c>
      <c r="H365" s="957"/>
    </row>
    <row r="366" spans="1:8">
      <c r="A366" s="3186" t="s">
        <v>2752</v>
      </c>
      <c r="B366" s="3167" t="s">
        <v>3001</v>
      </c>
      <c r="C366" s="3167">
        <v>2410</v>
      </c>
      <c r="D366" s="3167">
        <v>2370</v>
      </c>
      <c r="E366" s="3167">
        <v>2330</v>
      </c>
      <c r="F366" s="3167">
        <v>570</v>
      </c>
      <c r="G366" s="3179">
        <v>1440</v>
      </c>
      <c r="H366" s="957"/>
    </row>
    <row r="367" spans="1:8">
      <c r="A367" s="3186" t="s">
        <v>2752</v>
      </c>
      <c r="B367" s="3167" t="s">
        <v>3002</v>
      </c>
      <c r="C367" s="3167">
        <v>2300</v>
      </c>
      <c r="D367" s="3167">
        <v>2260</v>
      </c>
      <c r="E367" s="3167">
        <v>2220</v>
      </c>
      <c r="F367" s="3167">
        <v>560</v>
      </c>
      <c r="G367" s="3179">
        <v>1370</v>
      </c>
      <c r="H367" s="957"/>
    </row>
    <row r="368" spans="1:8">
      <c r="A368" s="3186" t="s">
        <v>2752</v>
      </c>
      <c r="B368" s="3167" t="s">
        <v>3003</v>
      </c>
      <c r="C368" s="3167">
        <v>2430</v>
      </c>
      <c r="D368" s="3167">
        <v>2390</v>
      </c>
      <c r="E368" s="3167">
        <v>2350</v>
      </c>
      <c r="F368" s="3167">
        <v>570</v>
      </c>
      <c r="G368" s="3179">
        <v>1450</v>
      </c>
      <c r="H368" s="957"/>
    </row>
    <row r="369" spans="1:8">
      <c r="A369" s="3186" t="s">
        <v>2752</v>
      </c>
      <c r="B369" s="3167" t="s">
        <v>1061</v>
      </c>
      <c r="C369" s="3167">
        <v>2320</v>
      </c>
      <c r="D369" s="3167">
        <v>2290</v>
      </c>
      <c r="E369" s="3167">
        <v>2250</v>
      </c>
      <c r="F369" s="3167">
        <v>550</v>
      </c>
      <c r="G369" s="3179">
        <v>1380</v>
      </c>
      <c r="H369" s="957"/>
    </row>
    <row r="370" spans="1:8">
      <c r="A370" s="3186" t="s">
        <v>2752</v>
      </c>
      <c r="B370" s="3167" t="s">
        <v>1069</v>
      </c>
      <c r="C370" s="3167">
        <v>2190</v>
      </c>
      <c r="D370" s="3167">
        <v>2170</v>
      </c>
      <c r="E370" s="3167">
        <v>2130</v>
      </c>
      <c r="F370" s="3167">
        <v>530</v>
      </c>
      <c r="G370" s="3179">
        <v>1310</v>
      </c>
      <c r="H370" s="957"/>
    </row>
    <row r="371" spans="1:8">
      <c r="A371" s="3186" t="s">
        <v>2752</v>
      </c>
      <c r="B371" s="3167" t="s">
        <v>1077</v>
      </c>
      <c r="C371" s="3167">
        <v>2460</v>
      </c>
      <c r="D371" s="3167">
        <v>2420</v>
      </c>
      <c r="E371" s="3167">
        <v>2370</v>
      </c>
      <c r="F371" s="3167">
        <v>560</v>
      </c>
      <c r="G371" s="3179">
        <v>1470</v>
      </c>
      <c r="H371" s="957"/>
    </row>
    <row r="372" spans="1:8">
      <c r="A372" s="3186" t="s">
        <v>2752</v>
      </c>
      <c r="B372" s="3167" t="s">
        <v>3004</v>
      </c>
      <c r="C372" s="3167">
        <v>2250</v>
      </c>
      <c r="D372" s="3167">
        <v>2210</v>
      </c>
      <c r="E372" s="3167">
        <v>2180</v>
      </c>
      <c r="F372" s="3167">
        <v>550</v>
      </c>
      <c r="G372" s="3179">
        <v>1340</v>
      </c>
      <c r="H372" s="957"/>
    </row>
    <row r="373" spans="1:8">
      <c r="A373" s="3186" t="s">
        <v>2752</v>
      </c>
      <c r="B373" s="3167" t="s">
        <v>1106</v>
      </c>
      <c r="C373" s="3167">
        <v>2210</v>
      </c>
      <c r="D373" s="3167">
        <v>2190</v>
      </c>
      <c r="E373" s="3167">
        <v>2150</v>
      </c>
      <c r="F373" s="3167">
        <v>530</v>
      </c>
      <c r="G373" s="3179">
        <v>1320</v>
      </c>
      <c r="H373" s="957"/>
    </row>
    <row r="374" spans="1:8">
      <c r="A374" s="3186" t="s">
        <v>2752</v>
      </c>
      <c r="B374" s="3167" t="s">
        <v>1114</v>
      </c>
      <c r="C374" s="3167">
        <v>2320</v>
      </c>
      <c r="D374" s="3167">
        <v>2280</v>
      </c>
      <c r="E374" s="3167">
        <v>2230</v>
      </c>
      <c r="F374" s="3167">
        <v>580</v>
      </c>
      <c r="G374" s="3179">
        <v>1380</v>
      </c>
      <c r="H374" s="957"/>
    </row>
    <row r="375" spans="1:8">
      <c r="A375" s="3186" t="s">
        <v>2752</v>
      </c>
      <c r="B375" s="3167" t="s">
        <v>3005</v>
      </c>
      <c r="C375" s="3167">
        <v>2090</v>
      </c>
      <c r="D375" s="3167">
        <v>2050</v>
      </c>
      <c r="E375" s="3167">
        <v>2020</v>
      </c>
      <c r="F375" s="3167">
        <v>520</v>
      </c>
      <c r="G375" s="3179">
        <v>1240</v>
      </c>
      <c r="H375" s="957"/>
    </row>
    <row r="376" spans="1:8">
      <c r="A376" s="3186" t="s">
        <v>2752</v>
      </c>
      <c r="B376" s="3167" t="s">
        <v>1126</v>
      </c>
      <c r="C376" s="3167">
        <v>2010</v>
      </c>
      <c r="D376" s="3167">
        <v>1980</v>
      </c>
      <c r="E376" s="3167">
        <v>1940</v>
      </c>
      <c r="F376" s="3167">
        <v>540</v>
      </c>
      <c r="G376" s="3179">
        <v>1190</v>
      </c>
      <c r="H376" s="957"/>
    </row>
    <row r="377" spans="1:8" ht="14.25" thickBot="1">
      <c r="A377" s="3188" t="s">
        <v>2752</v>
      </c>
      <c r="B377" s="3182" t="s">
        <v>3006</v>
      </c>
      <c r="C377" s="3182">
        <v>1930</v>
      </c>
      <c r="D377" s="3182">
        <v>1890</v>
      </c>
      <c r="E377" s="3182">
        <v>1860</v>
      </c>
      <c r="F377" s="3182">
        <v>530</v>
      </c>
      <c r="G377" s="3189">
        <v>1150</v>
      </c>
      <c r="H377" s="957"/>
    </row>
    <row r="378" spans="1:8">
      <c r="A378" s="3183" t="s">
        <v>2753</v>
      </c>
      <c r="B378" s="3184" t="s">
        <v>3007</v>
      </c>
      <c r="C378" s="3184">
        <v>1520</v>
      </c>
      <c r="D378" s="3184">
        <v>1490</v>
      </c>
      <c r="E378" s="3184">
        <v>1460</v>
      </c>
      <c r="F378" s="3184">
        <v>460</v>
      </c>
      <c r="G378" s="3185">
        <v>940</v>
      </c>
      <c r="H378" s="957"/>
    </row>
    <row r="379" spans="1:8">
      <c r="A379" s="3186" t="s">
        <v>2753</v>
      </c>
      <c r="B379" s="3167" t="s">
        <v>3008</v>
      </c>
      <c r="C379" s="3167">
        <v>1500</v>
      </c>
      <c r="D379" s="3167">
        <v>1470</v>
      </c>
      <c r="E379" s="3167">
        <v>1430</v>
      </c>
      <c r="F379" s="3167">
        <v>460</v>
      </c>
      <c r="G379" s="3179">
        <v>920</v>
      </c>
      <c r="H379" s="957"/>
    </row>
    <row r="380" spans="1:8">
      <c r="A380" s="3186" t="s">
        <v>2753</v>
      </c>
      <c r="B380" s="3167" t="s">
        <v>3009</v>
      </c>
      <c r="C380" s="3167">
        <v>1620</v>
      </c>
      <c r="D380" s="3167">
        <v>1590</v>
      </c>
      <c r="E380" s="3167">
        <v>1560</v>
      </c>
      <c r="F380" s="3167">
        <v>480</v>
      </c>
      <c r="G380" s="3179">
        <v>1000</v>
      </c>
      <c r="H380" s="957"/>
    </row>
    <row r="381" spans="1:8">
      <c r="A381" s="3186" t="s">
        <v>2753</v>
      </c>
      <c r="B381" s="3167" t="s">
        <v>3010</v>
      </c>
      <c r="C381" s="3167">
        <v>1460</v>
      </c>
      <c r="D381" s="3167">
        <v>1430</v>
      </c>
      <c r="E381" s="3167">
        <v>1390</v>
      </c>
      <c r="F381" s="3167">
        <v>450</v>
      </c>
      <c r="G381" s="3179">
        <v>900</v>
      </c>
      <c r="H381" s="957"/>
    </row>
    <row r="382" spans="1:8">
      <c r="A382" s="3186" t="s">
        <v>2753</v>
      </c>
      <c r="B382" s="3167" t="s">
        <v>3011</v>
      </c>
      <c r="C382" s="3167">
        <v>1310</v>
      </c>
      <c r="D382" s="3167">
        <v>1280</v>
      </c>
      <c r="E382" s="3167">
        <v>1250</v>
      </c>
      <c r="F382" s="3167">
        <v>440</v>
      </c>
      <c r="G382" s="3179">
        <v>800</v>
      </c>
      <c r="H382" s="957"/>
    </row>
    <row r="383" spans="1:8">
      <c r="A383" s="3186" t="s">
        <v>2753</v>
      </c>
      <c r="B383" s="3167" t="s">
        <v>3012</v>
      </c>
      <c r="C383" s="3167">
        <v>1260</v>
      </c>
      <c r="D383" s="3167">
        <v>1230</v>
      </c>
      <c r="E383" s="3167">
        <v>1200</v>
      </c>
      <c r="F383" s="3167">
        <v>420</v>
      </c>
      <c r="G383" s="3179">
        <v>770</v>
      </c>
      <c r="H383" s="957"/>
    </row>
    <row r="384" spans="1:8" ht="14.25" thickBot="1">
      <c r="A384" s="3187" t="s">
        <v>2753</v>
      </c>
      <c r="B384" s="3181" t="s">
        <v>3013</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1" t="s">
        <v>3176</v>
      </c>
      <c r="B1" s="3671"/>
      <c r="C1" s="3671"/>
      <c r="D1" s="3671"/>
      <c r="E1" s="3671"/>
      <c r="F1" s="3672"/>
    </row>
    <row r="2" spans="1:6">
      <c r="A2" s="3232" t="s">
        <v>3177</v>
      </c>
      <c r="B2" s="1490"/>
      <c r="C2" s="1490"/>
      <c r="D2" s="1490"/>
      <c r="E2" s="1490"/>
      <c r="F2" s="1490"/>
    </row>
    <row r="3" spans="1:6">
      <c r="A3" s="3232" t="s">
        <v>3178</v>
      </c>
      <c r="B3" s="1490"/>
      <c r="C3" s="1490"/>
      <c r="D3" s="1490"/>
      <c r="E3" s="1490"/>
      <c r="F3" s="3233" t="s">
        <v>3179</v>
      </c>
    </row>
    <row r="4" spans="1:6">
      <c r="A4" s="3234" t="s">
        <v>3174</v>
      </c>
      <c r="B4" s="3234" t="s">
        <v>2728</v>
      </c>
      <c r="C4" s="3234" t="s">
        <v>1212</v>
      </c>
      <c r="D4" s="3234" t="s">
        <v>3175</v>
      </c>
      <c r="E4" s="3234" t="s">
        <v>905</v>
      </c>
      <c r="F4" s="3234" t="s">
        <v>3180</v>
      </c>
    </row>
    <row r="5" spans="1:6">
      <c r="A5" s="3235" t="s">
        <v>2751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2752</v>
      </c>
      <c r="B16" s="3237">
        <v>2230</v>
      </c>
      <c r="C16" s="3237">
        <v>2200</v>
      </c>
      <c r="D16" s="3237">
        <v>2180</v>
      </c>
      <c r="E16" s="3237">
        <v>570</v>
      </c>
      <c r="F16" s="3237">
        <v>1330</v>
      </c>
    </row>
    <row r="17" spans="1:6">
      <c r="A17" s="3235" t="s">
        <v>2753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2765</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2752</v>
      </c>
      <c r="M2" s="925" t="s">
        <v>2753</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2766</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2752</v>
      </c>
      <c r="M94" s="931" t="s">
        <v>2753</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2767</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2752</v>
      </c>
      <c r="M186" s="931" t="s">
        <v>2753</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2768</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2752</v>
      </c>
      <c r="M278" s="931" t="s">
        <v>2753</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2769</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2752</v>
      </c>
      <c r="M370" s="931" t="s">
        <v>2753</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3" t="s">
        <v>3014</v>
      </c>
      <c r="B1" s="3673"/>
    </row>
    <row r="2" spans="1:7" ht="14.25" thickBot="1">
      <c r="A2" s="3198"/>
      <c r="B2" s="3198"/>
    </row>
    <row r="3" spans="1:7" ht="14.25" thickBot="1">
      <c r="A3" s="3198"/>
      <c r="B3" s="3198"/>
      <c r="C3" s="3199" t="s">
        <v>3015</v>
      </c>
      <c r="D3" s="3199" t="s">
        <v>3016</v>
      </c>
      <c r="E3" s="3199" t="s">
        <v>3017</v>
      </c>
      <c r="F3" s="3199" t="s">
        <v>3018</v>
      </c>
      <c r="G3" s="3199" t="s">
        <v>3019</v>
      </c>
    </row>
    <row r="4" spans="1:7" ht="14.25" thickBot="1">
      <c r="A4" s="3200" t="s">
        <v>3020</v>
      </c>
      <c r="B4" s="3201" t="s">
        <v>3021</v>
      </c>
      <c r="C4" s="3199"/>
      <c r="D4" s="3199"/>
      <c r="E4" s="3199"/>
      <c r="F4" s="3199"/>
      <c r="G4" s="3199"/>
    </row>
    <row r="5" spans="1:7">
      <c r="A5" s="3202" t="s">
        <v>3022</v>
      </c>
      <c r="B5" s="3203" t="s">
        <v>3023</v>
      </c>
      <c r="C5" s="3204">
        <v>9.8000000000000004E-2</v>
      </c>
      <c r="D5" s="3204">
        <v>8.6999999999999994E-2</v>
      </c>
      <c r="E5" s="3204">
        <v>8.6999999999999994E-2</v>
      </c>
      <c r="F5" s="3204">
        <v>9.8000000000000004E-2</v>
      </c>
      <c r="G5" s="3205">
        <v>9.5000000000000001E-2</v>
      </c>
    </row>
    <row r="6" spans="1:7">
      <c r="A6" s="3206" t="s">
        <v>990</v>
      </c>
      <c r="B6" s="3207" t="s">
        <v>3024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2812</v>
      </c>
      <c r="C29" s="3216"/>
      <c r="D29" s="3212">
        <v>5.1999999999999998E-2</v>
      </c>
      <c r="E29" s="3212">
        <v>7.0000000000000007E-2</v>
      </c>
      <c r="F29" s="3216"/>
      <c r="G29" s="3214">
        <v>7.0999999999999994E-2</v>
      </c>
    </row>
    <row r="30" spans="1:7">
      <c r="A30" s="3217" t="s">
        <v>1145</v>
      </c>
      <c r="B30" s="3203" t="s">
        <v>3027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2814</v>
      </c>
      <c r="C50" s="3208">
        <v>9.8000000000000004E-2</v>
      </c>
      <c r="D50" s="3208">
        <v>7.2999999999999995E-2</v>
      </c>
      <c r="E50" s="3208">
        <v>7.0999999999999994E-2</v>
      </c>
      <c r="F50" s="3219"/>
      <c r="G50" s="3209">
        <v>7.2999999999999995E-2</v>
      </c>
    </row>
    <row r="51" spans="1:7">
      <c r="A51" s="3218" t="s">
        <v>1145</v>
      </c>
      <c r="B51" s="3207" t="s">
        <v>2815</v>
      </c>
      <c r="C51" s="3208">
        <v>9.9000000000000005E-2</v>
      </c>
      <c r="D51" s="3208">
        <v>8.5000000000000006E-2</v>
      </c>
      <c r="E51" s="3208">
        <v>6.3E-2</v>
      </c>
      <c r="F51" s="3219"/>
      <c r="G51" s="3209">
        <v>9.6000000000000002E-2</v>
      </c>
    </row>
    <row r="52" spans="1:7">
      <c r="A52" s="3218" t="s">
        <v>1145</v>
      </c>
      <c r="B52" s="3207" t="s">
        <v>2816</v>
      </c>
      <c r="C52" s="3208">
        <v>7.3999999999999996E-2</v>
      </c>
      <c r="D52" s="3208">
        <v>9.6000000000000002E-2</v>
      </c>
      <c r="E52" s="3208">
        <v>0.05</v>
      </c>
      <c r="F52" s="3219"/>
      <c r="G52" s="3209">
        <v>9.8000000000000004E-2</v>
      </c>
    </row>
    <row r="53" spans="1:7">
      <c r="A53" s="3218" t="s">
        <v>1145</v>
      </c>
      <c r="B53" s="3207" t="s">
        <v>2817</v>
      </c>
      <c r="C53" s="3208">
        <v>8.5999999999999993E-2</v>
      </c>
      <c r="D53" s="3219"/>
      <c r="E53" s="3208">
        <v>9.1999999999999998E-2</v>
      </c>
      <c r="F53" s="3219"/>
      <c r="G53" s="3220"/>
    </row>
    <row r="54" spans="1:7" ht="14.25" thickBot="1">
      <c r="A54" s="3221" t="s">
        <v>1145</v>
      </c>
      <c r="B54" s="3211" t="s">
        <v>2818</v>
      </c>
      <c r="C54" s="3212">
        <v>9.6000000000000002E-2</v>
      </c>
      <c r="D54" s="3213"/>
      <c r="E54" s="3222"/>
      <c r="F54" s="3213"/>
      <c r="G54" s="3223"/>
    </row>
    <row r="55" spans="1:7">
      <c r="A55" s="3217" t="s">
        <v>853</v>
      </c>
      <c r="B55" s="3203" t="s">
        <v>3029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2820</v>
      </c>
      <c r="C78" s="3208">
        <v>0.1</v>
      </c>
      <c r="D78" s="3208">
        <v>8.5000000000000006E-2</v>
      </c>
      <c r="E78" s="3208">
        <v>9.6000000000000002E-2</v>
      </c>
      <c r="F78" s="3219"/>
      <c r="G78" s="3209">
        <v>9.6000000000000002E-2</v>
      </c>
    </row>
    <row r="79" spans="1:7">
      <c r="A79" s="3218" t="s">
        <v>853</v>
      </c>
      <c r="B79" s="3207" t="s">
        <v>2821</v>
      </c>
      <c r="C79" s="3208">
        <v>0.05</v>
      </c>
      <c r="D79" s="3208">
        <v>9.6000000000000002E-2</v>
      </c>
      <c r="E79" s="3208">
        <v>9.5000000000000001E-2</v>
      </c>
      <c r="F79" s="3219"/>
      <c r="G79" s="3209">
        <v>9.8000000000000004E-2</v>
      </c>
    </row>
    <row r="80" spans="1:7">
      <c r="A80" s="3218" t="s">
        <v>853</v>
      </c>
      <c r="B80" s="3207" t="s">
        <v>2822</v>
      </c>
      <c r="C80" s="3208">
        <v>8.5999999999999993E-2</v>
      </c>
      <c r="D80" s="3224"/>
      <c r="E80" s="3208">
        <v>0.1</v>
      </c>
      <c r="F80" s="3219"/>
      <c r="G80" s="3220"/>
    </row>
    <row r="81" spans="1:7">
      <c r="A81" s="3218" t="s">
        <v>853</v>
      </c>
      <c r="B81" s="3207" t="s">
        <v>2823</v>
      </c>
      <c r="C81" s="3208">
        <v>9.6000000000000002E-2</v>
      </c>
      <c r="D81" s="3219"/>
      <c r="E81" s="3208">
        <v>9.8000000000000004E-2</v>
      </c>
      <c r="F81" s="3219"/>
      <c r="G81" s="3220"/>
    </row>
    <row r="82" spans="1:7">
      <c r="A82" s="3218" t="s">
        <v>853</v>
      </c>
      <c r="B82" s="3207" t="s">
        <v>2824</v>
      </c>
      <c r="C82" s="3224"/>
      <c r="D82" s="3219"/>
      <c r="E82" s="3208">
        <v>7.6999999999999999E-2</v>
      </c>
      <c r="F82" s="3219"/>
      <c r="G82" s="3220"/>
    </row>
    <row r="83" spans="1:7">
      <c r="A83" s="3218" t="s">
        <v>853</v>
      </c>
      <c r="B83" s="3207" t="s">
        <v>3030</v>
      </c>
      <c r="C83" s="3219"/>
      <c r="D83" s="3219"/>
      <c r="E83" s="3219"/>
      <c r="F83" s="3208">
        <v>0.1</v>
      </c>
      <c r="G83" s="3225"/>
    </row>
    <row r="84" spans="1:7">
      <c r="A84" s="3218" t="s">
        <v>853</v>
      </c>
      <c r="B84" s="3207" t="s">
        <v>3031</v>
      </c>
      <c r="C84" s="3219"/>
      <c r="D84" s="3219"/>
      <c r="E84" s="3219"/>
      <c r="F84" s="3208">
        <v>0.1</v>
      </c>
      <c r="G84" s="3225"/>
    </row>
    <row r="85" spans="1:7">
      <c r="A85" s="3218" t="s">
        <v>853</v>
      </c>
      <c r="B85" s="3207" t="s">
        <v>3032</v>
      </c>
      <c r="C85" s="3219"/>
      <c r="D85" s="3219"/>
      <c r="E85" s="3219"/>
      <c r="F85" s="3208">
        <v>0.1</v>
      </c>
      <c r="G85" s="3225"/>
    </row>
    <row r="86" spans="1:7" ht="14.25" thickBot="1">
      <c r="A86" s="3221" t="s">
        <v>853</v>
      </c>
      <c r="B86" s="3211" t="s">
        <v>3033</v>
      </c>
      <c r="C86" s="3212">
        <v>9.8000000000000004E-2</v>
      </c>
      <c r="D86" s="3212">
        <v>9.8000000000000004E-2</v>
      </c>
      <c r="E86" s="3212">
        <v>9.6000000000000002E-2</v>
      </c>
      <c r="F86" s="3222"/>
      <c r="G86" s="3214">
        <v>0.1</v>
      </c>
    </row>
    <row r="87" spans="1:7">
      <c r="A87" s="3217" t="s">
        <v>1152</v>
      </c>
      <c r="B87" s="3203" t="s">
        <v>3034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2830</v>
      </c>
      <c r="C113" s="3208">
        <v>0.1</v>
      </c>
      <c r="D113" s="3208">
        <v>0.1</v>
      </c>
      <c r="E113" s="3219"/>
      <c r="F113" s="3219"/>
      <c r="G113" s="3209">
        <v>0.1</v>
      </c>
    </row>
    <row r="114" spans="1:7">
      <c r="A114" s="3218" t="s">
        <v>1152</v>
      </c>
      <c r="B114" s="3207" t="s">
        <v>2831</v>
      </c>
      <c r="C114" s="3208">
        <v>9.7000000000000003E-2</v>
      </c>
      <c r="D114" s="3208">
        <v>9.7000000000000003E-2</v>
      </c>
      <c r="E114" s="3219"/>
      <c r="F114" s="3219"/>
      <c r="G114" s="3209">
        <v>9.9000000000000005E-2</v>
      </c>
    </row>
    <row r="115" spans="1:7">
      <c r="A115" s="3218" t="s">
        <v>1152</v>
      </c>
      <c r="B115" s="3207" t="s">
        <v>2832</v>
      </c>
      <c r="C115" s="3208">
        <v>0.1</v>
      </c>
      <c r="D115" s="3208">
        <v>0.1</v>
      </c>
      <c r="E115" s="3219"/>
      <c r="F115" s="3219"/>
      <c r="G115" s="3209">
        <v>0.1</v>
      </c>
    </row>
    <row r="116" spans="1:7">
      <c r="A116" s="3218" t="s">
        <v>1152</v>
      </c>
      <c r="B116" s="3207" t="s">
        <v>2833</v>
      </c>
      <c r="C116" s="3208">
        <v>0.1</v>
      </c>
      <c r="D116" s="3208">
        <v>0.1</v>
      </c>
      <c r="E116" s="3219"/>
      <c r="F116" s="3219"/>
      <c r="G116" s="3209">
        <v>0.1</v>
      </c>
    </row>
    <row r="117" spans="1:7">
      <c r="A117" s="3218" t="s">
        <v>1152</v>
      </c>
      <c r="B117" s="3207" t="s">
        <v>2834</v>
      </c>
      <c r="C117" s="3208">
        <v>9.7000000000000003E-2</v>
      </c>
      <c r="D117" s="3208">
        <v>9.7000000000000003E-2</v>
      </c>
      <c r="E117" s="3219"/>
      <c r="F117" s="3219"/>
      <c r="G117" s="3209">
        <v>9.7000000000000003E-2</v>
      </c>
    </row>
    <row r="118" spans="1:7">
      <c r="A118" s="3218" t="s">
        <v>1152</v>
      </c>
      <c r="B118" s="3207" t="s">
        <v>2835</v>
      </c>
      <c r="C118" s="3208">
        <v>0.1</v>
      </c>
      <c r="D118" s="3208">
        <v>0.1</v>
      </c>
      <c r="E118" s="3219"/>
      <c r="F118" s="3219"/>
      <c r="G118" s="3209">
        <v>0.1</v>
      </c>
    </row>
    <row r="119" spans="1:7">
      <c r="A119" s="3218" t="s">
        <v>1152</v>
      </c>
      <c r="B119" s="3207" t="s">
        <v>2836</v>
      </c>
      <c r="C119" s="3208">
        <v>5.0999999999999997E-2</v>
      </c>
      <c r="D119" s="3208">
        <v>5.1999999999999998E-2</v>
      </c>
      <c r="E119" s="3219"/>
      <c r="F119" s="3224"/>
      <c r="G119" s="3209">
        <v>0.06</v>
      </c>
    </row>
    <row r="120" spans="1:7">
      <c r="A120" s="3218" t="s">
        <v>1152</v>
      </c>
      <c r="B120" s="3207" t="s">
        <v>3035</v>
      </c>
      <c r="C120" s="3219"/>
      <c r="D120" s="3219"/>
      <c r="E120" s="3219"/>
      <c r="F120" s="3208">
        <v>0.1</v>
      </c>
      <c r="G120" s="3225"/>
    </row>
    <row r="121" spans="1:7">
      <c r="A121" s="3218" t="s">
        <v>1152</v>
      </c>
      <c r="B121" s="3207" t="s">
        <v>3036</v>
      </c>
      <c r="C121" s="3219"/>
      <c r="D121" s="3219"/>
      <c r="E121" s="3219"/>
      <c r="F121" s="3208">
        <v>0.1</v>
      </c>
      <c r="G121" s="3225"/>
    </row>
    <row r="122" spans="1:7">
      <c r="A122" s="3218" t="s">
        <v>1152</v>
      </c>
      <c r="B122" s="3207" t="s">
        <v>3037</v>
      </c>
      <c r="C122" s="3208">
        <v>0.1</v>
      </c>
      <c r="D122" s="3208">
        <v>0.1</v>
      </c>
      <c r="E122" s="3208">
        <v>9.8000000000000004E-2</v>
      </c>
      <c r="F122" s="3208">
        <v>0.1</v>
      </c>
      <c r="G122" s="3209">
        <v>0.1</v>
      </c>
    </row>
    <row r="123" spans="1:7">
      <c r="A123" s="3218" t="s">
        <v>1152</v>
      </c>
      <c r="B123" s="3207" t="s">
        <v>2840</v>
      </c>
      <c r="C123" s="3208">
        <v>0.1</v>
      </c>
      <c r="D123" s="3208">
        <v>0.1</v>
      </c>
      <c r="E123" s="3208">
        <v>9.8000000000000004E-2</v>
      </c>
      <c r="F123" s="3208">
        <v>0.1</v>
      </c>
      <c r="G123" s="3209">
        <v>0.1</v>
      </c>
    </row>
    <row r="124" spans="1:7">
      <c r="A124" s="3218" t="s">
        <v>1152</v>
      </c>
      <c r="B124" s="3207" t="s">
        <v>2841</v>
      </c>
      <c r="C124" s="3208">
        <v>0.1</v>
      </c>
      <c r="D124" s="3208">
        <v>0.1</v>
      </c>
      <c r="E124" s="3208">
        <v>9.8000000000000004E-2</v>
      </c>
      <c r="F124" s="3224"/>
      <c r="G124" s="3209">
        <v>0.1</v>
      </c>
    </row>
    <row r="125" spans="1:7">
      <c r="A125" s="3218" t="s">
        <v>1152</v>
      </c>
      <c r="B125" s="3207" t="s">
        <v>2842</v>
      </c>
      <c r="C125" s="3208">
        <v>9.8000000000000004E-2</v>
      </c>
      <c r="D125" s="3208">
        <v>9.8000000000000004E-2</v>
      </c>
      <c r="E125" s="3208">
        <v>9.6000000000000002E-2</v>
      </c>
      <c r="F125" s="3224"/>
      <c r="G125" s="3209">
        <v>0.1</v>
      </c>
    </row>
    <row r="126" spans="1:7" ht="14.25" thickBot="1">
      <c r="A126" s="3221" t="s">
        <v>1152</v>
      </c>
      <c r="B126" s="3211" t="s">
        <v>3038</v>
      </c>
      <c r="C126" s="3212">
        <v>0.1</v>
      </c>
      <c r="D126" s="3212">
        <v>0.1</v>
      </c>
      <c r="E126" s="3212">
        <v>9.8000000000000004E-2</v>
      </c>
      <c r="F126" s="3212">
        <v>0.1</v>
      </c>
      <c r="G126" s="3214">
        <v>0.1</v>
      </c>
    </row>
    <row r="127" spans="1:7">
      <c r="A127" s="3217" t="s">
        <v>1153</v>
      </c>
      <c r="B127" s="3203" t="s">
        <v>3039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3040</v>
      </c>
      <c r="C148" s="3208">
        <v>0.13</v>
      </c>
      <c r="D148" s="3208">
        <v>0.13</v>
      </c>
      <c r="E148" s="3208">
        <v>0.13</v>
      </c>
      <c r="F148" s="3219"/>
      <c r="G148" s="3209">
        <v>0.13</v>
      </c>
    </row>
    <row r="149" spans="1:7">
      <c r="A149" s="3218" t="s">
        <v>1153</v>
      </c>
      <c r="B149" s="3207" t="s">
        <v>3041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2847</v>
      </c>
      <c r="C153" s="3208">
        <v>0.13</v>
      </c>
      <c r="D153" s="3208">
        <v>0.13</v>
      </c>
      <c r="E153" s="3208">
        <v>0.13</v>
      </c>
      <c r="F153" s="3208">
        <v>0.13</v>
      </c>
      <c r="G153" s="3209">
        <v>0.13</v>
      </c>
    </row>
    <row r="154" spans="1:7">
      <c r="A154" s="3218" t="s">
        <v>1153</v>
      </c>
      <c r="B154" s="3207" t="s">
        <v>3042</v>
      </c>
      <c r="C154" s="3208">
        <v>0.121</v>
      </c>
      <c r="D154" s="3208">
        <v>0.121</v>
      </c>
      <c r="E154" s="3208">
        <v>0.105</v>
      </c>
      <c r="F154" s="3208">
        <v>0.121</v>
      </c>
      <c r="G154" s="3209">
        <v>0.123</v>
      </c>
    </row>
    <row r="155" spans="1:7">
      <c r="A155" s="3218" t="s">
        <v>1153</v>
      </c>
      <c r="B155" s="3207" t="s">
        <v>2849</v>
      </c>
      <c r="C155" s="3208">
        <v>0.1</v>
      </c>
      <c r="D155" s="3208">
        <v>0.1</v>
      </c>
      <c r="E155" s="3208">
        <v>0.1</v>
      </c>
      <c r="F155" s="3208">
        <v>0.1</v>
      </c>
      <c r="G155" s="3209">
        <v>0.1</v>
      </c>
    </row>
    <row r="156" spans="1:7">
      <c r="A156" s="3218" t="s">
        <v>1153</v>
      </c>
      <c r="B156" s="3207" t="s">
        <v>3043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3044</v>
      </c>
      <c r="C160" s="3208">
        <v>0.13</v>
      </c>
      <c r="D160" s="3208">
        <v>0.13</v>
      </c>
      <c r="E160" s="3208">
        <v>0.124</v>
      </c>
      <c r="F160" s="3208">
        <v>0.126</v>
      </c>
      <c r="G160" s="3209">
        <v>0.13</v>
      </c>
    </row>
    <row r="161" spans="1:7">
      <c r="A161" s="3218" t="s">
        <v>1153</v>
      </c>
      <c r="B161" s="3207" t="s">
        <v>2852</v>
      </c>
      <c r="C161" s="3208">
        <v>0.13</v>
      </c>
      <c r="D161" s="3208">
        <v>0.13</v>
      </c>
      <c r="E161" s="3208">
        <v>0.124</v>
      </c>
      <c r="F161" s="3208">
        <v>0.127</v>
      </c>
      <c r="G161" s="3209">
        <v>0.13</v>
      </c>
    </row>
    <row r="162" spans="1:7">
      <c r="A162" s="3218" t="s">
        <v>1153</v>
      </c>
      <c r="B162" s="3207" t="s">
        <v>2853</v>
      </c>
      <c r="C162" s="3208">
        <v>0.1</v>
      </c>
      <c r="D162" s="3208">
        <v>0.1</v>
      </c>
      <c r="E162" s="3208">
        <v>0.1</v>
      </c>
      <c r="F162" s="3208">
        <v>0.121</v>
      </c>
      <c r="G162" s="3209">
        <v>0.105</v>
      </c>
    </row>
    <row r="163" spans="1:7">
      <c r="A163" s="3218" t="s">
        <v>1153</v>
      </c>
      <c r="B163" s="3207" t="s">
        <v>2854</v>
      </c>
      <c r="C163" s="3208">
        <v>0.1</v>
      </c>
      <c r="D163" s="3208">
        <v>0.1</v>
      </c>
      <c r="E163" s="3208">
        <v>0.1</v>
      </c>
      <c r="F163" s="3208">
        <v>0.1</v>
      </c>
      <c r="G163" s="3209">
        <v>0.1</v>
      </c>
    </row>
    <row r="164" spans="1:7">
      <c r="A164" s="3218" t="s">
        <v>1153</v>
      </c>
      <c r="B164" s="3207" t="s">
        <v>2855</v>
      </c>
      <c r="C164" s="3224"/>
      <c r="D164" s="3224"/>
      <c r="E164" s="3224"/>
      <c r="F164" s="3208">
        <v>0.1</v>
      </c>
      <c r="G164" s="3220"/>
    </row>
    <row r="165" spans="1:7">
      <c r="A165" s="3218" t="s">
        <v>1153</v>
      </c>
      <c r="B165" s="3207" t="s">
        <v>3045</v>
      </c>
      <c r="C165" s="3208">
        <v>0.126</v>
      </c>
      <c r="D165" s="3208">
        <v>0.126</v>
      </c>
      <c r="E165" s="3208">
        <v>0.11899999999999999</v>
      </c>
      <c r="F165" s="3208">
        <v>0.13</v>
      </c>
      <c r="G165" s="3209">
        <v>0.128</v>
      </c>
    </row>
    <row r="166" spans="1:7">
      <c r="A166" s="3218" t="s">
        <v>1153</v>
      </c>
      <c r="B166" s="3207" t="s">
        <v>2857</v>
      </c>
      <c r="C166" s="3208">
        <v>0.129</v>
      </c>
      <c r="D166" s="3208">
        <v>0.129</v>
      </c>
      <c r="E166" s="3208">
        <v>0.123</v>
      </c>
      <c r="F166" s="3208">
        <v>0.128</v>
      </c>
      <c r="G166" s="3209">
        <v>0.13</v>
      </c>
    </row>
    <row r="167" spans="1:7">
      <c r="A167" s="3218" t="s">
        <v>1153</v>
      </c>
      <c r="B167" s="3207" t="s">
        <v>2858</v>
      </c>
      <c r="C167" s="3208">
        <v>0.125</v>
      </c>
      <c r="D167" s="3208">
        <v>0.125</v>
      </c>
      <c r="E167" s="3208">
        <v>0.11700000000000001</v>
      </c>
      <c r="F167" s="3208">
        <v>0.13</v>
      </c>
      <c r="G167" s="3209">
        <v>0.126</v>
      </c>
    </row>
    <row r="168" spans="1:7">
      <c r="A168" s="3218" t="s">
        <v>1153</v>
      </c>
      <c r="B168" s="3207" t="s">
        <v>2859</v>
      </c>
      <c r="C168" s="3208">
        <v>0.128</v>
      </c>
      <c r="D168" s="3208">
        <v>0.128</v>
      </c>
      <c r="E168" s="3208">
        <v>0.123</v>
      </c>
      <c r="F168" s="3219"/>
      <c r="G168" s="3209">
        <v>0.13</v>
      </c>
    </row>
    <row r="169" spans="1:7">
      <c r="A169" s="3218" t="s">
        <v>1153</v>
      </c>
      <c r="B169" s="3207" t="s">
        <v>3046</v>
      </c>
      <c r="C169" s="3224"/>
      <c r="D169" s="3224"/>
      <c r="E169" s="3224"/>
      <c r="F169" s="3208">
        <v>0.05</v>
      </c>
      <c r="G169" s="3220"/>
    </row>
    <row r="170" spans="1:7">
      <c r="A170" s="3218" t="s">
        <v>1153</v>
      </c>
      <c r="B170" s="3207" t="s">
        <v>3047</v>
      </c>
      <c r="C170" s="3224"/>
      <c r="D170" s="3224"/>
      <c r="E170" s="3224"/>
      <c r="F170" s="3208">
        <v>0.05</v>
      </c>
      <c r="G170" s="3220"/>
    </row>
    <row r="171" spans="1:7">
      <c r="A171" s="3218" t="s">
        <v>1153</v>
      </c>
      <c r="B171" s="3207" t="s">
        <v>3048</v>
      </c>
      <c r="C171" s="3224"/>
      <c r="D171" s="3224"/>
      <c r="E171" s="3224"/>
      <c r="F171" s="3208">
        <v>0.05</v>
      </c>
      <c r="G171" s="3225"/>
    </row>
    <row r="172" spans="1:7">
      <c r="A172" s="3218" t="s">
        <v>1153</v>
      </c>
      <c r="B172" s="3207" t="s">
        <v>3049</v>
      </c>
      <c r="C172" s="3224"/>
      <c r="D172" s="3224"/>
      <c r="E172" s="3224"/>
      <c r="F172" s="3208">
        <v>0.05</v>
      </c>
      <c r="G172" s="3225"/>
    </row>
    <row r="173" spans="1:7">
      <c r="A173" s="3218" t="s">
        <v>1153</v>
      </c>
      <c r="B173" s="3207" t="s">
        <v>3050</v>
      </c>
      <c r="C173" s="3224"/>
      <c r="D173" s="3224"/>
      <c r="E173" s="3224"/>
      <c r="F173" s="3208">
        <v>0.05</v>
      </c>
      <c r="G173" s="3220"/>
    </row>
    <row r="174" spans="1:7">
      <c r="A174" s="3218" t="s">
        <v>1153</v>
      </c>
      <c r="B174" s="3207" t="s">
        <v>3051</v>
      </c>
      <c r="C174" s="3224"/>
      <c r="D174" s="3224"/>
      <c r="E174" s="3224"/>
      <c r="F174" s="3208">
        <v>0.05</v>
      </c>
      <c r="G174" s="3220"/>
    </row>
    <row r="175" spans="1:7">
      <c r="A175" s="3218" t="s">
        <v>1153</v>
      </c>
      <c r="B175" s="3207" t="s">
        <v>3052</v>
      </c>
      <c r="C175" s="3224"/>
      <c r="D175" s="3224"/>
      <c r="E175" s="3224"/>
      <c r="F175" s="3208">
        <v>0.05</v>
      </c>
      <c r="G175" s="3220"/>
    </row>
    <row r="176" spans="1:7">
      <c r="A176" s="3218" t="s">
        <v>1153</v>
      </c>
      <c r="B176" s="3207" t="s">
        <v>3053</v>
      </c>
      <c r="C176" s="3224"/>
      <c r="D176" s="3224"/>
      <c r="E176" s="3224"/>
      <c r="F176" s="3208">
        <v>0.05</v>
      </c>
      <c r="G176" s="3220"/>
    </row>
    <row r="177" spans="1:7">
      <c r="A177" s="3218" t="s">
        <v>1153</v>
      </c>
      <c r="B177" s="3207" t="s">
        <v>3054</v>
      </c>
      <c r="C177" s="3219"/>
      <c r="D177" s="3219"/>
      <c r="E177" s="3219"/>
      <c r="F177" s="3208">
        <v>0.05</v>
      </c>
      <c r="G177" s="3225"/>
    </row>
    <row r="178" spans="1:7">
      <c r="A178" s="3218" t="s">
        <v>1153</v>
      </c>
      <c r="B178" s="3207" t="s">
        <v>3055</v>
      </c>
      <c r="C178" s="3219"/>
      <c r="D178" s="3219"/>
      <c r="E178" s="3219"/>
      <c r="F178" s="3208">
        <v>0.05</v>
      </c>
      <c r="G178" s="3225"/>
    </row>
    <row r="179" spans="1:7">
      <c r="A179" s="3218" t="s">
        <v>1153</v>
      </c>
      <c r="B179" s="3207" t="s">
        <v>3056</v>
      </c>
      <c r="C179" s="3219"/>
      <c r="D179" s="3219"/>
      <c r="E179" s="3219"/>
      <c r="F179" s="3208">
        <v>0.05</v>
      </c>
      <c r="G179" s="3225"/>
    </row>
    <row r="180" spans="1:7">
      <c r="A180" s="3218" t="s">
        <v>1153</v>
      </c>
      <c r="B180" s="3207" t="s">
        <v>3057</v>
      </c>
      <c r="C180" s="3219"/>
      <c r="D180" s="3219"/>
      <c r="E180" s="3219"/>
      <c r="F180" s="3208">
        <v>0.05</v>
      </c>
      <c r="G180" s="3225"/>
    </row>
    <row r="181" spans="1:7">
      <c r="A181" s="3218" t="s">
        <v>1153</v>
      </c>
      <c r="B181" s="3207" t="s">
        <v>3058</v>
      </c>
      <c r="C181" s="3219"/>
      <c r="D181" s="3219"/>
      <c r="E181" s="3219"/>
      <c r="F181" s="3208">
        <v>0.05</v>
      </c>
      <c r="G181" s="3225"/>
    </row>
    <row r="182" spans="1:7">
      <c r="A182" s="3218" t="s">
        <v>1153</v>
      </c>
      <c r="B182" s="3207" t="s">
        <v>3059</v>
      </c>
      <c r="C182" s="3219"/>
      <c r="D182" s="3219"/>
      <c r="E182" s="3219"/>
      <c r="F182" s="3208">
        <v>0.05</v>
      </c>
      <c r="G182" s="3225"/>
    </row>
    <row r="183" spans="1:7">
      <c r="A183" s="3218" t="s">
        <v>1153</v>
      </c>
      <c r="B183" s="3207" t="s">
        <v>3060</v>
      </c>
      <c r="C183" s="3219"/>
      <c r="D183" s="3219"/>
      <c r="E183" s="3219"/>
      <c r="F183" s="3208">
        <v>0.05</v>
      </c>
      <c r="G183" s="3225"/>
    </row>
    <row r="184" spans="1:7">
      <c r="A184" s="3218" t="s">
        <v>1153</v>
      </c>
      <c r="B184" s="3207" t="s">
        <v>3061</v>
      </c>
      <c r="C184" s="3219"/>
      <c r="D184" s="3219"/>
      <c r="E184" s="3219"/>
      <c r="F184" s="3208">
        <v>0.05</v>
      </c>
      <c r="G184" s="3225"/>
    </row>
    <row r="185" spans="1:7">
      <c r="A185" s="3218" t="s">
        <v>1153</v>
      </c>
      <c r="B185" s="3207" t="s">
        <v>3062</v>
      </c>
      <c r="C185" s="3219"/>
      <c r="D185" s="3219"/>
      <c r="E185" s="3219"/>
      <c r="F185" s="3208">
        <v>0.05</v>
      </c>
      <c r="G185" s="3225"/>
    </row>
    <row r="186" spans="1:7">
      <c r="A186" s="3218" t="s">
        <v>1153</v>
      </c>
      <c r="B186" s="3207" t="s">
        <v>3063</v>
      </c>
      <c r="C186" s="3219"/>
      <c r="D186" s="3219"/>
      <c r="E186" s="3219"/>
      <c r="F186" s="3208">
        <v>0.05</v>
      </c>
      <c r="G186" s="3225"/>
    </row>
    <row r="187" spans="1:7">
      <c r="A187" s="3218" t="s">
        <v>1153</v>
      </c>
      <c r="B187" s="3207" t="s">
        <v>3064</v>
      </c>
      <c r="C187" s="3219"/>
      <c r="D187" s="3219"/>
      <c r="E187" s="3219"/>
      <c r="F187" s="3208">
        <v>0.05</v>
      </c>
      <c r="G187" s="3225"/>
    </row>
    <row r="188" spans="1:7">
      <c r="A188" s="3218" t="s">
        <v>1153</v>
      </c>
      <c r="B188" s="3207" t="s">
        <v>3065</v>
      </c>
      <c r="C188" s="3219"/>
      <c r="D188" s="3219"/>
      <c r="E188" s="3219"/>
      <c r="F188" s="3208">
        <v>0.05</v>
      </c>
      <c r="G188" s="3225"/>
    </row>
    <row r="189" spans="1:7" ht="14.25" thickBot="1">
      <c r="A189" s="3221" t="s">
        <v>1153</v>
      </c>
      <c r="B189" s="3211" t="s">
        <v>3066</v>
      </c>
      <c r="C189" s="3213"/>
      <c r="D189" s="3213"/>
      <c r="E189" s="3213"/>
      <c r="F189" s="3212">
        <v>0.05</v>
      </c>
      <c r="G189" s="3226"/>
    </row>
    <row r="190" spans="1:7">
      <c r="A190" s="3217" t="s">
        <v>1154</v>
      </c>
      <c r="B190" s="3203" t="s">
        <v>3067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3068</v>
      </c>
      <c r="C199" s="3208">
        <v>0.13</v>
      </c>
      <c r="D199" s="3208">
        <v>0.13</v>
      </c>
      <c r="E199" s="3208">
        <v>0.13</v>
      </c>
      <c r="F199" s="3208">
        <v>0.13</v>
      </c>
      <c r="G199" s="3209">
        <v>0.13</v>
      </c>
    </row>
    <row r="200" spans="1:7">
      <c r="A200" s="3218" t="s">
        <v>1154</v>
      </c>
      <c r="B200" s="3207" t="s">
        <v>2883</v>
      </c>
      <c r="C200" s="3224"/>
      <c r="D200" s="3224"/>
      <c r="E200" s="3224"/>
      <c r="F200" s="3208">
        <v>0.13</v>
      </c>
      <c r="G200" s="3220"/>
    </row>
    <row r="201" spans="1:7">
      <c r="A201" s="3218" t="s">
        <v>1154</v>
      </c>
      <c r="B201" s="3207" t="s">
        <v>3069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3070</v>
      </c>
      <c r="C203" s="3208">
        <v>0.129</v>
      </c>
      <c r="D203" s="3208">
        <v>0.129</v>
      </c>
      <c r="E203" s="3208">
        <v>0.13</v>
      </c>
      <c r="F203" s="3208">
        <v>0.13</v>
      </c>
      <c r="G203" s="3209">
        <v>0.13</v>
      </c>
    </row>
    <row r="204" spans="1:7">
      <c r="A204" s="3218" t="s">
        <v>1154</v>
      </c>
      <c r="B204" s="3207" t="s">
        <v>2886</v>
      </c>
      <c r="C204" s="3208">
        <v>0.129</v>
      </c>
      <c r="D204" s="3208">
        <v>0.129</v>
      </c>
      <c r="E204" s="3208">
        <v>0.123</v>
      </c>
      <c r="F204" s="3208">
        <v>0.13</v>
      </c>
      <c r="G204" s="3209">
        <v>0.13</v>
      </c>
    </row>
    <row r="205" spans="1:7">
      <c r="A205" s="3218" t="s">
        <v>1154</v>
      </c>
      <c r="B205" s="3207" t="s">
        <v>2887</v>
      </c>
      <c r="C205" s="3208">
        <v>0.13</v>
      </c>
      <c r="D205" s="3208">
        <v>0.13</v>
      </c>
      <c r="E205" s="3208">
        <v>0.13</v>
      </c>
      <c r="F205" s="3208">
        <v>0.13</v>
      </c>
      <c r="G205" s="3209">
        <v>0.13</v>
      </c>
    </row>
    <row r="206" spans="1:7">
      <c r="A206" s="3218" t="s">
        <v>1154</v>
      </c>
      <c r="B206" s="3207" t="s">
        <v>2888</v>
      </c>
      <c r="C206" s="3208">
        <v>0.13</v>
      </c>
      <c r="D206" s="3208">
        <v>0.13</v>
      </c>
      <c r="E206" s="3208">
        <v>0.13</v>
      </c>
      <c r="F206" s="3208">
        <v>0.128</v>
      </c>
      <c r="G206" s="3209">
        <v>0.13</v>
      </c>
    </row>
    <row r="207" spans="1:7">
      <c r="A207" s="3218" t="s">
        <v>1154</v>
      </c>
      <c r="B207" s="3207" t="s">
        <v>2889</v>
      </c>
      <c r="C207" s="3208">
        <v>0.13</v>
      </c>
      <c r="D207" s="3208">
        <v>0.13</v>
      </c>
      <c r="E207" s="3208">
        <v>0.13</v>
      </c>
      <c r="F207" s="3208">
        <v>0.13</v>
      </c>
      <c r="G207" s="3209">
        <v>0.13</v>
      </c>
    </row>
    <row r="208" spans="1:7">
      <c r="A208" s="3218" t="s">
        <v>1154</v>
      </c>
      <c r="B208" s="3207" t="s">
        <v>3071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2891</v>
      </c>
      <c r="C210" s="3208">
        <v>0.121</v>
      </c>
      <c r="D210" s="3208">
        <v>0.121</v>
      </c>
      <c r="E210" s="3208">
        <v>0.125</v>
      </c>
      <c r="F210" s="3208">
        <v>0.13</v>
      </c>
      <c r="G210" s="3209">
        <v>0.123</v>
      </c>
    </row>
    <row r="211" spans="1:7">
      <c r="A211" s="3218" t="s">
        <v>1154</v>
      </c>
      <c r="B211" s="3207" t="s">
        <v>3072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3073</v>
      </c>
      <c r="C214" s="3208">
        <v>0.128</v>
      </c>
      <c r="D214" s="3208">
        <v>0.128</v>
      </c>
      <c r="E214" s="3208">
        <v>0.13</v>
      </c>
      <c r="F214" s="3208">
        <v>0.13</v>
      </c>
      <c r="G214" s="3209">
        <v>0.13</v>
      </c>
    </row>
    <row r="215" spans="1:7">
      <c r="A215" s="3218" t="s">
        <v>1154</v>
      </c>
      <c r="B215" s="3207" t="s">
        <v>3074</v>
      </c>
      <c r="C215" s="3208">
        <v>0.13</v>
      </c>
      <c r="D215" s="3208">
        <v>0.13</v>
      </c>
      <c r="E215" s="3208">
        <v>0.13</v>
      </c>
      <c r="F215" s="3208">
        <v>0.129</v>
      </c>
      <c r="G215" s="3209">
        <v>0.13</v>
      </c>
    </row>
    <row r="216" spans="1:7">
      <c r="A216" s="3218" t="s">
        <v>1154</v>
      </c>
      <c r="B216" s="3207" t="s">
        <v>3075</v>
      </c>
      <c r="C216" s="3208">
        <v>0.13</v>
      </c>
      <c r="D216" s="3208">
        <v>0.13</v>
      </c>
      <c r="E216" s="3208">
        <v>0.13</v>
      </c>
      <c r="F216" s="3208">
        <v>0.13</v>
      </c>
      <c r="G216" s="3209">
        <v>0.13</v>
      </c>
    </row>
    <row r="217" spans="1:7">
      <c r="A217" s="3218" t="s">
        <v>1154</v>
      </c>
      <c r="B217" s="3207" t="s">
        <v>2895</v>
      </c>
      <c r="C217" s="3208">
        <v>0.129</v>
      </c>
      <c r="D217" s="3208">
        <v>0.129</v>
      </c>
      <c r="E217" s="3208">
        <v>0.13</v>
      </c>
      <c r="F217" s="3208">
        <v>0.13</v>
      </c>
      <c r="G217" s="3209">
        <v>0.13</v>
      </c>
    </row>
    <row r="218" spans="1:7">
      <c r="A218" s="3218" t="s">
        <v>1154</v>
      </c>
      <c r="B218" s="3207" t="s">
        <v>3076</v>
      </c>
      <c r="C218" s="3219"/>
      <c r="D218" s="3219"/>
      <c r="E218" s="3219"/>
      <c r="F218" s="3208">
        <v>0.05</v>
      </c>
      <c r="G218" s="3225"/>
    </row>
    <row r="219" spans="1:7">
      <c r="A219" s="3218" t="s">
        <v>1154</v>
      </c>
      <c r="B219" s="3207" t="s">
        <v>3077</v>
      </c>
      <c r="C219" s="3219"/>
      <c r="D219" s="3219"/>
      <c r="E219" s="3219"/>
      <c r="F219" s="3208">
        <v>0.05</v>
      </c>
      <c r="G219" s="3225"/>
    </row>
    <row r="220" spans="1:7">
      <c r="A220" s="3218" t="s">
        <v>1154</v>
      </c>
      <c r="B220" s="3207" t="s">
        <v>3078</v>
      </c>
      <c r="C220" s="3219"/>
      <c r="D220" s="3219"/>
      <c r="E220" s="3219"/>
      <c r="F220" s="3208">
        <v>0.05</v>
      </c>
      <c r="G220" s="3225"/>
    </row>
    <row r="221" spans="1:7">
      <c r="A221" s="3218" t="s">
        <v>1154</v>
      </c>
      <c r="B221" s="3207" t="s">
        <v>3079</v>
      </c>
      <c r="C221" s="3219"/>
      <c r="D221" s="3219"/>
      <c r="E221" s="3219"/>
      <c r="F221" s="3208">
        <v>0.05</v>
      </c>
      <c r="G221" s="3225"/>
    </row>
    <row r="222" spans="1:7">
      <c r="A222" s="3218" t="s">
        <v>1154</v>
      </c>
      <c r="B222" s="3207" t="s">
        <v>3080</v>
      </c>
      <c r="C222" s="3219"/>
      <c r="D222" s="3219"/>
      <c r="E222" s="3219"/>
      <c r="F222" s="3208">
        <v>0.05</v>
      </c>
      <c r="G222" s="3225"/>
    </row>
    <row r="223" spans="1:7">
      <c r="A223" s="3218" t="s">
        <v>1154</v>
      </c>
      <c r="B223" s="3207" t="s">
        <v>3081</v>
      </c>
      <c r="C223" s="3219"/>
      <c r="D223" s="3219"/>
      <c r="E223" s="3219"/>
      <c r="F223" s="3208">
        <v>0.05</v>
      </c>
      <c r="G223" s="3225"/>
    </row>
    <row r="224" spans="1:7">
      <c r="A224" s="3218" t="s">
        <v>1154</v>
      </c>
      <c r="B224" s="3207" t="s">
        <v>3082</v>
      </c>
      <c r="C224" s="3219"/>
      <c r="D224" s="3219"/>
      <c r="E224" s="3219"/>
      <c r="F224" s="3208">
        <v>0.05</v>
      </c>
      <c r="G224" s="3225"/>
    </row>
    <row r="225" spans="1:7">
      <c r="A225" s="3218" t="s">
        <v>1154</v>
      </c>
      <c r="B225" s="3207" t="s">
        <v>3083</v>
      </c>
      <c r="C225" s="3219"/>
      <c r="D225" s="3219"/>
      <c r="E225" s="3219"/>
      <c r="F225" s="3208">
        <v>0.05</v>
      </c>
      <c r="G225" s="3225"/>
    </row>
    <row r="226" spans="1:7">
      <c r="A226" s="3218" t="s">
        <v>1154</v>
      </c>
      <c r="B226" s="3207" t="s">
        <v>3084</v>
      </c>
      <c r="C226" s="3219"/>
      <c r="D226" s="3219"/>
      <c r="E226" s="3219"/>
      <c r="F226" s="3208">
        <v>0.05</v>
      </c>
      <c r="G226" s="3225"/>
    </row>
    <row r="227" spans="1:7">
      <c r="A227" s="3218" t="s">
        <v>1154</v>
      </c>
      <c r="B227" s="3207" t="s">
        <v>3085</v>
      </c>
      <c r="C227" s="3219"/>
      <c r="D227" s="3219"/>
      <c r="E227" s="3219"/>
      <c r="F227" s="3208">
        <v>0.05</v>
      </c>
      <c r="G227" s="3225"/>
    </row>
    <row r="228" spans="1:7">
      <c r="A228" s="3218" t="s">
        <v>1154</v>
      </c>
      <c r="B228" s="3207" t="s">
        <v>3086</v>
      </c>
      <c r="C228" s="3219"/>
      <c r="D228" s="3219"/>
      <c r="E228" s="3219"/>
      <c r="F228" s="3208">
        <v>0.05</v>
      </c>
      <c r="G228" s="3225"/>
    </row>
    <row r="229" spans="1:7">
      <c r="A229" s="3218" t="s">
        <v>1154</v>
      </c>
      <c r="B229" s="3207" t="s">
        <v>3087</v>
      </c>
      <c r="C229" s="3219"/>
      <c r="D229" s="3219"/>
      <c r="E229" s="3219"/>
      <c r="F229" s="3208">
        <v>0.05</v>
      </c>
      <c r="G229" s="3225"/>
    </row>
    <row r="230" spans="1:7">
      <c r="A230" s="3218" t="s">
        <v>1154</v>
      </c>
      <c r="B230" s="3207" t="s">
        <v>3088</v>
      </c>
      <c r="C230" s="3219"/>
      <c r="D230" s="3219"/>
      <c r="E230" s="3219"/>
      <c r="F230" s="3208">
        <v>0.05</v>
      </c>
      <c r="G230" s="3225"/>
    </row>
    <row r="231" spans="1:7">
      <c r="A231" s="3218" t="s">
        <v>1154</v>
      </c>
      <c r="B231" s="3207" t="s">
        <v>3089</v>
      </c>
      <c r="C231" s="3219"/>
      <c r="D231" s="3219"/>
      <c r="E231" s="3219"/>
      <c r="F231" s="3208">
        <v>0.05</v>
      </c>
      <c r="G231" s="3225"/>
    </row>
    <row r="232" spans="1:7">
      <c r="A232" s="3218" t="s">
        <v>1154</v>
      </c>
      <c r="B232" s="3207" t="s">
        <v>3090</v>
      </c>
      <c r="C232" s="3219"/>
      <c r="D232" s="3219"/>
      <c r="E232" s="3219"/>
      <c r="F232" s="3208">
        <v>0.05</v>
      </c>
      <c r="G232" s="3225"/>
    </row>
    <row r="233" spans="1:7" ht="14.25" thickBot="1">
      <c r="A233" s="3221" t="s">
        <v>1154</v>
      </c>
      <c r="B233" s="3211" t="s">
        <v>3091</v>
      </c>
      <c r="C233" s="3213"/>
      <c r="D233" s="3213"/>
      <c r="E233" s="3213"/>
      <c r="F233" s="3212">
        <v>0.05</v>
      </c>
      <c r="G233" s="3226"/>
    </row>
    <row r="234" spans="1:7">
      <c r="A234" s="3217" t="s">
        <v>1155</v>
      </c>
      <c r="B234" s="3203" t="s">
        <v>3092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2913</v>
      </c>
      <c r="C238" s="3208">
        <v>0.14899999999999999</v>
      </c>
      <c r="D238" s="3208">
        <v>0.14899999999999999</v>
      </c>
      <c r="E238" s="3208">
        <v>0.15</v>
      </c>
      <c r="F238" s="3208">
        <v>0.15</v>
      </c>
      <c r="G238" s="3209">
        <v>0.15</v>
      </c>
    </row>
    <row r="239" spans="1:7">
      <c r="A239" s="3218" t="s">
        <v>1155</v>
      </c>
      <c r="B239" s="3207" t="s">
        <v>3093</v>
      </c>
      <c r="C239" s="3208">
        <v>0.15</v>
      </c>
      <c r="D239" s="3208">
        <v>0.15</v>
      </c>
      <c r="E239" s="3208">
        <v>0.15</v>
      </c>
      <c r="F239" s="3208">
        <v>0.15</v>
      </c>
      <c r="G239" s="3209">
        <v>0.15</v>
      </c>
    </row>
    <row r="240" spans="1:7">
      <c r="A240" s="3218" t="s">
        <v>1155</v>
      </c>
      <c r="B240" s="3207" t="s">
        <v>3094</v>
      </c>
      <c r="C240" s="3208">
        <v>0.15</v>
      </c>
      <c r="D240" s="3208">
        <v>0.15</v>
      </c>
      <c r="E240" s="3208">
        <v>0.15</v>
      </c>
      <c r="F240" s="3208">
        <v>0.15</v>
      </c>
      <c r="G240" s="3209">
        <v>0.15</v>
      </c>
    </row>
    <row r="241" spans="1:7">
      <c r="A241" s="3218" t="s">
        <v>1155</v>
      </c>
      <c r="B241" s="3207" t="s">
        <v>3095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3100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2922</v>
      </c>
      <c r="C258" s="3208">
        <v>0.14299999999999999</v>
      </c>
      <c r="D258" s="3208">
        <v>0.14299999999999999</v>
      </c>
      <c r="E258" s="3208">
        <v>0.15</v>
      </c>
      <c r="F258" s="3208">
        <v>0.14799999999999999</v>
      </c>
      <c r="G258" s="3209">
        <v>0.14599999999999999</v>
      </c>
    </row>
    <row r="259" spans="1:7">
      <c r="A259" s="3218" t="s">
        <v>1155</v>
      </c>
      <c r="B259" s="3207" t="s">
        <v>3101</v>
      </c>
      <c r="C259" s="3208">
        <v>0.14399999999999999</v>
      </c>
      <c r="D259" s="3208">
        <v>0.14399999999999999</v>
      </c>
      <c r="E259" s="3208">
        <v>0.14899999999999999</v>
      </c>
      <c r="F259" s="3208">
        <v>0.14699999999999999</v>
      </c>
      <c r="G259" s="3209">
        <v>0.14599999999999999</v>
      </c>
    </row>
    <row r="260" spans="1:7">
      <c r="A260" s="3218" t="s">
        <v>1155</v>
      </c>
      <c r="B260" s="3207" t="s">
        <v>3102</v>
      </c>
      <c r="C260" s="3208">
        <v>0.109</v>
      </c>
      <c r="D260" s="3208">
        <v>0.111</v>
      </c>
      <c r="E260" s="3208">
        <v>0.13100000000000001</v>
      </c>
      <c r="F260" s="3208">
        <v>0.126</v>
      </c>
      <c r="G260" s="3209">
        <v>0.11899999999999999</v>
      </c>
    </row>
    <row r="261" spans="1:7">
      <c r="A261" s="3218" t="s">
        <v>1155</v>
      </c>
      <c r="B261" s="3207" t="s">
        <v>3103</v>
      </c>
      <c r="C261" s="3208">
        <v>0.1</v>
      </c>
      <c r="D261" s="3208">
        <v>0.1</v>
      </c>
      <c r="E261" s="3208">
        <v>0.11799999999999999</v>
      </c>
      <c r="F261" s="3208">
        <v>0.108</v>
      </c>
      <c r="G261" s="3209">
        <v>0.107</v>
      </c>
    </row>
    <row r="262" spans="1:7">
      <c r="A262" s="3218" t="s">
        <v>1155</v>
      </c>
      <c r="B262" s="3207" t="s">
        <v>3104</v>
      </c>
      <c r="C262" s="3208">
        <v>0.1</v>
      </c>
      <c r="D262" s="3208">
        <v>0.1</v>
      </c>
      <c r="E262" s="3208">
        <v>0.1</v>
      </c>
      <c r="F262" s="3208">
        <v>0.14099999999999999</v>
      </c>
      <c r="G262" s="3209">
        <v>0.1</v>
      </c>
    </row>
    <row r="263" spans="1:7">
      <c r="A263" s="3218" t="s">
        <v>1155</v>
      </c>
      <c r="B263" s="3207" t="s">
        <v>3105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3106</v>
      </c>
      <c r="C265" s="3219"/>
      <c r="D265" s="3219"/>
      <c r="E265" s="3219"/>
      <c r="F265" s="3208">
        <v>0.05</v>
      </c>
      <c r="G265" s="3225"/>
    </row>
    <row r="266" spans="1:7">
      <c r="A266" s="3218" t="s">
        <v>1155</v>
      </c>
      <c r="B266" s="3207" t="s">
        <v>3107</v>
      </c>
      <c r="C266" s="3219"/>
      <c r="D266" s="3219"/>
      <c r="E266" s="3219"/>
      <c r="F266" s="3208">
        <v>0.05</v>
      </c>
      <c r="G266" s="3225"/>
    </row>
    <row r="267" spans="1:7">
      <c r="A267" s="3218" t="s">
        <v>1155</v>
      </c>
      <c r="B267" s="3207" t="s">
        <v>3108</v>
      </c>
      <c r="C267" s="3219"/>
      <c r="D267" s="3219"/>
      <c r="E267" s="3219"/>
      <c r="F267" s="3208">
        <v>0.05</v>
      </c>
      <c r="G267" s="3225"/>
    </row>
    <row r="268" spans="1:7">
      <c r="A268" s="3218" t="s">
        <v>1155</v>
      </c>
      <c r="B268" s="3207" t="s">
        <v>3109</v>
      </c>
      <c r="C268" s="3219"/>
      <c r="D268" s="3219"/>
      <c r="E268" s="3219"/>
      <c r="F268" s="3208">
        <v>0.05</v>
      </c>
      <c r="G268" s="3225"/>
    </row>
    <row r="269" spans="1:7">
      <c r="A269" s="3218" t="s">
        <v>1155</v>
      </c>
      <c r="B269" s="3207" t="s">
        <v>3110</v>
      </c>
      <c r="C269" s="3219"/>
      <c r="D269" s="3219"/>
      <c r="E269" s="3219"/>
      <c r="F269" s="3208">
        <v>0.05</v>
      </c>
      <c r="G269" s="3225"/>
    </row>
    <row r="270" spans="1:7">
      <c r="A270" s="3218" t="s">
        <v>1155</v>
      </c>
      <c r="B270" s="3207" t="s">
        <v>3111</v>
      </c>
      <c r="C270" s="3219"/>
      <c r="D270" s="3219"/>
      <c r="E270" s="3219"/>
      <c r="F270" s="3208">
        <v>0.05</v>
      </c>
      <c r="G270" s="3225"/>
    </row>
    <row r="271" spans="1:7">
      <c r="A271" s="3218" t="s">
        <v>1155</v>
      </c>
      <c r="B271" s="3207" t="s">
        <v>3112</v>
      </c>
      <c r="C271" s="3219"/>
      <c r="D271" s="3219"/>
      <c r="E271" s="3219"/>
      <c r="F271" s="3208">
        <v>0.05</v>
      </c>
      <c r="G271" s="3225"/>
    </row>
    <row r="272" spans="1:7">
      <c r="A272" s="3218" t="s">
        <v>1155</v>
      </c>
      <c r="B272" s="3207" t="s">
        <v>3113</v>
      </c>
      <c r="C272" s="3219"/>
      <c r="D272" s="3219"/>
      <c r="E272" s="3219"/>
      <c r="F272" s="3208">
        <v>0.05</v>
      </c>
      <c r="G272" s="3225"/>
    </row>
    <row r="273" spans="1:7">
      <c r="A273" s="3218" t="s">
        <v>1155</v>
      </c>
      <c r="B273" s="3207" t="s">
        <v>3114</v>
      </c>
      <c r="C273" s="3219"/>
      <c r="D273" s="3219"/>
      <c r="E273" s="3219"/>
      <c r="F273" s="3208">
        <v>0.05</v>
      </c>
      <c r="G273" s="3225"/>
    </row>
    <row r="274" spans="1:7">
      <c r="A274" s="3218" t="s">
        <v>1155</v>
      </c>
      <c r="B274" s="3207" t="s">
        <v>3115</v>
      </c>
      <c r="C274" s="3219"/>
      <c r="D274" s="3219"/>
      <c r="E274" s="3219"/>
      <c r="F274" s="3208">
        <v>0.05</v>
      </c>
      <c r="G274" s="3225"/>
    </row>
    <row r="275" spans="1:7">
      <c r="A275" s="3218" t="s">
        <v>1155</v>
      </c>
      <c r="B275" s="3207" t="s">
        <v>3116</v>
      </c>
      <c r="C275" s="3219"/>
      <c r="D275" s="3219"/>
      <c r="E275" s="3219"/>
      <c r="F275" s="3208">
        <v>0.05</v>
      </c>
      <c r="G275" s="3225"/>
    </row>
    <row r="276" spans="1:7" ht="14.25" thickBot="1">
      <c r="A276" s="3221" t="s">
        <v>1155</v>
      </c>
      <c r="B276" s="3211" t="s">
        <v>3117</v>
      </c>
      <c r="C276" s="3213"/>
      <c r="D276" s="3213"/>
      <c r="E276" s="3213"/>
      <c r="F276" s="3212">
        <v>0.05</v>
      </c>
      <c r="G276" s="3226"/>
    </row>
    <row r="277" spans="1:7">
      <c r="A277" s="3217" t="s">
        <v>1156</v>
      </c>
      <c r="B277" s="3203" t="s">
        <v>3118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3119</v>
      </c>
      <c r="C279" s="3208">
        <v>0.15</v>
      </c>
      <c r="D279" s="3208">
        <v>0.15</v>
      </c>
      <c r="E279" s="3208">
        <v>0.15</v>
      </c>
      <c r="F279" s="3208">
        <v>0.15</v>
      </c>
      <c r="G279" s="3209">
        <v>0.15</v>
      </c>
    </row>
    <row r="280" spans="1:7">
      <c r="A280" s="3218" t="s">
        <v>1156</v>
      </c>
      <c r="B280" s="3207" t="s">
        <v>3120</v>
      </c>
      <c r="C280" s="3208">
        <v>0.15</v>
      </c>
      <c r="D280" s="3208">
        <v>0.15</v>
      </c>
      <c r="E280" s="3208">
        <v>0.15</v>
      </c>
      <c r="F280" s="3208">
        <v>0.15</v>
      </c>
      <c r="G280" s="3209">
        <v>0.15</v>
      </c>
    </row>
    <row r="281" spans="1:7">
      <c r="A281" s="3218" t="s">
        <v>1156</v>
      </c>
      <c r="B281" s="3207" t="s">
        <v>3121</v>
      </c>
      <c r="C281" s="3208">
        <v>0.15</v>
      </c>
      <c r="D281" s="3208">
        <v>0.15</v>
      </c>
      <c r="E281" s="3208">
        <v>0.15</v>
      </c>
      <c r="F281" s="3208">
        <v>0.15</v>
      </c>
      <c r="G281" s="3209">
        <v>0.15</v>
      </c>
    </row>
    <row r="282" spans="1:7">
      <c r="A282" s="3218" t="s">
        <v>1156</v>
      </c>
      <c r="B282" s="3207" t="s">
        <v>3122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2947</v>
      </c>
      <c r="C293" s="3208">
        <v>0.15</v>
      </c>
      <c r="D293" s="3208">
        <v>0.15</v>
      </c>
      <c r="E293" s="3208">
        <v>0.15</v>
      </c>
      <c r="F293" s="3208">
        <v>0.14499999999999999</v>
      </c>
      <c r="G293" s="3209">
        <v>0.15</v>
      </c>
    </row>
    <row r="294" spans="1:7">
      <c r="A294" s="3218" t="s">
        <v>1156</v>
      </c>
      <c r="B294" s="3207" t="s">
        <v>3125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3126</v>
      </c>
      <c r="C302" s="3208">
        <v>0.15</v>
      </c>
      <c r="D302" s="3208">
        <v>0.15</v>
      </c>
      <c r="E302" s="3208">
        <v>0.15</v>
      </c>
      <c r="F302" s="3208">
        <v>0.14699999999999999</v>
      </c>
      <c r="G302" s="3209">
        <v>0.15</v>
      </c>
    </row>
    <row r="303" spans="1:7">
      <c r="A303" s="3218" t="s">
        <v>1156</v>
      </c>
      <c r="B303" s="3207" t="s">
        <v>2951</v>
      </c>
      <c r="C303" s="3208">
        <v>0.15</v>
      </c>
      <c r="D303" s="3208">
        <v>0.15</v>
      </c>
      <c r="E303" s="3208">
        <v>0.15</v>
      </c>
      <c r="F303" s="3208">
        <v>0.14199999999999999</v>
      </c>
      <c r="G303" s="3209">
        <v>0.15</v>
      </c>
    </row>
    <row r="304" spans="1:7">
      <c r="A304" s="3218" t="s">
        <v>1156</v>
      </c>
      <c r="B304" s="3207" t="s">
        <v>2952</v>
      </c>
      <c r="C304" s="3208">
        <v>0.15</v>
      </c>
      <c r="D304" s="3208">
        <v>0.15</v>
      </c>
      <c r="E304" s="3208">
        <v>0.15</v>
      </c>
      <c r="F304" s="3208">
        <v>0.14499999999999999</v>
      </c>
      <c r="G304" s="3209">
        <v>0.15</v>
      </c>
    </row>
    <row r="305" spans="1:7">
      <c r="A305" s="3218" t="s">
        <v>1156</v>
      </c>
      <c r="B305" s="3207" t="s">
        <v>2953</v>
      </c>
      <c r="C305" s="3208">
        <v>0.15</v>
      </c>
      <c r="D305" s="3208">
        <v>0.15</v>
      </c>
      <c r="E305" s="3208">
        <v>0.15</v>
      </c>
      <c r="F305" s="3208">
        <v>0.111</v>
      </c>
      <c r="G305" s="3209">
        <v>0.15</v>
      </c>
    </row>
    <row r="306" spans="1:7">
      <c r="A306" s="3218" t="s">
        <v>1156</v>
      </c>
      <c r="B306" s="3207" t="s">
        <v>3127</v>
      </c>
      <c r="C306" s="3208">
        <v>0.15</v>
      </c>
      <c r="D306" s="3208">
        <v>0.15</v>
      </c>
      <c r="E306" s="3208">
        <v>0.15</v>
      </c>
      <c r="F306" s="3208">
        <v>0.126</v>
      </c>
      <c r="G306" s="3209">
        <v>0.15</v>
      </c>
    </row>
    <row r="307" spans="1:7">
      <c r="A307" s="3218" t="s">
        <v>1156</v>
      </c>
      <c r="B307" s="3207" t="s">
        <v>2955</v>
      </c>
      <c r="C307" s="3208">
        <v>0.15</v>
      </c>
      <c r="D307" s="3208">
        <v>0.15</v>
      </c>
      <c r="E307" s="3208">
        <v>0.15</v>
      </c>
      <c r="F307" s="3208">
        <v>0.12</v>
      </c>
      <c r="G307" s="3209">
        <v>0.15</v>
      </c>
    </row>
    <row r="308" spans="1:7">
      <c r="A308" s="3218" t="s">
        <v>1156</v>
      </c>
      <c r="B308" s="3207" t="s">
        <v>3128</v>
      </c>
      <c r="C308" s="3208">
        <v>0.15</v>
      </c>
      <c r="D308" s="3208">
        <v>0.15</v>
      </c>
      <c r="E308" s="3208">
        <v>0.15</v>
      </c>
      <c r="F308" s="3208">
        <v>0.13</v>
      </c>
      <c r="G308" s="3209">
        <v>0.15</v>
      </c>
    </row>
    <row r="309" spans="1:7">
      <c r="A309" s="3218" t="s">
        <v>1156</v>
      </c>
      <c r="B309" s="3207" t="s">
        <v>3129</v>
      </c>
      <c r="C309" s="3208">
        <v>0.15</v>
      </c>
      <c r="D309" s="3208">
        <v>0.15</v>
      </c>
      <c r="E309" s="3208">
        <v>0.15</v>
      </c>
      <c r="F309" s="3208">
        <v>0.14099999999999999</v>
      </c>
      <c r="G309" s="3209">
        <v>0.15</v>
      </c>
    </row>
    <row r="310" spans="1:7">
      <c r="A310" s="3218" t="s">
        <v>1156</v>
      </c>
      <c r="B310" s="3207" t="s">
        <v>2958</v>
      </c>
      <c r="C310" s="3208">
        <v>0.15</v>
      </c>
      <c r="D310" s="3208">
        <v>0.15</v>
      </c>
      <c r="E310" s="3208">
        <v>0.15</v>
      </c>
      <c r="F310" s="3208">
        <v>0.15</v>
      </c>
      <c r="G310" s="3209">
        <v>0.15</v>
      </c>
    </row>
    <row r="311" spans="1:7">
      <c r="A311" s="3218" t="s">
        <v>1156</v>
      </c>
      <c r="B311" s="3207" t="s">
        <v>3130</v>
      </c>
      <c r="C311" s="3208">
        <v>0.13200000000000001</v>
      </c>
      <c r="D311" s="3208">
        <v>0.13300000000000001</v>
      </c>
      <c r="E311" s="3208">
        <v>0.14499999999999999</v>
      </c>
      <c r="F311" s="3208">
        <v>0.14199999999999999</v>
      </c>
      <c r="G311" s="3209">
        <v>0.14000000000000001</v>
      </c>
    </row>
    <row r="312" spans="1:7">
      <c r="A312" s="3218" t="s">
        <v>1156</v>
      </c>
      <c r="B312" s="3207" t="s">
        <v>2960</v>
      </c>
      <c r="C312" s="3208">
        <v>0.13800000000000001</v>
      </c>
      <c r="D312" s="3208">
        <v>0.14000000000000001</v>
      </c>
      <c r="E312" s="3208">
        <v>0.14599999999999999</v>
      </c>
      <c r="F312" s="3208">
        <v>0.14899999999999999</v>
      </c>
      <c r="G312" s="3209">
        <v>0.14199999999999999</v>
      </c>
    </row>
    <row r="313" spans="1:7">
      <c r="A313" s="3218" t="s">
        <v>1156</v>
      </c>
      <c r="B313" s="3207" t="s">
        <v>2961</v>
      </c>
      <c r="C313" s="3208">
        <v>0.125</v>
      </c>
      <c r="D313" s="3208">
        <v>0.127</v>
      </c>
      <c r="E313" s="3208">
        <v>0.14399999999999999</v>
      </c>
      <c r="F313" s="3208">
        <v>0.115</v>
      </c>
      <c r="G313" s="3209">
        <v>0.13600000000000001</v>
      </c>
    </row>
    <row r="314" spans="1:7">
      <c r="A314" s="3218" t="s">
        <v>1156</v>
      </c>
      <c r="B314" s="3207" t="s">
        <v>3131</v>
      </c>
      <c r="C314" s="3224"/>
      <c r="D314" s="3224"/>
      <c r="E314" s="3224"/>
      <c r="F314" s="3208">
        <v>0.05</v>
      </c>
      <c r="G314" s="3225"/>
    </row>
    <row r="315" spans="1:7">
      <c r="A315" s="3218" t="s">
        <v>1156</v>
      </c>
      <c r="B315" s="3207" t="s">
        <v>3132</v>
      </c>
      <c r="C315" s="3224"/>
      <c r="D315" s="3224"/>
      <c r="E315" s="3224"/>
      <c r="F315" s="3208">
        <v>0.05</v>
      </c>
      <c r="G315" s="3225"/>
    </row>
    <row r="316" spans="1:7">
      <c r="A316" s="3218" t="s">
        <v>1156</v>
      </c>
      <c r="B316" s="3207" t="s">
        <v>3133</v>
      </c>
      <c r="C316" s="3219"/>
      <c r="D316" s="3219"/>
      <c r="E316" s="3219"/>
      <c r="F316" s="3208">
        <v>0.05</v>
      </c>
      <c r="G316" s="3225"/>
    </row>
    <row r="317" spans="1:7">
      <c r="A317" s="3218" t="s">
        <v>1156</v>
      </c>
      <c r="B317" s="3207" t="s">
        <v>3134</v>
      </c>
      <c r="C317" s="3219"/>
      <c r="D317" s="3219"/>
      <c r="E317" s="3219"/>
      <c r="F317" s="3208">
        <v>0.05</v>
      </c>
      <c r="G317" s="3225"/>
    </row>
    <row r="318" spans="1:7">
      <c r="A318" s="3218" t="s">
        <v>1156</v>
      </c>
      <c r="B318" s="3207" t="s">
        <v>3135</v>
      </c>
      <c r="C318" s="3219"/>
      <c r="D318" s="3219"/>
      <c r="E318" s="3219"/>
      <c r="F318" s="3208">
        <v>0.05</v>
      </c>
      <c r="G318" s="3225"/>
    </row>
    <row r="319" spans="1:7">
      <c r="A319" s="3218" t="s">
        <v>1156</v>
      </c>
      <c r="B319" s="3207" t="s">
        <v>3136</v>
      </c>
      <c r="C319" s="3219"/>
      <c r="D319" s="3219"/>
      <c r="E319" s="3219"/>
      <c r="F319" s="3208">
        <v>0.05</v>
      </c>
      <c r="G319" s="3225"/>
    </row>
    <row r="320" spans="1:7">
      <c r="A320" s="3218" t="s">
        <v>1156</v>
      </c>
      <c r="B320" s="3207" t="s">
        <v>3137</v>
      </c>
      <c r="C320" s="3219"/>
      <c r="D320" s="3219"/>
      <c r="E320" s="3219"/>
      <c r="F320" s="3208">
        <v>0.05</v>
      </c>
      <c r="G320" s="3225"/>
    </row>
    <row r="321" spans="1:7">
      <c r="A321" s="3218" t="s">
        <v>1156</v>
      </c>
      <c r="B321" s="3207" t="s">
        <v>3138</v>
      </c>
      <c r="C321" s="3219"/>
      <c r="D321" s="3219"/>
      <c r="E321" s="3219"/>
      <c r="F321" s="3208">
        <v>0.05</v>
      </c>
      <c r="G321" s="3225"/>
    </row>
    <row r="322" spans="1:7">
      <c r="A322" s="3218" t="s">
        <v>1156</v>
      </c>
      <c r="B322" s="3207" t="s">
        <v>3139</v>
      </c>
      <c r="C322" s="3219"/>
      <c r="D322" s="3219"/>
      <c r="E322" s="3219"/>
      <c r="F322" s="3208">
        <v>0.05</v>
      </c>
      <c r="G322" s="3225"/>
    </row>
    <row r="323" spans="1:7">
      <c r="A323" s="3218" t="s">
        <v>1156</v>
      </c>
      <c r="B323" s="3207" t="s">
        <v>3140</v>
      </c>
      <c r="C323" s="3219"/>
      <c r="D323" s="3219"/>
      <c r="E323" s="3219"/>
      <c r="F323" s="3208">
        <v>0.05</v>
      </c>
      <c r="G323" s="3225"/>
    </row>
    <row r="324" spans="1:7">
      <c r="A324" s="3218" t="s">
        <v>1156</v>
      </c>
      <c r="B324" s="3207" t="s">
        <v>3141</v>
      </c>
      <c r="C324" s="3219"/>
      <c r="D324" s="3219"/>
      <c r="E324" s="3219"/>
      <c r="F324" s="3208">
        <v>0.05</v>
      </c>
      <c r="G324" s="3225"/>
    </row>
    <row r="325" spans="1:7">
      <c r="A325" s="3218" t="s">
        <v>1156</v>
      </c>
      <c r="B325" s="3207" t="s">
        <v>3142</v>
      </c>
      <c r="C325" s="3219"/>
      <c r="D325" s="3219"/>
      <c r="E325" s="3219"/>
      <c r="F325" s="3208">
        <v>0.05</v>
      </c>
      <c r="G325" s="3225"/>
    </row>
    <row r="326" spans="1:7" ht="14.25" thickBot="1">
      <c r="A326" s="3221" t="s">
        <v>1156</v>
      </c>
      <c r="B326" s="3211" t="s">
        <v>3143</v>
      </c>
      <c r="C326" s="3213"/>
      <c r="D326" s="3213"/>
      <c r="E326" s="3213"/>
      <c r="F326" s="3212">
        <v>0.05</v>
      </c>
      <c r="G326" s="3226"/>
    </row>
    <row r="327" spans="1:7">
      <c r="A327" s="3217" t="s">
        <v>1157</v>
      </c>
      <c r="B327" s="3203" t="s">
        <v>3144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3145</v>
      </c>
      <c r="C329" s="3208">
        <v>0.15</v>
      </c>
      <c r="D329" s="3208">
        <v>0.15</v>
      </c>
      <c r="E329" s="3208">
        <v>0.15</v>
      </c>
      <c r="F329" s="3208">
        <v>0.15</v>
      </c>
      <c r="G329" s="3209">
        <v>0.15</v>
      </c>
    </row>
    <row r="330" spans="1:7">
      <c r="A330" s="3218" t="s">
        <v>1157</v>
      </c>
      <c r="B330" s="3207" t="s">
        <v>3146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2978</v>
      </c>
      <c r="C332" s="3208">
        <v>0.15</v>
      </c>
      <c r="D332" s="3208">
        <v>0.15</v>
      </c>
      <c r="E332" s="3208">
        <v>0.15</v>
      </c>
      <c r="F332" s="3208">
        <v>0.15</v>
      </c>
      <c r="G332" s="3209">
        <v>0.15</v>
      </c>
    </row>
    <row r="333" spans="1:7">
      <c r="A333" s="3218" t="s">
        <v>1157</v>
      </c>
      <c r="B333" s="3207" t="s">
        <v>3147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2980</v>
      </c>
      <c r="C336" s="3208">
        <v>0.15</v>
      </c>
      <c r="D336" s="3208">
        <v>0.15</v>
      </c>
      <c r="E336" s="3208">
        <v>0.15</v>
      </c>
      <c r="F336" s="3208">
        <v>0.14199999999999999</v>
      </c>
      <c r="G336" s="3209">
        <v>0.15</v>
      </c>
    </row>
    <row r="337" spans="1:7">
      <c r="A337" s="3218" t="s">
        <v>1157</v>
      </c>
      <c r="B337" s="3207" t="s">
        <v>3148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3150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2984</v>
      </c>
      <c r="C345" s="3208">
        <v>0.15</v>
      </c>
      <c r="D345" s="3208">
        <v>0.15</v>
      </c>
      <c r="E345" s="3208">
        <v>0.15</v>
      </c>
      <c r="F345" s="3208">
        <v>0.13800000000000001</v>
      </c>
      <c r="G345" s="3209">
        <v>0.15</v>
      </c>
    </row>
    <row r="346" spans="1:7">
      <c r="A346" s="3218" t="s">
        <v>1157</v>
      </c>
      <c r="B346" s="3207" t="s">
        <v>3151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2986</v>
      </c>
      <c r="C348" s="3208">
        <v>0.15</v>
      </c>
      <c r="D348" s="3208">
        <v>0.15</v>
      </c>
      <c r="E348" s="3208">
        <v>0.15</v>
      </c>
      <c r="F348" s="3208">
        <v>0.14399999999999999</v>
      </c>
      <c r="G348" s="3209">
        <v>0.15</v>
      </c>
    </row>
    <row r="349" spans="1:7">
      <c r="A349" s="3218" t="s">
        <v>1157</v>
      </c>
      <c r="B349" s="3207" t="s">
        <v>2987</v>
      </c>
      <c r="C349" s="3208">
        <v>0.15</v>
      </c>
      <c r="D349" s="3208">
        <v>0.15</v>
      </c>
      <c r="E349" s="3208">
        <v>0.15</v>
      </c>
      <c r="F349" s="3208">
        <v>0.15</v>
      </c>
      <c r="G349" s="3209">
        <v>0.15</v>
      </c>
    </row>
    <row r="350" spans="1:7">
      <c r="A350" s="3218" t="s">
        <v>1157</v>
      </c>
      <c r="B350" s="3207" t="s">
        <v>3152</v>
      </c>
      <c r="C350" s="3208">
        <v>0.15</v>
      </c>
      <c r="D350" s="3208">
        <v>0.15</v>
      </c>
      <c r="E350" s="3208">
        <v>0.15</v>
      </c>
      <c r="F350" s="3208">
        <v>0.14699999999999999</v>
      </c>
      <c r="G350" s="3209">
        <v>0.15</v>
      </c>
    </row>
    <row r="351" spans="1:7">
      <c r="A351" s="3218" t="s">
        <v>1157</v>
      </c>
      <c r="B351" s="3207" t="s">
        <v>2989</v>
      </c>
      <c r="C351" s="3208">
        <v>0.15</v>
      </c>
      <c r="D351" s="3208">
        <v>0.15</v>
      </c>
      <c r="E351" s="3208">
        <v>0.15</v>
      </c>
      <c r="F351" s="3208">
        <v>0.13</v>
      </c>
      <c r="G351" s="3209">
        <v>0.15</v>
      </c>
    </row>
    <row r="352" spans="1:7">
      <c r="A352" s="3218" t="s">
        <v>1157</v>
      </c>
      <c r="B352" s="3207" t="s">
        <v>2990</v>
      </c>
      <c r="C352" s="3208">
        <v>0.15</v>
      </c>
      <c r="D352" s="3208">
        <v>0.15</v>
      </c>
      <c r="E352" s="3208">
        <v>0.15</v>
      </c>
      <c r="F352" s="3208">
        <v>0.14599999999999999</v>
      </c>
      <c r="G352" s="3209">
        <v>0.15</v>
      </c>
    </row>
    <row r="353" spans="1:7">
      <c r="A353" s="3218" t="s">
        <v>1157</v>
      </c>
      <c r="B353" s="3207" t="s">
        <v>3153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2992</v>
      </c>
      <c r="C355" s="3208">
        <v>0.15</v>
      </c>
      <c r="D355" s="3208">
        <v>0.15</v>
      </c>
      <c r="E355" s="3208">
        <v>0.15</v>
      </c>
      <c r="F355" s="3208">
        <v>0.15</v>
      </c>
      <c r="G355" s="3209">
        <v>0.15</v>
      </c>
    </row>
    <row r="356" spans="1:7">
      <c r="A356" s="3218" t="s">
        <v>1157</v>
      </c>
      <c r="B356" s="3207" t="s">
        <v>2993</v>
      </c>
      <c r="C356" s="3208">
        <v>0.15</v>
      </c>
      <c r="D356" s="3208">
        <v>0.15</v>
      </c>
      <c r="E356" s="3208">
        <v>0.15</v>
      </c>
      <c r="F356" s="3208">
        <v>0.15</v>
      </c>
      <c r="G356" s="3209">
        <v>0.15</v>
      </c>
    </row>
    <row r="357" spans="1:7" ht="14.25" thickBot="1">
      <c r="A357" s="3221" t="s">
        <v>1157</v>
      </c>
      <c r="B357" s="3211" t="s">
        <v>3154</v>
      </c>
      <c r="C357" s="3212">
        <v>0.126</v>
      </c>
      <c r="D357" s="3212">
        <v>0.127</v>
      </c>
      <c r="E357" s="3212">
        <v>0.14299999999999999</v>
      </c>
      <c r="F357" s="3212">
        <v>0.125</v>
      </c>
      <c r="G357" s="3214">
        <v>0.129</v>
      </c>
    </row>
    <row r="358" spans="1:7">
      <c r="A358" s="3217" t="s">
        <v>3155</v>
      </c>
      <c r="B358" s="3203" t="s">
        <v>3156</v>
      </c>
      <c r="C358" s="3204">
        <v>0.15</v>
      </c>
      <c r="D358" s="3204">
        <v>0.15</v>
      </c>
      <c r="E358" s="3204">
        <v>0.15</v>
      </c>
      <c r="F358" s="3204">
        <v>0.15</v>
      </c>
      <c r="G358" s="3205">
        <v>0.15</v>
      </c>
    </row>
    <row r="359" spans="1:7">
      <c r="A359" s="3218" t="s">
        <v>3155</v>
      </c>
      <c r="B359" s="3207" t="s">
        <v>3157</v>
      </c>
      <c r="C359" s="3208">
        <v>0.1</v>
      </c>
      <c r="D359" s="3208">
        <v>0.1</v>
      </c>
      <c r="E359" s="3208">
        <v>0.1</v>
      </c>
      <c r="F359" s="3208">
        <v>0.1</v>
      </c>
      <c r="G359" s="3209">
        <v>0.1</v>
      </c>
    </row>
    <row r="360" spans="1:7">
      <c r="A360" s="3218" t="s">
        <v>3155</v>
      </c>
      <c r="B360" s="3207" t="s">
        <v>3158</v>
      </c>
      <c r="C360" s="3208">
        <v>0.15</v>
      </c>
      <c r="D360" s="3208">
        <v>0.15</v>
      </c>
      <c r="E360" s="3208">
        <v>0.15</v>
      </c>
      <c r="F360" s="3208">
        <v>0.14899999999999999</v>
      </c>
      <c r="G360" s="3209">
        <v>0.15</v>
      </c>
    </row>
    <row r="361" spans="1:7">
      <c r="A361" s="3218" t="s">
        <v>3155</v>
      </c>
      <c r="B361" s="3207" t="s">
        <v>999</v>
      </c>
      <c r="C361" s="3208">
        <v>0.15</v>
      </c>
      <c r="D361" s="3208">
        <v>0.15</v>
      </c>
      <c r="E361" s="3208">
        <v>0.15</v>
      </c>
      <c r="F361" s="3208">
        <v>0.115</v>
      </c>
      <c r="G361" s="3209">
        <v>0.15</v>
      </c>
    </row>
    <row r="362" spans="1:7">
      <c r="A362" s="3218" t="s">
        <v>3155</v>
      </c>
      <c r="B362" s="3207" t="s">
        <v>3159</v>
      </c>
      <c r="C362" s="3208">
        <v>0.15</v>
      </c>
      <c r="D362" s="3208">
        <v>0.15</v>
      </c>
      <c r="E362" s="3208">
        <v>0.15</v>
      </c>
      <c r="F362" s="3208">
        <v>0.106</v>
      </c>
      <c r="G362" s="3209">
        <v>0.15</v>
      </c>
    </row>
    <row r="363" spans="1:7">
      <c r="A363" s="3218" t="s">
        <v>3155</v>
      </c>
      <c r="B363" s="3207" t="s">
        <v>2999</v>
      </c>
      <c r="C363" s="3208">
        <v>0.15</v>
      </c>
      <c r="D363" s="3208">
        <v>0.15</v>
      </c>
      <c r="E363" s="3208">
        <v>0.15</v>
      </c>
      <c r="F363" s="3208">
        <v>0.14699999999999999</v>
      </c>
      <c r="G363" s="3209">
        <v>0.15</v>
      </c>
    </row>
    <row r="364" spans="1:7">
      <c r="A364" s="3218" t="s">
        <v>3155</v>
      </c>
      <c r="B364" s="3207" t="s">
        <v>3160</v>
      </c>
      <c r="C364" s="3208">
        <v>0.15</v>
      </c>
      <c r="D364" s="3208">
        <v>0.15</v>
      </c>
      <c r="E364" s="3208">
        <v>0.15</v>
      </c>
      <c r="F364" s="3208">
        <v>0.14799999999999999</v>
      </c>
      <c r="G364" s="3209">
        <v>0.15</v>
      </c>
    </row>
    <row r="365" spans="1:7">
      <c r="A365" s="3218" t="s">
        <v>3155</v>
      </c>
      <c r="B365" s="3207" t="s">
        <v>1047</v>
      </c>
      <c r="C365" s="3208">
        <v>0.15</v>
      </c>
      <c r="D365" s="3208">
        <v>0.15</v>
      </c>
      <c r="E365" s="3208">
        <v>0.15</v>
      </c>
      <c r="F365" s="3208">
        <v>0.15</v>
      </c>
      <c r="G365" s="3209">
        <v>0.15</v>
      </c>
    </row>
    <row r="366" spans="1:7">
      <c r="A366" s="3218" t="s">
        <v>3155</v>
      </c>
      <c r="B366" s="3207" t="s">
        <v>3001</v>
      </c>
      <c r="C366" s="3208">
        <v>0.15</v>
      </c>
      <c r="D366" s="3208">
        <v>0.15</v>
      </c>
      <c r="E366" s="3208">
        <v>0.15</v>
      </c>
      <c r="F366" s="3208">
        <v>0.15</v>
      </c>
      <c r="G366" s="3209">
        <v>0.15</v>
      </c>
    </row>
    <row r="367" spans="1:7">
      <c r="A367" s="3218" t="s">
        <v>3155</v>
      </c>
      <c r="B367" s="3207" t="s">
        <v>3161</v>
      </c>
      <c r="C367" s="3208">
        <v>0.15</v>
      </c>
      <c r="D367" s="3208">
        <v>0.15</v>
      </c>
      <c r="E367" s="3208">
        <v>0.15</v>
      </c>
      <c r="F367" s="3208">
        <v>0.14699999999999999</v>
      </c>
      <c r="G367" s="3209">
        <v>0.15</v>
      </c>
    </row>
    <row r="368" spans="1:7">
      <c r="A368" s="3218" t="s">
        <v>3155</v>
      </c>
      <c r="B368" s="3207" t="s">
        <v>3162</v>
      </c>
      <c r="C368" s="3208">
        <v>0.15</v>
      </c>
      <c r="D368" s="3208">
        <v>0.15</v>
      </c>
      <c r="E368" s="3208">
        <v>0.15</v>
      </c>
      <c r="F368" s="3208">
        <v>0.13600000000000001</v>
      </c>
      <c r="G368" s="3209">
        <v>0.15</v>
      </c>
    </row>
    <row r="369" spans="1:7">
      <c r="A369" s="3218" t="s">
        <v>3155</v>
      </c>
      <c r="B369" s="3207" t="s">
        <v>1061</v>
      </c>
      <c r="C369" s="3208">
        <v>0.15</v>
      </c>
      <c r="D369" s="3208">
        <v>0.15</v>
      </c>
      <c r="E369" s="3208">
        <v>0.15</v>
      </c>
      <c r="F369" s="3208">
        <v>0.14399999999999999</v>
      </c>
      <c r="G369" s="3209">
        <v>0.15</v>
      </c>
    </row>
    <row r="370" spans="1:7">
      <c r="A370" s="3218" t="s">
        <v>3155</v>
      </c>
      <c r="B370" s="3207" t="s">
        <v>1069</v>
      </c>
      <c r="C370" s="3208">
        <v>0.15</v>
      </c>
      <c r="D370" s="3208">
        <v>0.15</v>
      </c>
      <c r="E370" s="3208">
        <v>0.15</v>
      </c>
      <c r="F370" s="3208">
        <v>0.14599999999999999</v>
      </c>
      <c r="G370" s="3209">
        <v>0.15</v>
      </c>
    </row>
    <row r="371" spans="1:7">
      <c r="A371" s="3218" t="s">
        <v>3155</v>
      </c>
      <c r="B371" s="3207" t="s">
        <v>1077</v>
      </c>
      <c r="C371" s="3208">
        <v>0.15</v>
      </c>
      <c r="D371" s="3208">
        <v>0.15</v>
      </c>
      <c r="E371" s="3208">
        <v>0.15</v>
      </c>
      <c r="F371" s="3208">
        <v>0.12</v>
      </c>
      <c r="G371" s="3209">
        <v>0.15</v>
      </c>
    </row>
    <row r="372" spans="1:7">
      <c r="A372" s="3218" t="s">
        <v>3155</v>
      </c>
      <c r="B372" s="3207" t="s">
        <v>3163</v>
      </c>
      <c r="C372" s="3208">
        <v>0.15</v>
      </c>
      <c r="D372" s="3208">
        <v>0.15</v>
      </c>
      <c r="E372" s="3208">
        <v>0.15</v>
      </c>
      <c r="F372" s="3208">
        <v>0.14299999999999999</v>
      </c>
      <c r="G372" s="3209">
        <v>0.15</v>
      </c>
    </row>
    <row r="373" spans="1:7">
      <c r="A373" s="3218" t="s">
        <v>3155</v>
      </c>
      <c r="B373" s="3207" t="s">
        <v>1106</v>
      </c>
      <c r="C373" s="3208">
        <v>0.15</v>
      </c>
      <c r="D373" s="3208">
        <v>0.15</v>
      </c>
      <c r="E373" s="3208">
        <v>0.15</v>
      </c>
      <c r="F373" s="3208">
        <v>0.14599999999999999</v>
      </c>
      <c r="G373" s="3209">
        <v>0.15</v>
      </c>
    </row>
    <row r="374" spans="1:7">
      <c r="A374" s="3218" t="s">
        <v>3155</v>
      </c>
      <c r="B374" s="3207" t="s">
        <v>1114</v>
      </c>
      <c r="C374" s="3208">
        <v>0.15</v>
      </c>
      <c r="D374" s="3208">
        <v>0.15</v>
      </c>
      <c r="E374" s="3208">
        <v>0.15</v>
      </c>
      <c r="F374" s="3208">
        <v>0.14399999999999999</v>
      </c>
      <c r="G374" s="3209">
        <v>0.15</v>
      </c>
    </row>
    <row r="375" spans="1:7">
      <c r="A375" s="3218" t="s">
        <v>3155</v>
      </c>
      <c r="B375" s="3207" t="s">
        <v>3164</v>
      </c>
      <c r="C375" s="3208">
        <v>0.15</v>
      </c>
      <c r="D375" s="3208">
        <v>0.15</v>
      </c>
      <c r="E375" s="3208">
        <v>0.15</v>
      </c>
      <c r="F375" s="3208">
        <v>0.13</v>
      </c>
      <c r="G375" s="3209">
        <v>0.15</v>
      </c>
    </row>
    <row r="376" spans="1:7">
      <c r="A376" s="3218" t="s">
        <v>3155</v>
      </c>
      <c r="B376" s="3207" t="s">
        <v>1126</v>
      </c>
      <c r="C376" s="3208">
        <v>0.15</v>
      </c>
      <c r="D376" s="3208">
        <v>0.15</v>
      </c>
      <c r="E376" s="3208">
        <v>0.15</v>
      </c>
      <c r="F376" s="3208">
        <v>0.14199999999999999</v>
      </c>
      <c r="G376" s="3209">
        <v>0.15</v>
      </c>
    </row>
    <row r="377" spans="1:7" ht="14.25" thickBot="1">
      <c r="A377" s="3221" t="s">
        <v>3155</v>
      </c>
      <c r="B377" s="3211" t="s">
        <v>3006</v>
      </c>
      <c r="C377" s="3212">
        <v>0.15</v>
      </c>
      <c r="D377" s="3212">
        <v>0.15</v>
      </c>
      <c r="E377" s="3212">
        <v>0.15</v>
      </c>
      <c r="F377" s="3212">
        <v>0.14000000000000001</v>
      </c>
      <c r="G377" s="3214">
        <v>0.15</v>
      </c>
    </row>
    <row r="378" spans="1:7">
      <c r="A378" s="3217" t="s">
        <v>3165</v>
      </c>
      <c r="B378" s="3203" t="s">
        <v>3166</v>
      </c>
      <c r="C378" s="3204">
        <v>0.15</v>
      </c>
      <c r="D378" s="3204">
        <v>0.15</v>
      </c>
      <c r="E378" s="3204">
        <v>0.15</v>
      </c>
      <c r="F378" s="3204">
        <v>0.107</v>
      </c>
      <c r="G378" s="3205">
        <v>0.15</v>
      </c>
    </row>
    <row r="379" spans="1:7">
      <c r="A379" s="3218" t="s">
        <v>3165</v>
      </c>
      <c r="B379" s="3207" t="s">
        <v>3167</v>
      </c>
      <c r="C379" s="3208">
        <v>0.15</v>
      </c>
      <c r="D379" s="3208">
        <v>0.15</v>
      </c>
      <c r="E379" s="3208">
        <v>0.15</v>
      </c>
      <c r="F379" s="3208">
        <v>0.115</v>
      </c>
      <c r="G379" s="3209">
        <v>0.14899999999999999</v>
      </c>
    </row>
    <row r="380" spans="1:7">
      <c r="A380" s="3218" t="s">
        <v>3168</v>
      </c>
      <c r="B380" s="3207" t="s">
        <v>3169</v>
      </c>
      <c r="C380" s="3208">
        <v>0.15</v>
      </c>
      <c r="D380" s="3208">
        <v>0.15</v>
      </c>
      <c r="E380" s="3208">
        <v>0.15</v>
      </c>
      <c r="F380" s="3208">
        <v>0.1</v>
      </c>
      <c r="G380" s="3209">
        <v>0.14799999999999999</v>
      </c>
    </row>
    <row r="381" spans="1:7">
      <c r="A381" s="3218" t="s">
        <v>3168</v>
      </c>
      <c r="B381" s="3207" t="s">
        <v>3170</v>
      </c>
      <c r="C381" s="3208">
        <v>0.15</v>
      </c>
      <c r="D381" s="3208">
        <v>0.15</v>
      </c>
      <c r="E381" s="3208">
        <v>0.15</v>
      </c>
      <c r="F381" s="3208">
        <v>0.126</v>
      </c>
      <c r="G381" s="3209">
        <v>0.15</v>
      </c>
    </row>
    <row r="382" spans="1:7">
      <c r="A382" s="3218" t="s">
        <v>3168</v>
      </c>
      <c r="B382" s="3207" t="s">
        <v>3171</v>
      </c>
      <c r="C382" s="3208">
        <v>0.15</v>
      </c>
      <c r="D382" s="3208">
        <v>0.15</v>
      </c>
      <c r="E382" s="3208">
        <v>0.15</v>
      </c>
      <c r="F382" s="3208">
        <v>0.15</v>
      </c>
      <c r="G382" s="3209">
        <v>0.15</v>
      </c>
    </row>
    <row r="383" spans="1:7">
      <c r="A383" s="3218" t="s">
        <v>3168</v>
      </c>
      <c r="B383" s="3207" t="s">
        <v>3172</v>
      </c>
      <c r="C383" s="3208">
        <v>0.15</v>
      </c>
      <c r="D383" s="3208">
        <v>0.15</v>
      </c>
      <c r="E383" s="3208">
        <v>0.15</v>
      </c>
      <c r="F383" s="3208">
        <v>0.14699999999999999</v>
      </c>
      <c r="G383" s="3209">
        <v>0.15</v>
      </c>
    </row>
    <row r="384" spans="1:7" ht="14.25" thickBot="1">
      <c r="A384" s="3228" t="s">
        <v>3168</v>
      </c>
      <c r="B384" s="3229" t="s">
        <v>3173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1" t="s">
        <v>1858</v>
      </c>
      <c r="C1" s="3681"/>
      <c r="D1" s="3681"/>
      <c r="E1" s="3681"/>
      <c r="F1" s="3681"/>
      <c r="G1" s="3680" t="s">
        <v>1859</v>
      </c>
      <c r="H1" s="3680"/>
      <c r="I1" s="3680"/>
      <c r="J1" s="3680"/>
      <c r="K1" s="3680"/>
      <c r="L1" s="3680"/>
      <c r="N1" s="3680" t="s">
        <v>1860</v>
      </c>
      <c r="O1" s="3680"/>
      <c r="P1" s="3680"/>
      <c r="Q1" s="3680"/>
      <c r="S1" s="3680" t="s">
        <v>1861</v>
      </c>
      <c r="T1" s="3680"/>
      <c r="U1" s="3680"/>
      <c r="V1" s="3680"/>
      <c r="X1" s="3679" t="s">
        <v>1921</v>
      </c>
      <c r="Y1" s="3680"/>
      <c r="Z1" s="3680"/>
      <c r="AA1" s="3680"/>
      <c r="AB1" s="3680"/>
      <c r="AD1" s="3679" t="s">
        <v>1925</v>
      </c>
      <c r="AE1" s="3680"/>
      <c r="AF1" s="3680"/>
      <c r="AG1" s="3680"/>
      <c r="AH1" s="3680"/>
    </row>
    <row r="2" spans="1:34" s="2423" customFormat="1" ht="14.25" thickBot="1">
      <c r="B2" s="2424" t="s">
        <v>1862</v>
      </c>
      <c r="C2" s="2424" t="s">
        <v>1923</v>
      </c>
      <c r="D2" s="2425" t="s">
        <v>1179</v>
      </c>
      <c r="E2" s="2425" t="s">
        <v>1469</v>
      </c>
      <c r="F2" s="2424" t="s">
        <v>1924</v>
      </c>
      <c r="G2" s="2426"/>
      <c r="I2" s="2424" t="s">
        <v>2207</v>
      </c>
      <c r="J2" s="2425" t="s">
        <v>2209</v>
      </c>
      <c r="K2" s="2425" t="s">
        <v>2210</v>
      </c>
      <c r="L2" s="2424" t="s">
        <v>2211</v>
      </c>
      <c r="N2" s="2424" t="s">
        <v>1862</v>
      </c>
      <c r="O2" s="2425" t="s">
        <v>2208</v>
      </c>
      <c r="P2" s="2425" t="s">
        <v>1469</v>
      </c>
      <c r="Q2" s="2424" t="s">
        <v>1924</v>
      </c>
      <c r="S2" s="2424" t="s">
        <v>1862</v>
      </c>
      <c r="T2" s="2425" t="s">
        <v>2208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2234</v>
      </c>
      <c r="B22" s="2454">
        <f t="shared" si="11"/>
        <v>464.37293017158942</v>
      </c>
      <c r="C22" s="2454">
        <f t="shared" si="12"/>
        <v>344.73679941385956</v>
      </c>
      <c r="D22" s="2454">
        <f t="shared" si="2"/>
        <v>344.73679941385956</v>
      </c>
      <c r="E22" s="2454">
        <f t="shared" si="3"/>
        <v>663.2377795103107</v>
      </c>
      <c r="F22" s="2455">
        <f t="shared" si="4"/>
        <v>304.75936311478398</v>
      </c>
      <c r="G22" s="3675">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2227</v>
      </c>
      <c r="B23" s="2444">
        <f t="shared" si="11"/>
        <v>459.95733971036987</v>
      </c>
      <c r="C23" s="2444">
        <f t="shared" si="12"/>
        <v>341.22221064422405</v>
      </c>
      <c r="D23" s="2444">
        <f t="shared" si="2"/>
        <v>341.22221064422405</v>
      </c>
      <c r="E23" s="2444">
        <f t="shared" si="3"/>
        <v>657.19161663724799</v>
      </c>
      <c r="F23" s="2444">
        <f t="shared" si="4"/>
        <v>300.87803644464805</v>
      </c>
      <c r="G23" s="3675"/>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2228</v>
      </c>
      <c r="B24" s="2444">
        <f t="shared" si="11"/>
        <v>453.11529869999993</v>
      </c>
      <c r="C24" s="2444">
        <f t="shared" si="12"/>
        <v>336.47787264000004</v>
      </c>
      <c r="D24" s="2444">
        <f t="shared" si="2"/>
        <v>336.47787264000004</v>
      </c>
      <c r="E24" s="2444">
        <f t="shared" si="3"/>
        <v>647.35186823999993</v>
      </c>
      <c r="F24" s="2444">
        <f t="shared" si="4"/>
        <v>295.73229452000004</v>
      </c>
      <c r="G24" s="3675"/>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2224</v>
      </c>
      <c r="B25" s="2444">
        <f t="shared" si="11"/>
        <v>446.46299999999997</v>
      </c>
      <c r="C25" s="2444">
        <f t="shared" si="12"/>
        <v>333.27840000000003</v>
      </c>
      <c r="D25" s="2444">
        <f t="shared" ref="D25:D30" si="13">C25</f>
        <v>333.27840000000003</v>
      </c>
      <c r="E25" s="2444">
        <f t="shared" si="3"/>
        <v>637.28279999999995</v>
      </c>
      <c r="F25" s="2444">
        <f t="shared" si="4"/>
        <v>288.68830000000003</v>
      </c>
      <c r="G25" s="3676"/>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2217</v>
      </c>
      <c r="B26" s="2454">
        <v>439</v>
      </c>
      <c r="C26" s="2454">
        <v>327</v>
      </c>
      <c r="D26" s="2454">
        <f t="shared" si="13"/>
        <v>327</v>
      </c>
      <c r="E26" s="2454">
        <v>627</v>
      </c>
      <c r="F26" s="2455">
        <v>283</v>
      </c>
      <c r="G26" s="367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5"/>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5"/>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76"/>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7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5"/>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5"/>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78"/>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7">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5"/>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5"/>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78"/>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7">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5"/>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5"/>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78"/>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2">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3"/>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3"/>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4"/>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7">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5"/>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5"/>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78"/>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7">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5">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5">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78">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7">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5">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5">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78">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7">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5">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5">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78">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7">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5">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5">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78">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7">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5">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5">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78">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7">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5">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5">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78">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7">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5">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5">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78">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7">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5">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5">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78">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7">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5">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5">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78">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7">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5">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5">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78">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45817</v>
      </c>
      <c r="B1" s="3091" t="s">
        <v>3254</v>
      </c>
      <c r="C1" s="3092"/>
      <c r="D1" s="3092"/>
      <c r="E1" s="3092"/>
      <c r="F1" s="3092"/>
      <c r="G1" s="3092"/>
      <c r="H1" s="3092"/>
      <c r="I1" s="3092"/>
      <c r="J1" s="3093"/>
      <c r="K1" s="3092" t="s">
        <v>2779</v>
      </c>
      <c r="L1" s="3092"/>
      <c r="M1" s="3092"/>
      <c r="N1" s="3092"/>
      <c r="O1" s="3092"/>
      <c r="P1" s="3092"/>
      <c r="Q1" s="3093"/>
      <c r="R1" s="3685" t="s">
        <v>2787</v>
      </c>
      <c r="S1" s="3686"/>
      <c r="T1" s="3686"/>
      <c r="U1" s="3686"/>
      <c r="V1" s="3686"/>
      <c r="W1" s="3686"/>
      <c r="X1" s="3093"/>
      <c r="Y1" s="3685" t="s">
        <v>2798</v>
      </c>
      <c r="Z1" s="3686"/>
      <c r="AA1" s="3686"/>
      <c r="AB1" s="3686"/>
      <c r="AC1" s="3686"/>
      <c r="AD1" s="3686"/>
    </row>
    <row r="2" spans="1:44" ht="14.25" thickBot="1">
      <c r="A2" s="3086"/>
      <c r="B2" s="3094"/>
      <c r="C2" s="3095"/>
      <c r="D2" s="2424" t="s">
        <v>2781</v>
      </c>
      <c r="E2" s="2425" t="s">
        <v>2782</v>
      </c>
      <c r="F2" s="2425" t="s">
        <v>2783</v>
      </c>
      <c r="G2" s="2425" t="s">
        <v>2784</v>
      </c>
      <c r="H2" s="2425" t="s">
        <v>2785</v>
      </c>
      <c r="I2" s="2425" t="s">
        <v>2727</v>
      </c>
      <c r="J2" s="3096"/>
      <c r="K2" s="2424" t="s">
        <v>2781</v>
      </c>
      <c r="L2" s="2425" t="s">
        <v>2782</v>
      </c>
      <c r="M2" s="2425" t="s">
        <v>2783</v>
      </c>
      <c r="N2" s="2425" t="s">
        <v>2784</v>
      </c>
      <c r="O2" s="2425" t="s">
        <v>2785</v>
      </c>
      <c r="P2" s="2425" t="s">
        <v>2727</v>
      </c>
      <c r="Q2" s="3096"/>
      <c r="R2" s="2424" t="s">
        <v>2788</v>
      </c>
      <c r="S2" s="2425" t="s">
        <v>2789</v>
      </c>
      <c r="T2" s="2425" t="s">
        <v>2790</v>
      </c>
      <c r="U2" s="2425" t="s">
        <v>2791</v>
      </c>
      <c r="V2" s="2425" t="s">
        <v>2792</v>
      </c>
      <c r="W2" s="2425" t="s">
        <v>2793</v>
      </c>
      <c r="X2" s="3096"/>
      <c r="Y2" s="2424" t="s">
        <v>2781</v>
      </c>
      <c r="Z2" s="2425" t="s">
        <v>1470</v>
      </c>
      <c r="AA2" s="2425" t="s">
        <v>2799</v>
      </c>
      <c r="AB2" s="2425" t="s">
        <v>1469</v>
      </c>
      <c r="AC2" s="2425" t="s">
        <v>2785</v>
      </c>
      <c r="AD2" s="2425" t="s">
        <v>2444</v>
      </c>
      <c r="AF2" t="s">
        <v>3302</v>
      </c>
      <c r="AG2" t="s">
        <v>2728</v>
      </c>
      <c r="AH2" t="s">
        <v>1212</v>
      </c>
      <c r="AI2" t="s">
        <v>851</v>
      </c>
      <c r="AJ2" t="s">
        <v>905</v>
      </c>
      <c r="AK2" t="s">
        <v>2726</v>
      </c>
      <c r="AM2" t="s">
        <v>3302</v>
      </c>
      <c r="AN2" t="s">
        <v>2728</v>
      </c>
      <c r="AO2" t="s">
        <v>1212</v>
      </c>
      <c r="AP2" t="s">
        <v>851</v>
      </c>
      <c r="AQ2" t="s">
        <v>905</v>
      </c>
      <c r="AR2" t="s">
        <v>2726</v>
      </c>
    </row>
    <row r="3" spans="1:44">
      <c r="A3" s="3087" t="s">
        <v>2770</v>
      </c>
      <c r="B3" s="3097"/>
      <c r="C3" s="3098"/>
      <c r="D3" s="3098">
        <f>ROUND(AVERAGEIF(D4:D24,"&lt;&gt;0"),2)</f>
        <v>0.39</v>
      </c>
      <c r="E3" s="3098">
        <f>ROUND(AVERAGEIF(E4:E24,"&lt;&gt;0"),2)</f>
        <v>0.21</v>
      </c>
      <c r="F3" s="3098">
        <f>ROUND(AVERAGEIF(F4:F24,"&lt;&gt;0"),2)</f>
        <v>-0.06</v>
      </c>
      <c r="G3" s="3098">
        <f>ROUND(AVERAGEIF(G4:G24,"&lt;&gt;0"),2)</f>
        <v>0.46</v>
      </c>
      <c r="H3" s="3098">
        <f>ROUND(AVERAGEIF(H4:H24,"&lt;&gt;0"),2)</f>
        <v>0.51</v>
      </c>
      <c r="I3" s="3098">
        <f>F3</f>
        <v>-0.06</v>
      </c>
      <c r="J3" s="3099"/>
      <c r="K3" s="3100">
        <f>ROUND(AVERAGEIF(K4:K24,"&lt;&gt;0"),4)</f>
        <v>3.8999999999999998E-3</v>
      </c>
      <c r="L3" s="3101">
        <f>ROUND(AVERAGEIF(L4:L24,"&lt;&gt;0"),4)</f>
        <v>2.0999999999999999E-3</v>
      </c>
      <c r="M3" s="3101">
        <f>ROUND(AVERAGEIF(M4:M24,"&lt;&gt;0"),4)</f>
        <v>-5.9999999999999995E-4</v>
      </c>
      <c r="N3" s="3101">
        <f>ROUND(AVERAGEIF(N4:N24,"&lt;&gt;0"),4)</f>
        <v>4.5999999999999999E-3</v>
      </c>
      <c r="O3" s="3101">
        <f>ROUND(AVERAGEIF(O4:O24,"&lt;&gt;0"),4)</f>
        <v>5.1000000000000004E-3</v>
      </c>
      <c r="P3" s="3101">
        <f>M3</f>
        <v>-5.9999999999999995E-4</v>
      </c>
      <c r="Q3" s="3099"/>
      <c r="R3" s="3114">
        <f>ROUND(SUMPRODUCT(PRODUCT(1+K4:K24)),4)</f>
        <v>1.0674999999999999</v>
      </c>
      <c r="S3" s="3115">
        <f>ROUND(SUMPRODUCT(PRODUCT(1+L4:L24)),4)</f>
        <v>1.0355000000000001</v>
      </c>
      <c r="T3" s="3115">
        <f>ROUND(SUMPRODUCT(PRODUCT(1+M4:M24)),4)</f>
        <v>0.98880000000000001</v>
      </c>
      <c r="U3" s="3115">
        <f>ROUND(SUMPRODUCT(PRODUCT(1+N4:N24)),4)</f>
        <v>1.0798000000000001</v>
      </c>
      <c r="V3" s="3115">
        <f>ROUND(SUMPRODUCT(PRODUCT(1+O4:O24)),4)</f>
        <v>1.0911</v>
      </c>
      <c r="W3" s="3114">
        <f>T3</f>
        <v>0.98880000000000001</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3304</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1.0571999999999999</v>
      </c>
      <c r="S5" s="3116">
        <f>ROUND(IF(项目基本情况!$B$8="出让",SUMPRODUCT(PRODUCT(1+L5:$L$24)),SUMPRODUCT(PRODUCT(1+L5:$L$23))),4)</f>
        <v>1.0339</v>
      </c>
      <c r="T5" s="3116">
        <f>ROUND(IF(项目基本情况!$B$8="出让",SUMPRODUCT(PRODUCT(1+M5:$M$24)),SUMPRODUCT(PRODUCT(1+M5:$M$23))),4)</f>
        <v>0.99129999999999996</v>
      </c>
      <c r="U5" s="3116">
        <f>ROUND(IF(项目基本情况!$B$8="出让",SUMPRODUCT(PRODUCT(1+N5:$N$24)),SUMPRODUCT(PRODUCT(1+N5:$N$23))),4)</f>
        <v>1.0679000000000001</v>
      </c>
      <c r="V5" s="3116">
        <f>ROUND(IF(项目基本情况!$B$8="出让",SUMPRODUCT(PRODUCT(1+O5:$O$24)),SUMPRODUCT(PRODUCT(1+O5:$O$23))),4)</f>
        <v>1.0871999999999999</v>
      </c>
      <c r="W5" s="3116">
        <f t="shared" ref="W5:W11" si="7">T5</f>
        <v>0.99129999999999996</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105.72</v>
      </c>
      <c r="AG5" s="3402">
        <f t="shared" ref="AG5" si="15">$AG$24*S5</f>
        <v>103.39</v>
      </c>
      <c r="AH5" s="3402">
        <f t="shared" ref="AH5" si="16">$AH$24*T5</f>
        <v>99.13</v>
      </c>
      <c r="AI5" s="3402">
        <f t="shared" ref="AI5" si="17">$AI$24*U5</f>
        <v>106.79</v>
      </c>
      <c r="AJ5" s="3402">
        <f t="shared" ref="AJ5" si="18">$AJ$24*V5</f>
        <v>108.72</v>
      </c>
      <c r="AK5" s="3402">
        <f t="shared" ref="AK5" si="19">$AK$24*W5</f>
        <v>99.13</v>
      </c>
      <c r="AM5" s="3401">
        <v>100</v>
      </c>
      <c r="AN5" s="3401">
        <v>100</v>
      </c>
      <c r="AO5" s="3401">
        <v>100</v>
      </c>
      <c r="AP5" s="3401">
        <v>100</v>
      </c>
      <c r="AQ5" s="3401">
        <v>100</v>
      </c>
      <c r="AR5" s="3401">
        <v>100</v>
      </c>
    </row>
    <row r="6" spans="1:44">
      <c r="A6" s="3390" t="s">
        <v>3303</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1.0571999999999999</v>
      </c>
      <c r="S6" s="3116">
        <f>ROUND(IF(项目基本情况!$B$8="出让",SUMPRODUCT(PRODUCT(1+L6:$L$24)),SUMPRODUCT(PRODUCT(1+L6:$L$23))),4)</f>
        <v>1.0339</v>
      </c>
      <c r="T6" s="3116">
        <f>ROUND(IF(项目基本情况!$B$8="出让",SUMPRODUCT(PRODUCT(1+M6:$M$24)),SUMPRODUCT(PRODUCT(1+M6:$M$23))),4)</f>
        <v>0.99129999999999996</v>
      </c>
      <c r="U6" s="3116">
        <f>ROUND(IF(项目基本情况!$B$8="出让",SUMPRODUCT(PRODUCT(1+N6:$N$24)),SUMPRODUCT(PRODUCT(1+N6:$N$23))),4)</f>
        <v>1.0679000000000001</v>
      </c>
      <c r="V6" s="3116">
        <f>ROUND(IF(项目基本情况!$B$8="出让",SUMPRODUCT(PRODUCT(1+O6:$O$24)),SUMPRODUCT(PRODUCT(1+O6:$O$23))),4)</f>
        <v>1.0871999999999999</v>
      </c>
      <c r="W6" s="3116">
        <f t="shared" si="7"/>
        <v>0.99129999999999996</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105.72</v>
      </c>
      <c r="AG6" s="3402">
        <f t="shared" ref="AG6" si="33">$AG$24*S6</f>
        <v>103.39</v>
      </c>
      <c r="AH6" s="3402">
        <f t="shared" ref="AH6" si="34">$AH$24*T6</f>
        <v>99.13</v>
      </c>
      <c r="AI6" s="3402">
        <f t="shared" ref="AI6" si="35">$AI$24*U6</f>
        <v>106.79</v>
      </c>
      <c r="AJ6" s="3402">
        <f t="shared" ref="AJ6" si="36">$AJ$24*V6</f>
        <v>108.72</v>
      </c>
      <c r="AK6" s="3402">
        <f t="shared" ref="AK6" si="37">$AK$24*W6</f>
        <v>99.13</v>
      </c>
      <c r="AM6" s="3402">
        <f>AM5/(1+D5/100)</f>
        <v>100</v>
      </c>
      <c r="AN6" s="3402">
        <f t="shared" ref="AN6:AR6" si="38">AN5/(1+E5/100)</f>
        <v>100</v>
      </c>
      <c r="AO6" s="3402">
        <f t="shared" si="38"/>
        <v>100</v>
      </c>
      <c r="AP6" s="3402">
        <f t="shared" si="38"/>
        <v>100</v>
      </c>
      <c r="AQ6" s="3402">
        <f t="shared" si="38"/>
        <v>100</v>
      </c>
      <c r="AR6" s="3402">
        <f t="shared" si="38"/>
        <v>100</v>
      </c>
    </row>
    <row r="7" spans="1:44">
      <c r="A7" s="3089" t="s">
        <v>3305</v>
      </c>
      <c r="B7" s="3140">
        <v>2025</v>
      </c>
      <c r="C7" s="3141">
        <v>2</v>
      </c>
      <c r="D7" s="3141">
        <v>0</v>
      </c>
      <c r="E7" s="3141">
        <v>0</v>
      </c>
      <c r="F7" s="3141">
        <v>0</v>
      </c>
      <c r="G7" s="3141">
        <v>0</v>
      </c>
      <c r="H7" s="3142">
        <v>0</v>
      </c>
      <c r="I7" s="3143">
        <f t="shared" ref="I7" si="39">F7</f>
        <v>0</v>
      </c>
      <c r="J7" s="3108"/>
      <c r="K7" s="3109">
        <f t="shared" ref="K7" si="40">D7/100</f>
        <v>0</v>
      </c>
      <c r="L7" s="3110">
        <f t="shared" ref="L7" si="41">E7/100</f>
        <v>0</v>
      </c>
      <c r="M7" s="3110">
        <f t="shared" ref="M7" si="42">F7/100</f>
        <v>0</v>
      </c>
      <c r="N7" s="3110">
        <f t="shared" ref="N7" si="43">G7/100</f>
        <v>0</v>
      </c>
      <c r="O7" s="3110">
        <f t="shared" ref="O7" si="44">H7/100</f>
        <v>0</v>
      </c>
      <c r="P7" s="3110">
        <f t="shared" si="6"/>
        <v>0</v>
      </c>
      <c r="Q7" s="3108"/>
      <c r="R7" s="3108">
        <f>ROUND(IF(项目基本情况!$B$8="出让",SUMPRODUCT(PRODUCT(1+K7:$K$24)),SUMPRODUCT(PRODUCT(1+K7:$K$23))),4)</f>
        <v>1.0571999999999999</v>
      </c>
      <c r="S7" s="3108">
        <f>ROUND(IF(项目基本情况!$B$8="出让",SUMPRODUCT(PRODUCT(1+L7:$L$24)),SUMPRODUCT(PRODUCT(1+L7:$L$23))),4)</f>
        <v>1.0339</v>
      </c>
      <c r="T7" s="3108">
        <f>ROUND(IF(项目基本情况!$B$8="出让",SUMPRODUCT(PRODUCT(1+M7:$M$24)),SUMPRODUCT(PRODUCT(1+M7:$M$23))),4)</f>
        <v>0.99129999999999996</v>
      </c>
      <c r="U7" s="3108">
        <f>ROUND(IF(项目基本情况!$B$8="出让",SUMPRODUCT(PRODUCT(1+N7:$N$24)),SUMPRODUCT(PRODUCT(1+N7:$N$23))),4)</f>
        <v>1.0679000000000001</v>
      </c>
      <c r="V7" s="3108">
        <f>ROUND(IF(项目基本情况!$B$8="出让",SUMPRODUCT(PRODUCT(1+O7:$O$24)),SUMPRODUCT(PRODUCT(1+O7:$O$23))),4)</f>
        <v>1.0871999999999999</v>
      </c>
      <c r="W7" s="3108">
        <f t="shared" si="7"/>
        <v>0.99129999999999996</v>
      </c>
      <c r="X7" s="3105"/>
      <c r="Y7" s="3107">
        <f t="shared" ref="Y7" si="45">IF(D7=0,0,ROUND(AVERAGE(D7:D20)/100,4))</f>
        <v>0</v>
      </c>
      <c r="Z7" s="3107">
        <f t="shared" ref="Z7" si="46">IF(E7=0,0,ROUND(AVERAGE(E7:E20)/100,4))</f>
        <v>0</v>
      </c>
      <c r="AA7" s="3107">
        <f t="shared" ref="AA7" si="47">IF(F7=0,0,ROUND(AVERAGE(F7:F20)/100,4))</f>
        <v>0</v>
      </c>
      <c r="AB7" s="3107">
        <f t="shared" ref="AB7" si="48">IF(G7=0,0,ROUND(AVERAGE(G7:G20)/100,4))</f>
        <v>0</v>
      </c>
      <c r="AC7" s="3107">
        <f t="shared" ref="AC7" si="49">IF(H7=0,0,ROUND(AVERAGE(H7:H20)/100,4))</f>
        <v>0</v>
      </c>
      <c r="AD7" s="3107">
        <f t="shared" ref="AD7" si="50">AA7</f>
        <v>0</v>
      </c>
      <c r="AF7" s="3402">
        <f t="shared" ref="AF7" si="51">$AF$24*R7</f>
        <v>105.72</v>
      </c>
      <c r="AG7" s="3402">
        <f t="shared" ref="AG7" si="52">$AG$24*S7</f>
        <v>103.39</v>
      </c>
      <c r="AH7" s="3402">
        <f t="shared" ref="AH7" si="53">$AH$24*T7</f>
        <v>99.13</v>
      </c>
      <c r="AI7" s="3402">
        <f t="shared" ref="AI7" si="54">$AI$24*U7</f>
        <v>106.79</v>
      </c>
      <c r="AJ7" s="3402">
        <f t="shared" ref="AJ7" si="55">$AJ$24*V7</f>
        <v>108.72</v>
      </c>
      <c r="AK7" s="3402">
        <f t="shared" ref="AK7" si="56">$AK$24*W7</f>
        <v>99.13</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3251</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v>
      </c>
      <c r="AN8" s="3402">
        <f t="shared" si="58"/>
        <v>100</v>
      </c>
      <c r="AO8" s="3402">
        <f t="shared" si="59"/>
        <v>100</v>
      </c>
      <c r="AP8" s="3402">
        <f t="shared" si="60"/>
        <v>100</v>
      </c>
      <c r="AQ8" s="3402">
        <f t="shared" si="61"/>
        <v>100</v>
      </c>
      <c r="AR8" s="3402">
        <f t="shared" si="62"/>
        <v>100</v>
      </c>
    </row>
    <row r="9" spans="1:44">
      <c r="A9" s="3390" t="s">
        <v>3306</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99.433230585661718</v>
      </c>
      <c r="AN9" s="3402">
        <f t="shared" si="58"/>
        <v>100.57326762546515</v>
      </c>
      <c r="AO9" s="3402">
        <f t="shared" si="59"/>
        <v>100.90817356205852</v>
      </c>
      <c r="AP9" s="3402">
        <f t="shared" si="60"/>
        <v>98.892405063291136</v>
      </c>
      <c r="AQ9" s="3402">
        <f t="shared" si="61"/>
        <v>99.581756622186816</v>
      </c>
      <c r="AR9" s="3402">
        <f t="shared" si="62"/>
        <v>100.90817356205852</v>
      </c>
    </row>
    <row r="10" spans="1:44">
      <c r="A10" s="3390" t="s">
        <v>3246</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100.45790117767399</v>
      </c>
      <c r="AN10" s="3402">
        <f t="shared" si="58"/>
        <v>101.05834769439826</v>
      </c>
      <c r="AO10" s="3402">
        <f t="shared" si="59"/>
        <v>101.670703840865</v>
      </c>
      <c r="AP10" s="3402">
        <f t="shared" si="60"/>
        <v>99.941793899233076</v>
      </c>
      <c r="AQ10" s="3402">
        <f t="shared" si="61"/>
        <v>99.502154898268216</v>
      </c>
      <c r="AR10" s="3402">
        <f t="shared" si="62"/>
        <v>101.670703840865</v>
      </c>
    </row>
    <row r="11" spans="1:44">
      <c r="A11" s="3088" t="s">
        <v>3252</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101.66774737139357</v>
      </c>
      <c r="AN11" s="3402">
        <f t="shared" si="58"/>
        <v>101.53556484918946</v>
      </c>
      <c r="AO11" s="3402">
        <f t="shared" si="59"/>
        <v>101.9664064194815</v>
      </c>
      <c r="AP11" s="3402">
        <f t="shared" si="60"/>
        <v>100.68687678746028</v>
      </c>
      <c r="AQ11" s="3402">
        <f t="shared" si="61"/>
        <v>99.711549151486338</v>
      </c>
      <c r="AR11" s="3402">
        <f t="shared" si="62"/>
        <v>101.9664064194815</v>
      </c>
    </row>
    <row r="12" spans="1:44">
      <c r="A12" s="3088" t="s">
        <v>3249</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102.27114713951673</v>
      </c>
      <c r="AN12" s="3402">
        <f t="shared" si="58"/>
        <v>101.74923824951344</v>
      </c>
      <c r="AO12" s="3402">
        <f t="shared" si="59"/>
        <v>103.3932330353696</v>
      </c>
      <c r="AP12" s="3402">
        <f t="shared" si="60"/>
        <v>101.95107005615662</v>
      </c>
      <c r="AQ12" s="3402">
        <f t="shared" si="61"/>
        <v>99.373678644096401</v>
      </c>
      <c r="AR12" s="3402">
        <f t="shared" si="62"/>
        <v>103.3932330353696</v>
      </c>
    </row>
    <row r="13" spans="1:44">
      <c r="A13" s="3088" t="s">
        <v>3244</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102.18939562301833</v>
      </c>
      <c r="AN13" s="3402">
        <f t="shared" si="58"/>
        <v>101.28333490893236</v>
      </c>
      <c r="AO13" s="3402">
        <f t="shared" si="59"/>
        <v>103.55892731908014</v>
      </c>
      <c r="AP13" s="3402">
        <f t="shared" si="60"/>
        <v>101.68668467599903</v>
      </c>
      <c r="AQ13" s="3402">
        <f t="shared" si="61"/>
        <v>98.79081284829148</v>
      </c>
      <c r="AR13" s="3402">
        <f t="shared" si="62"/>
        <v>103.55892731908014</v>
      </c>
    </row>
    <row r="14" spans="1:44">
      <c r="A14" s="3088" t="s">
        <v>3243</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101.99560397546495</v>
      </c>
      <c r="AN14" s="3402">
        <f t="shared" si="58"/>
        <v>101.04083690037147</v>
      </c>
      <c r="AO14" s="3402">
        <f t="shared" si="59"/>
        <v>103.72488713850174</v>
      </c>
      <c r="AP14" s="3402">
        <f t="shared" si="60"/>
        <v>101.51411068782971</v>
      </c>
      <c r="AQ14" s="3402">
        <f t="shared" si="61"/>
        <v>98.191842608380355</v>
      </c>
      <c r="AR14" s="3402">
        <f t="shared" si="62"/>
        <v>103.72488713850174</v>
      </c>
    </row>
    <row r="15" spans="1:44">
      <c r="A15" s="3088" t="s">
        <v>3241</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101.74125084834409</v>
      </c>
      <c r="AN15" s="3402">
        <f t="shared" si="58"/>
        <v>100.53814616952387</v>
      </c>
      <c r="AO15" s="3402">
        <f t="shared" si="59"/>
        <v>103.40433370401927</v>
      </c>
      <c r="AP15" s="3402">
        <f t="shared" si="60"/>
        <v>101.30137779446135</v>
      </c>
      <c r="AQ15" s="3402">
        <f t="shared" si="61"/>
        <v>97.771425478821428</v>
      </c>
      <c r="AR15" s="3402">
        <f t="shared" si="62"/>
        <v>103.40433370401927</v>
      </c>
    </row>
    <row r="16" spans="1:44">
      <c r="A16" s="3088" t="s">
        <v>3239</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100.82375468074926</v>
      </c>
      <c r="AN16" s="3402">
        <f t="shared" si="58"/>
        <v>99.878945131654959</v>
      </c>
      <c r="AO16" s="3402">
        <f t="shared" si="59"/>
        <v>102.92060685181573</v>
      </c>
      <c r="AP16" s="3402">
        <f t="shared" si="60"/>
        <v>100.33813172985474</v>
      </c>
      <c r="AQ16" s="3402">
        <f t="shared" si="61"/>
        <v>97.082142268713554</v>
      </c>
      <c r="AR16" s="3402">
        <f t="shared" si="62"/>
        <v>102.92060685181573</v>
      </c>
    </row>
    <row r="17" spans="1:44">
      <c r="A17" s="3088" t="s">
        <v>3237</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99.934339063087791</v>
      </c>
      <c r="AN17" s="3402">
        <f t="shared" si="58"/>
        <v>99.145270132673176</v>
      </c>
      <c r="AO17" s="3402">
        <f t="shared" si="59"/>
        <v>102.3372843311283</v>
      </c>
      <c r="AP17" s="3402">
        <f t="shared" si="60"/>
        <v>99.423436117573061</v>
      </c>
      <c r="AQ17" s="3402">
        <f t="shared" si="61"/>
        <v>96.599146536033402</v>
      </c>
      <c r="AR17" s="3402">
        <f t="shared" si="62"/>
        <v>102.3372843311283</v>
      </c>
    </row>
    <row r="18" spans="1:44">
      <c r="A18" s="3088" t="s">
        <v>3234</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99.318563966495518</v>
      </c>
      <c r="AN18" s="3402">
        <f t="shared" si="58"/>
        <v>98.947375381909353</v>
      </c>
      <c r="AO18" s="3402">
        <f t="shared" si="59"/>
        <v>102.22483701041683</v>
      </c>
      <c r="AP18" s="3402">
        <f t="shared" si="60"/>
        <v>98.742115520481747</v>
      </c>
      <c r="AQ18" s="3402">
        <f t="shared" si="61"/>
        <v>96.089870223847001</v>
      </c>
      <c r="AR18" s="3402">
        <f t="shared" si="62"/>
        <v>102.22483701041683</v>
      </c>
    </row>
    <row r="19" spans="1:44">
      <c r="A19" s="3088" t="s">
        <v>3235</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98.667359394491882</v>
      </c>
      <c r="AN19" s="3402">
        <f t="shared" si="58"/>
        <v>98.631753769845844</v>
      </c>
      <c r="AO19" s="3402">
        <f t="shared" si="59"/>
        <v>101.99025941376517</v>
      </c>
      <c r="AP19" s="3402">
        <f t="shared" si="60"/>
        <v>98.036254488166932</v>
      </c>
      <c r="AQ19" s="3402">
        <f t="shared" si="61"/>
        <v>95.488293971824504</v>
      </c>
      <c r="AR19" s="3402">
        <f t="shared" si="62"/>
        <v>101.99025941376517</v>
      </c>
    </row>
    <row r="20" spans="1:44">
      <c r="A20" s="3088" t="s">
        <v>2771</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97.758208059538163</v>
      </c>
      <c r="AN20" s="3402">
        <f t="shared" si="58"/>
        <v>98.484027728253452</v>
      </c>
      <c r="AO20" s="3402">
        <f t="shared" si="59"/>
        <v>101.98006140762442</v>
      </c>
      <c r="AP20" s="3402">
        <f t="shared" si="60"/>
        <v>97.017570003134026</v>
      </c>
      <c r="AQ20" s="3402">
        <f t="shared" si="61"/>
        <v>94.468039149015155</v>
      </c>
      <c r="AR20" s="3402">
        <f t="shared" si="62"/>
        <v>101.98006140762442</v>
      </c>
    </row>
    <row r="21" spans="1:44">
      <c r="A21" s="3088" t="s">
        <v>2772</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96.895835126908679</v>
      </c>
      <c r="AN21" s="3402">
        <f t="shared" si="58"/>
        <v>98.0525963045136</v>
      </c>
      <c r="AO21" s="3402">
        <f t="shared" si="59"/>
        <v>101.60412614090308</v>
      </c>
      <c r="AP21" s="3402">
        <f t="shared" si="60"/>
        <v>96.095057451598677</v>
      </c>
      <c r="AQ21" s="3402">
        <f t="shared" si="61"/>
        <v>93.867288502598527</v>
      </c>
      <c r="AR21" s="3402">
        <f t="shared" si="62"/>
        <v>101.60412614090308</v>
      </c>
    </row>
    <row r="22" spans="1:44">
      <c r="A22" s="3088" t="s">
        <v>2773</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95.907982903007706</v>
      </c>
      <c r="AN22" s="3402">
        <f t="shared" si="58"/>
        <v>97.81783350410376</v>
      </c>
      <c r="AO22" s="3402">
        <f t="shared" si="59"/>
        <v>101.53305300380042</v>
      </c>
      <c r="AP22" s="3402">
        <f t="shared" si="60"/>
        <v>94.983747604624568</v>
      </c>
      <c r="AQ22" s="3402">
        <f t="shared" si="61"/>
        <v>93.353842369565911</v>
      </c>
      <c r="AR22" s="3402">
        <f t="shared" si="62"/>
        <v>101.53305300380042</v>
      </c>
    </row>
    <row r="23" spans="1:44">
      <c r="A23" s="3088" t="s">
        <v>2774</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95.459324079832498</v>
      </c>
      <c r="AN23" s="3402">
        <f t="shared" si="58"/>
        <v>97.418417990343357</v>
      </c>
      <c r="AO23" s="3402">
        <f t="shared" si="59"/>
        <v>101.28995710674424</v>
      </c>
      <c r="AP23" s="3402">
        <f t="shared" si="60"/>
        <v>94.530003587405034</v>
      </c>
      <c r="AQ23" s="3402">
        <f t="shared" si="61"/>
        <v>92.907884523851436</v>
      </c>
      <c r="AR23" s="3402">
        <f t="shared" si="62"/>
        <v>101.28995710674424</v>
      </c>
    </row>
    <row r="24" spans="1:44" ht="14.25" thickBot="1">
      <c r="A24" s="3090" t="s">
        <v>2775</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94.589104320087685</v>
      </c>
      <c r="AN24" s="3402">
        <f t="shared" si="58"/>
        <v>96.722019450301175</v>
      </c>
      <c r="AO24" s="3402">
        <f t="shared" si="59"/>
        <v>100.87636401428567</v>
      </c>
      <c r="AP24" s="3402">
        <f t="shared" si="60"/>
        <v>93.640419601193685</v>
      </c>
      <c r="AQ24" s="3402">
        <f t="shared" si="61"/>
        <v>91.978897657510586</v>
      </c>
      <c r="AR24" s="3402">
        <f t="shared" si="62"/>
        <v>100.87636401428567</v>
      </c>
    </row>
    <row r="25" spans="1:44" ht="14.25" thickTop="1"/>
    <row r="26" spans="1:44">
      <c r="A26" s="3389" t="s">
        <v>3256</v>
      </c>
    </row>
    <row r="27" spans="1:44">
      <c r="I27" s="2749" t="s">
        <v>2786</v>
      </c>
    </row>
    <row r="29" spans="1:44">
      <c r="A29" s="2440"/>
      <c r="B29" s="3091" t="s">
        <v>3255</v>
      </c>
      <c r="C29" s="3092"/>
      <c r="D29" s="3092"/>
      <c r="E29" s="3092"/>
      <c r="F29" s="3092"/>
      <c r="G29" s="3092"/>
      <c r="H29" s="3092"/>
      <c r="I29" s="3092"/>
      <c r="J29" s="3093"/>
      <c r="K29" s="3092" t="s">
        <v>2779</v>
      </c>
      <c r="L29" s="3092"/>
      <c r="M29" s="3092"/>
      <c r="N29" s="3092"/>
      <c r="O29" s="3092"/>
      <c r="P29" s="3092"/>
      <c r="Q29" s="3093"/>
      <c r="R29" s="3685" t="s">
        <v>2794</v>
      </c>
      <c r="S29" s="3686"/>
      <c r="T29" s="3686"/>
      <c r="U29" s="3686"/>
      <c r="V29" s="3686"/>
      <c r="W29" s="3686"/>
      <c r="X29" s="3093"/>
      <c r="Y29" s="3685" t="s">
        <v>1925</v>
      </c>
      <c r="Z29" s="3686"/>
      <c r="AA29" s="3686"/>
      <c r="AB29" s="3686"/>
      <c r="AC29" s="3686"/>
      <c r="AD29" s="3686"/>
    </row>
    <row r="30" spans="1:44" ht="14.25" thickBot="1">
      <c r="A30" s="3086"/>
      <c r="B30" s="3094"/>
      <c r="C30" s="3095"/>
      <c r="D30" s="2424" t="s">
        <v>2781</v>
      </c>
      <c r="E30" s="2425" t="s">
        <v>2782</v>
      </c>
      <c r="F30" s="2425" t="s">
        <v>2783</v>
      </c>
      <c r="G30" s="2425" t="s">
        <v>1469</v>
      </c>
      <c r="H30" s="2425"/>
      <c r="I30" s="2425" t="s">
        <v>2727</v>
      </c>
      <c r="J30" s="3096"/>
      <c r="K30" s="2424" t="s">
        <v>2781</v>
      </c>
      <c r="L30" s="2425" t="s">
        <v>2782</v>
      </c>
      <c r="M30" s="2425" t="s">
        <v>2783</v>
      </c>
      <c r="N30" s="2425" t="s">
        <v>2784</v>
      </c>
      <c r="O30" s="2425"/>
      <c r="P30" s="2425" t="s">
        <v>2727</v>
      </c>
      <c r="Q30" s="3096"/>
      <c r="R30" s="2424" t="s">
        <v>2795</v>
      </c>
      <c r="S30" s="2425" t="s">
        <v>2796</v>
      </c>
      <c r="T30" s="2425" t="s">
        <v>2783</v>
      </c>
      <c r="U30" s="2425" t="s">
        <v>1469</v>
      </c>
      <c r="V30" s="2425"/>
      <c r="W30" s="2425" t="s">
        <v>2797</v>
      </c>
      <c r="X30" s="3096"/>
      <c r="Y30" s="2424" t="s">
        <v>2780</v>
      </c>
      <c r="Z30" s="2425" t="s">
        <v>2782</v>
      </c>
      <c r="AA30" s="2425" t="s">
        <v>2783</v>
      </c>
      <c r="AB30" s="2425" t="s">
        <v>1469</v>
      </c>
      <c r="AC30" s="2425"/>
      <c r="AD30" s="2425" t="s">
        <v>2800</v>
      </c>
      <c r="AG30" t="s">
        <v>2728</v>
      </c>
      <c r="AH30" t="s">
        <v>1212</v>
      </c>
      <c r="AI30" t="s">
        <v>851</v>
      </c>
      <c r="AK30" t="s">
        <v>2726</v>
      </c>
      <c r="AN30" t="s">
        <v>2728</v>
      </c>
      <c r="AO30" t="s">
        <v>1212</v>
      </c>
      <c r="AP30" t="s">
        <v>851</v>
      </c>
      <c r="AR30" t="s">
        <v>2726</v>
      </c>
    </row>
    <row r="31" spans="1:44">
      <c r="A31" s="3087" t="s">
        <v>2776</v>
      </c>
      <c r="B31" s="3097"/>
      <c r="C31" s="3098"/>
      <c r="D31" s="3098"/>
      <c r="E31" s="3098">
        <f>ROUND(AVERAGEIF(E32:E52,"&lt;&gt;0"),2)</f>
        <v>0.11</v>
      </c>
      <c r="F31" s="3098">
        <f>ROUND(AVERAGEIF(F32:F52,"&lt;&gt;0"),2)</f>
        <v>7.0000000000000007E-2</v>
      </c>
      <c r="G31" s="3098">
        <f>ROUND(AVERAGEIF(G32:G52,"&lt;&gt;0"),2)</f>
        <v>0.26</v>
      </c>
      <c r="H31" s="3098"/>
      <c r="I31" s="3098">
        <f>F31</f>
        <v>7.0000000000000007E-2</v>
      </c>
      <c r="J31" s="3099"/>
      <c r="K31" s="3100"/>
      <c r="L31" s="3101">
        <f>ROUND(AVERAGEIF(L32:L52,"&lt;&gt;0"),4)</f>
        <v>1.1000000000000001E-3</v>
      </c>
      <c r="M31" s="3101">
        <f>ROUND(AVERAGEIF(M32:M52,"&lt;&gt;0"),4)</f>
        <v>6.9999999999999999E-4</v>
      </c>
      <c r="N31" s="3101">
        <f>ROUND(AVERAGEIF(N32:N52,"&lt;&gt;0"),4)</f>
        <v>2.5999999999999999E-3</v>
      </c>
      <c r="O31" s="3101"/>
      <c r="P31" s="3101">
        <f>M31</f>
        <v>6.9999999999999999E-4</v>
      </c>
      <c r="Q31" s="3099"/>
      <c r="R31" s="3114"/>
      <c r="S31" s="3115">
        <f>ROUND(SUMPRODUCT(PRODUCT(1+L32:L52)),4)</f>
        <v>1.0185</v>
      </c>
      <c r="T31" s="3115">
        <f>ROUND(SUMPRODUCT(PRODUCT(1+M32:M52)),4)</f>
        <v>1.012</v>
      </c>
      <c r="U31" s="3115">
        <f>ROUND(SUMPRODUCT(PRODUCT(1+N32:N52)),4)</f>
        <v>1.0436000000000001</v>
      </c>
      <c r="V31" s="3115"/>
      <c r="W31" s="3114">
        <f>T31</f>
        <v>1.012</v>
      </c>
      <c r="X31" s="3099"/>
      <c r="Y31" s="3121"/>
      <c r="Z31" s="3122">
        <f>ROUND(AVERAGEIF(Z32:Z52,"&lt;&gt;0"),4)</f>
        <v>3.7000000000000002E-3</v>
      </c>
      <c r="AA31" s="3123">
        <f>ROUND(AVERAGEIF(AA32:AA52,"&lt;&gt;0"),4)</f>
        <v>3.0000000000000001E-3</v>
      </c>
      <c r="AB31" s="3121">
        <f>ROUND(AVERAGEIF(AB32:AB52,"&lt;&gt;0"),4)</f>
        <v>6.8999999999999999E-3</v>
      </c>
      <c r="AC31" s="3124"/>
      <c r="AD31" s="3121">
        <f>AA31</f>
        <v>3.0000000000000001E-3</v>
      </c>
    </row>
    <row r="32" spans="1:44">
      <c r="A32" s="2440"/>
      <c r="B32" s="3102"/>
      <c r="C32" s="2440"/>
      <c r="D32" s="2440"/>
      <c r="E32" s="2440"/>
      <c r="F32" s="2440"/>
      <c r="G32" s="2440"/>
      <c r="H32" s="2440"/>
      <c r="I32" s="2440"/>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3304</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1.0148999999999999</v>
      </c>
      <c r="T33" s="3116">
        <f>ROUND(IF(项目基本情况!$B$8="出让",SUMPRODUCT(PRODUCT(1+M33:M$52)),SUMPRODUCT(PRODUCT(1+M33:M$51))),4)</f>
        <v>1.0072000000000001</v>
      </c>
      <c r="U33" s="3116">
        <f>ROUND(IF(项目基本情况!$B$8="出让",SUMPRODUCT(PRODUCT(1+N33:N$52)),SUMPRODUCT(PRODUCT(1+N33:N$51))),4)</f>
        <v>1.0335000000000001</v>
      </c>
      <c r="V33" s="3116"/>
      <c r="W33" s="3116">
        <f t="shared" ref="W33:W39" si="143">T33</f>
        <v>1.0072000000000001</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101.49</v>
      </c>
      <c r="AH33" s="3402">
        <f t="shared" ref="AH33:AH36" si="149">$AH$52*T33</f>
        <v>100.72000000000001</v>
      </c>
      <c r="AI33" s="3402">
        <f t="shared" ref="AI33:AI36" si="150">$AI$52*U33</f>
        <v>103.35000000000001</v>
      </c>
      <c r="AJ33" s="3402"/>
      <c r="AK33" s="3402">
        <f t="shared" ref="AK33:AK36" si="151">$AK$52*W33</f>
        <v>100.72000000000001</v>
      </c>
      <c r="AN33" s="3401">
        <v>100</v>
      </c>
      <c r="AO33" s="3401">
        <v>100</v>
      </c>
      <c r="AP33" s="3401">
        <v>100</v>
      </c>
      <c r="AQ33" s="3401"/>
      <c r="AR33" s="3401">
        <v>100</v>
      </c>
    </row>
    <row r="34" spans="1:44">
      <c r="A34" s="3390" t="s">
        <v>3303</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1.0148999999999999</v>
      </c>
      <c r="T34" s="3116">
        <f>ROUND(IF(项目基本情况!$B$8="出让",SUMPRODUCT(PRODUCT(1+M34:M$52)),SUMPRODUCT(PRODUCT(1+M34:M$51))),4)</f>
        <v>1.0072000000000001</v>
      </c>
      <c r="U34" s="3116">
        <f>ROUND(IF(项目基本情况!$B$8="出让",SUMPRODUCT(PRODUCT(1+N34:N$52)),SUMPRODUCT(PRODUCT(1+N34:N$51))),4)</f>
        <v>1.0335000000000001</v>
      </c>
      <c r="V34" s="3116"/>
      <c r="W34" s="3116">
        <f t="shared" si="143"/>
        <v>1.0072000000000001</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101.49</v>
      </c>
      <c r="AH34" s="3402">
        <f t="shared" si="149"/>
        <v>100.72000000000001</v>
      </c>
      <c r="AI34" s="3402">
        <f t="shared" si="150"/>
        <v>103.35000000000001</v>
      </c>
      <c r="AJ34" s="3402"/>
      <c r="AK34" s="3402">
        <f t="shared" si="151"/>
        <v>100.72000000000001</v>
      </c>
      <c r="AN34" s="3402">
        <f>AN33/(1+E33/100)</f>
        <v>100</v>
      </c>
      <c r="AO34" s="3402">
        <f t="shared" ref="AO34:AR34" si="159">AO33/(1+F33/100)</f>
        <v>100</v>
      </c>
      <c r="AP34" s="3402">
        <f t="shared" si="159"/>
        <v>100</v>
      </c>
      <c r="AQ34" s="3402"/>
      <c r="AR34" s="3402">
        <f t="shared" si="159"/>
        <v>100</v>
      </c>
    </row>
    <row r="35" spans="1:44">
      <c r="A35" s="3089" t="s">
        <v>3307</v>
      </c>
      <c r="B35" s="3140">
        <v>2025</v>
      </c>
      <c r="C35" s="3141">
        <v>2</v>
      </c>
      <c r="D35" s="3141"/>
      <c r="E35" s="3141">
        <v>0</v>
      </c>
      <c r="F35" s="3141">
        <v>0</v>
      </c>
      <c r="G35" s="3141">
        <v>0</v>
      </c>
      <c r="H35" s="3142"/>
      <c r="I35" s="3143">
        <f t="shared" ref="I35" si="160">F35</f>
        <v>0</v>
      </c>
      <c r="J35" s="3108"/>
      <c r="K35" s="3109"/>
      <c r="L35" s="3110">
        <f t="shared" ref="L35" si="161">E35/100</f>
        <v>0</v>
      </c>
      <c r="M35" s="3110">
        <f t="shared" ref="M35" si="162">F35/100</f>
        <v>0</v>
      </c>
      <c r="N35" s="3110">
        <f t="shared" ref="N35" si="163">G35/100</f>
        <v>0</v>
      </c>
      <c r="O35" s="3110"/>
      <c r="P35" s="3110">
        <f t="shared" si="142"/>
        <v>0</v>
      </c>
      <c r="Q35" s="3108"/>
      <c r="R35" s="3108"/>
      <c r="S35" s="3108">
        <f>ROUND(IF(项目基本情况!$B$8="出让",SUMPRODUCT(PRODUCT(1+L35:L$52)),SUMPRODUCT(PRODUCT(1+L35:L$51))),4)</f>
        <v>1.0148999999999999</v>
      </c>
      <c r="T35" s="3108">
        <f>ROUND(IF(项目基本情况!$B$8="出让",SUMPRODUCT(PRODUCT(1+M35:M$52)),SUMPRODUCT(PRODUCT(1+M35:M$51))),4)</f>
        <v>1.0072000000000001</v>
      </c>
      <c r="U35" s="3108">
        <f>ROUND(IF(项目基本情况!$B$8="出让",SUMPRODUCT(PRODUCT(1+N35:N$52)),SUMPRODUCT(PRODUCT(1+N35:N$51))),4)</f>
        <v>1.0335000000000001</v>
      </c>
      <c r="V35" s="3108"/>
      <c r="W35" s="3108">
        <f t="shared" si="143"/>
        <v>1.0072000000000001</v>
      </c>
      <c r="X35" s="3105"/>
      <c r="Y35" s="3107"/>
      <c r="Z35" s="3125">
        <f t="shared" ref="Z35" si="164">IF(E35=0,0,ROUND(AVERAGE(E35:E48)/100,4))</f>
        <v>0</v>
      </c>
      <c r="AA35" s="3125">
        <f t="shared" ref="AA35" si="165">IF(F35=0,0,ROUND(AVERAGE(F35:F48)/100,4))</f>
        <v>0</v>
      </c>
      <c r="AB35" s="3125">
        <f t="shared" ref="AB35" si="166">IF(G35=0,0,ROUND(AVERAGE(G35:G48)/100,4))</f>
        <v>0</v>
      </c>
      <c r="AC35" s="3127"/>
      <c r="AD35" s="3107">
        <f t="shared" si="147"/>
        <v>0</v>
      </c>
      <c r="AG35" s="3402">
        <f t="shared" si="148"/>
        <v>101.49</v>
      </c>
      <c r="AH35" s="3402">
        <f t="shared" si="149"/>
        <v>100.72000000000001</v>
      </c>
      <c r="AI35" s="3402">
        <f t="shared" si="150"/>
        <v>103.35000000000001</v>
      </c>
      <c r="AJ35" s="3402"/>
      <c r="AK35" s="3402">
        <f t="shared" si="151"/>
        <v>100.72000000000001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3251</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100</v>
      </c>
      <c r="AO36" s="3402">
        <f t="shared" si="168"/>
        <v>100</v>
      </c>
      <c r="AP36" s="3402">
        <f t="shared" si="169"/>
        <v>100</v>
      </c>
      <c r="AQ36" s="3402"/>
      <c r="AR36" s="3402">
        <f t="shared" si="170"/>
        <v>100</v>
      </c>
    </row>
    <row r="37" spans="1:44">
      <c r="A37" s="3390" t="s">
        <v>3306</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101.49193139145439</v>
      </c>
      <c r="AO37" s="3402">
        <f t="shared" si="168"/>
        <v>100.98969905069683</v>
      </c>
      <c r="AP37" s="3402">
        <f t="shared" si="169"/>
        <v>100.51261433309881</v>
      </c>
      <c r="AQ37" s="3402"/>
      <c r="AR37" s="3402">
        <f t="shared" si="170"/>
        <v>100.98969905069683</v>
      </c>
    </row>
    <row r="38" spans="1:44">
      <c r="A38" s="3390" t="s">
        <v>3247</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102.11483186583598</v>
      </c>
      <c r="AO38" s="3402">
        <f t="shared" si="168"/>
        <v>101.71185320847701</v>
      </c>
      <c r="AP38" s="3402">
        <f t="shared" si="169"/>
        <v>101.4049781407373</v>
      </c>
      <c r="AQ38" s="3402"/>
      <c r="AR38" s="3402">
        <f t="shared" si="170"/>
        <v>101.71185320847701</v>
      </c>
    </row>
    <row r="39" spans="1:44">
      <c r="A39" s="3088" t="s">
        <v>3253</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102.79326743087979</v>
      </c>
      <c r="AO39" s="3402">
        <f t="shared" si="168"/>
        <v>102.24351950992863</v>
      </c>
      <c r="AP39" s="3402">
        <f t="shared" si="169"/>
        <v>104.40129531631555</v>
      </c>
      <c r="AQ39" s="3402"/>
      <c r="AR39" s="3402">
        <f t="shared" si="170"/>
        <v>102.24351950992863</v>
      </c>
    </row>
    <row r="40" spans="1:44">
      <c r="A40" s="3088" t="s">
        <v>3250</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103.11291747505246</v>
      </c>
      <c r="AO40" s="3402">
        <f t="shared" si="168"/>
        <v>102.64383044867849</v>
      </c>
      <c r="AP40" s="3402">
        <f t="shared" si="169"/>
        <v>103.13276233953923</v>
      </c>
      <c r="AQ40" s="3402"/>
      <c r="AR40" s="3402">
        <f t="shared" si="170"/>
        <v>102.64383044867849</v>
      </c>
    </row>
    <row r="41" spans="1:44">
      <c r="A41" s="3088" t="s">
        <v>3245</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102.85577802997751</v>
      </c>
      <c r="AO41" s="3402">
        <f t="shared" si="168"/>
        <v>102.23489088513793</v>
      </c>
      <c r="AP41" s="3402">
        <f t="shared" si="169"/>
        <v>103.78661803314806</v>
      </c>
      <c r="AQ41" s="3402"/>
      <c r="AR41" s="3402">
        <f t="shared" si="170"/>
        <v>102.23489088513793</v>
      </c>
    </row>
    <row r="42" spans="1:44">
      <c r="A42" s="3088" t="s">
        <v>3243</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102.78382934943292</v>
      </c>
      <c r="AO42" s="3402">
        <f t="shared" si="168"/>
        <v>102.14296221914071</v>
      </c>
      <c r="AP42" s="3402">
        <f t="shared" si="169"/>
        <v>103.75549138573234</v>
      </c>
      <c r="AQ42" s="3402"/>
      <c r="AR42" s="3402">
        <f t="shared" si="170"/>
        <v>102.14296221914071</v>
      </c>
    </row>
    <row r="43" spans="1:44">
      <c r="A43" s="3088" t="s">
        <v>3242</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102.42534065713295</v>
      </c>
      <c r="AO43" s="3402">
        <f t="shared" si="168"/>
        <v>101.96961387555227</v>
      </c>
      <c r="AP43" s="3402">
        <f t="shared" si="169"/>
        <v>103.21875386563104</v>
      </c>
      <c r="AQ43" s="3402"/>
      <c r="AR43" s="3402">
        <f t="shared" si="170"/>
        <v>101.96961387555227</v>
      </c>
    </row>
    <row r="44" spans="1:44">
      <c r="A44" s="3088" t="s">
        <v>3240</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101.91576184789349</v>
      </c>
      <c r="AO44" s="3402">
        <f t="shared" si="168"/>
        <v>101.5128062474388</v>
      </c>
      <c r="AP44" s="3402">
        <f t="shared" si="169"/>
        <v>102.30821078960358</v>
      </c>
      <c r="AQ44" s="3402"/>
      <c r="AR44" s="3402">
        <f t="shared" si="170"/>
        <v>101.5128062474388</v>
      </c>
    </row>
    <row r="45" spans="1:44">
      <c r="A45" s="3088" t="s">
        <v>3238</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101.35829124604027</v>
      </c>
      <c r="AO45" s="3402">
        <f t="shared" si="168"/>
        <v>100.91739362505101</v>
      </c>
      <c r="AP45" s="3402">
        <f t="shared" si="169"/>
        <v>101.6576021359336</v>
      </c>
      <c r="AQ45" s="3402"/>
      <c r="AR45" s="3402">
        <f t="shared" si="170"/>
        <v>100.91739362505101</v>
      </c>
    </row>
    <row r="46" spans="1:44">
      <c r="A46" s="3088" t="s">
        <v>3236</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100.90422224593357</v>
      </c>
      <c r="AO46" s="3402">
        <f t="shared" si="168"/>
        <v>100.71596170164771</v>
      </c>
      <c r="AP46" s="3402">
        <f t="shared" si="169"/>
        <v>101.2727656265527</v>
      </c>
      <c r="AQ46" s="3402"/>
      <c r="AR46" s="3402">
        <f t="shared" si="170"/>
        <v>100.71596170164771</v>
      </c>
    </row>
    <row r="47" spans="1:44">
      <c r="A47" s="3088" t="s">
        <v>3235</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100.60241500093079</v>
      </c>
      <c r="AO47" s="3402">
        <f t="shared" si="168"/>
        <v>100.42472998469212</v>
      </c>
      <c r="AP47" s="3402">
        <f t="shared" si="169"/>
        <v>100.43912092289268</v>
      </c>
      <c r="AQ47" s="3402"/>
      <c r="AR47" s="3402">
        <f t="shared" si="170"/>
        <v>100.42472998469212</v>
      </c>
    </row>
    <row r="48" spans="1:44">
      <c r="A48" s="3088" t="s">
        <v>2771</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100.71319952040324</v>
      </c>
      <c r="AO48" s="3402">
        <f t="shared" si="168"/>
        <v>100.55545207238622</v>
      </c>
      <c r="AP48" s="3402">
        <f t="shared" si="169"/>
        <v>99.90960004266654</v>
      </c>
      <c r="AQ48" s="3402"/>
      <c r="AR48" s="3402">
        <f t="shared" si="170"/>
        <v>100.55545207238622</v>
      </c>
    </row>
    <row r="49" spans="1:44">
      <c r="A49" s="3088" t="s">
        <v>2772</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100.11252437415828</v>
      </c>
      <c r="AO49" s="3402">
        <f t="shared" si="168"/>
        <v>100.10497966389867</v>
      </c>
      <c r="AP49" s="3402">
        <f t="shared" si="169"/>
        <v>99.382870827281934</v>
      </c>
      <c r="AQ49" s="3402"/>
      <c r="AR49" s="3402">
        <f t="shared" si="170"/>
        <v>100.10497966389867</v>
      </c>
    </row>
    <row r="50" spans="1:44">
      <c r="A50" s="3088" t="s">
        <v>2773</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99.535220097592244</v>
      </c>
      <c r="AO50" s="3402">
        <f t="shared" si="168"/>
        <v>100.02495969614176</v>
      </c>
      <c r="AP50" s="3402">
        <f t="shared" si="169"/>
        <v>98.711631731507694</v>
      </c>
      <c r="AQ50" s="3402"/>
      <c r="AR50" s="3402">
        <f t="shared" si="170"/>
        <v>100.02495969614176</v>
      </c>
    </row>
    <row r="51" spans="1:44">
      <c r="A51" s="3088" t="s">
        <v>2777</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99.069593010443171</v>
      </c>
      <c r="AO51" s="3402">
        <f t="shared" si="168"/>
        <v>99.745671815059609</v>
      </c>
      <c r="AP51" s="3402">
        <f t="shared" si="169"/>
        <v>97.821456477561867</v>
      </c>
      <c r="AQ51" s="3402"/>
      <c r="AR51" s="3402">
        <f t="shared" si="170"/>
        <v>99.745671815059609</v>
      </c>
    </row>
    <row r="52" spans="1:44" ht="14.25" thickBot="1">
      <c r="A52" s="3090" t="s">
        <v>2778</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98.527690711529758</v>
      </c>
      <c r="AO52" s="3402">
        <f t="shared" si="168"/>
        <v>99.288942678737428</v>
      </c>
      <c r="AP52" s="3402">
        <f t="shared" si="169"/>
        <v>96.757128068805017</v>
      </c>
      <c r="AQ52" s="3402"/>
      <c r="AR52" s="3402">
        <f t="shared" si="170"/>
        <v>99.288942678737428</v>
      </c>
    </row>
    <row r="53" spans="1:44" ht="14.25" thickTop="1"/>
    <row r="54" spans="1:44">
      <c r="A54" s="3389" t="s">
        <v>3257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2201</v>
      </c>
      <c r="B1" s="2747"/>
      <c r="C1" s="2747"/>
      <c r="D1" s="2747"/>
      <c r="E1" s="2747"/>
      <c r="F1" s="2747"/>
      <c r="G1" s="2748"/>
      <c r="H1" s="2748"/>
      <c r="I1" s="2748"/>
      <c r="J1" s="2748"/>
      <c r="K1" s="2748"/>
      <c r="L1" s="2748"/>
      <c r="M1" s="2748"/>
      <c r="N1" s="2748"/>
    </row>
    <row r="2" spans="1:14" ht="14.25">
      <c r="A2" s="2753" t="s">
        <v>2196</v>
      </c>
      <c r="B2" s="2758">
        <f ca="1">SUMIF(B7:B14,"&lt;&gt;#ref!",B7:B14)</f>
        <v>0</v>
      </c>
      <c r="C2" s="2753" t="s">
        <v>2197</v>
      </c>
      <c r="D2" s="2750"/>
      <c r="E2" s="2750"/>
      <c r="F2" s="2750"/>
      <c r="G2" s="2748"/>
      <c r="H2" s="2748"/>
      <c r="I2" s="2748"/>
      <c r="J2" s="2748"/>
      <c r="K2" s="2748"/>
      <c r="L2" s="2748"/>
      <c r="M2" s="2748"/>
      <c r="N2" s="2748"/>
    </row>
    <row r="3" spans="1:14" ht="14.25">
      <c r="A3" s="2753" t="s">
        <v>2225</v>
      </c>
      <c r="B3" s="2758" t="e">
        <f ca="1">ROUND(B2*10000/E3,0)</f>
        <v>#DIV/0!</v>
      </c>
      <c r="C3" s="2753" t="s">
        <v>1596</v>
      </c>
      <c r="D3" s="2753" t="s">
        <v>2198</v>
      </c>
      <c r="E3" s="2751">
        <f ca="1">SUMIF(E7:E14,"&lt;&gt;#ref!",E7:E14)</f>
        <v>0</v>
      </c>
      <c r="F3" s="2750"/>
      <c r="G3" s="2748"/>
      <c r="H3" s="2748"/>
      <c r="I3" s="2748"/>
      <c r="J3" s="2748"/>
      <c r="K3" s="2748"/>
      <c r="L3" s="2748"/>
      <c r="M3" s="2748"/>
      <c r="N3" s="2748"/>
    </row>
    <row r="4" spans="1:14" ht="14.25">
      <c r="A4" s="2753" t="s">
        <v>2204</v>
      </c>
      <c r="B4" s="2758" t="e">
        <f ca="1">ROUND(B2*10000/E4,0)</f>
        <v>#DIV/0!</v>
      </c>
      <c r="C4" s="2753" t="s">
        <v>1596</v>
      </c>
      <c r="D4" s="2753" t="s">
        <v>2205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2202</v>
      </c>
      <c r="B6" s="2753" t="s">
        <v>2199</v>
      </c>
      <c r="C6" s="2355"/>
      <c r="D6" s="2750"/>
      <c r="E6" s="2753" t="s">
        <v>2200</v>
      </c>
      <c r="F6" s="2753" t="s">
        <v>2203</v>
      </c>
      <c r="G6" s="2748"/>
      <c r="H6" s="2748"/>
      <c r="I6" s="2748"/>
      <c r="J6" s="2748"/>
      <c r="K6" s="2748"/>
      <c r="L6" s="2748"/>
      <c r="M6" s="2748"/>
      <c r="N6" s="2748"/>
    </row>
    <row r="7" spans="1:14" ht="14.25">
      <c r="A7" s="2756"/>
      <c r="B7" s="2758" t="e">
        <f ca="1">SUMIF(INDIRECT("'"&amp;A7&amp;"'"&amp;"!A:A"),"总价",INDIRECT("'"&amp;A7&amp;"'"&amp;"!B:B"))</f>
        <v>#REF!</v>
      </c>
      <c r="C7" s="2753" t="s">
        <v>2197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2194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-1.5</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88" t="s">
        <v>1807</v>
      </c>
      <c r="C8" s="1516">
        <f ca="1">ROUND(F8*F10*F9*(1-F11)/10000,0)</f>
        <v>0</v>
      </c>
      <c r="D8" s="317" t="s">
        <v>1817</v>
      </c>
      <c r="E8" s="57" t="s">
        <v>585</v>
      </c>
      <c r="F8" s="720">
        <f ca="1">INDIRECT("'数据-取费表'!u"&amp;$G$1)</f>
        <v>0</v>
      </c>
      <c r="G8" s="1144"/>
      <c r="H8" s="2009" t="s">
        <v>1353</v>
      </c>
      <c r="I8" s="3688" t="s">
        <v>1807</v>
      </c>
      <c r="J8" s="718">
        <f ca="1">ROUND(M8*M10*M9*(1-M11)/10000,0)</f>
        <v>0</v>
      </c>
      <c r="K8" s="315" t="s">
        <v>1817</v>
      </c>
      <c r="L8" s="719" t="s">
        <v>1267</v>
      </c>
      <c r="M8" s="720">
        <f ca="1">INDIRECT("'数据-取费表'!z"&amp;$G$1)</f>
        <v>0</v>
      </c>
    </row>
    <row r="9" spans="1:25" ht="18" customHeight="1">
      <c r="A9" s="2005"/>
      <c r="B9" s="3689"/>
      <c r="C9" s="1517"/>
      <c r="D9" s="330"/>
      <c r="E9" s="57" t="s">
        <v>586</v>
      </c>
      <c r="F9" s="720">
        <f ca="1">IF(INDIRECT("'数据-取费表'!ah"&amp;$G$1)="",INDIRECT("'数据-取费表'!k"&amp;$G$1),INDIRECT("'数据-取费表'!ah"&amp;$G$1))</f>
        <v>0</v>
      </c>
      <c r="G9" s="1144"/>
      <c r="H9" s="1994"/>
      <c r="I9" s="3689"/>
      <c r="J9" s="723"/>
      <c r="K9" s="724"/>
      <c r="L9" s="719" t="s">
        <v>1268</v>
      </c>
      <c r="M9" s="720">
        <f ca="1">F9</f>
        <v>0</v>
      </c>
    </row>
    <row r="10" spans="1:25" ht="18" customHeight="1">
      <c r="A10" s="1998"/>
      <c r="B10" s="3690"/>
      <c r="C10" s="1517"/>
      <c r="D10" s="330"/>
      <c r="E10" s="57" t="s">
        <v>587</v>
      </c>
      <c r="F10" s="720">
        <f ca="1">INDIRECT("'数据-取费表'!ai"&amp;$G$1)</f>
        <v>0</v>
      </c>
      <c r="G10" s="1144"/>
      <c r="H10" s="1994"/>
      <c r="I10" s="3690"/>
      <c r="J10" s="723"/>
      <c r="K10" s="724"/>
      <c r="L10" s="719" t="s">
        <v>1269</v>
      </c>
      <c r="M10" s="720">
        <f ca="1">INDIRECT("'数据-取费表'!ai"&amp;$G$1)</f>
        <v>0</v>
      </c>
    </row>
    <row r="11" spans="1:25" ht="18" customHeight="1">
      <c r="A11" s="721"/>
      <c r="B11" s="3691"/>
      <c r="C11" s="1517"/>
      <c r="D11" s="330"/>
      <c r="E11" s="57" t="s">
        <v>588</v>
      </c>
      <c r="F11" s="729">
        <f ca="1">INDIRECT("'数据-取费表'!w"&amp;$G$1)</f>
        <v>0</v>
      </c>
      <c r="G11" s="1144"/>
      <c r="H11" s="2010"/>
      <c r="I11" s="369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2222</v>
      </c>
      <c r="E12" s="2003" t="s">
        <v>1808</v>
      </c>
      <c r="F12" s="2076"/>
      <c r="G12" s="1144"/>
      <c r="H12" s="2037" t="s">
        <v>1354</v>
      </c>
      <c r="I12" s="2041" t="s">
        <v>1803</v>
      </c>
      <c r="J12" s="718">
        <f ca="1">ROUND(IF(M12="押一",J8/12*M13,IF(M12="押二",J8/12*2*M13,IF(M12="押三",J8/12*3*M13,J13*M13))),0)</f>
        <v>0</v>
      </c>
      <c r="K12" s="2006" t="s">
        <v>2222</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0.05</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3233</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0.9</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1.5</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4.0000000000000002E-4</v>
      </c>
      <c r="D26" s="2044" t="str">
        <f>IF(F25&lt;=1,"销售费用×利率×(建设周期÷2)","销售费用×((1+利率)^(建设周期÷2)-1)")</f>
        <v>销售费用×((1+利率)^(建设周期÷2)-1)</v>
      </c>
      <c r="E26" s="719" t="s">
        <v>629</v>
      </c>
      <c r="F26" s="753">
        <f ca="1">'数据-取费表'!B40</f>
        <v>0.03</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9" t="s">
        <v>2269</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3233</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0.9</v>
      </c>
      <c r="G36" s="1668"/>
      <c r="H36" s="1677"/>
      <c r="I36" s="3687"/>
      <c r="J36" s="1690"/>
      <c r="K36" s="1691"/>
      <c r="L36" s="1690"/>
      <c r="M36" s="1690"/>
    </row>
    <row r="37" spans="1:18" ht="18" customHeight="1">
      <c r="A37" s="749"/>
      <c r="B37" s="728"/>
      <c r="C37" s="65"/>
      <c r="D37" s="750"/>
      <c r="E37" s="719" t="s">
        <v>621</v>
      </c>
      <c r="F37" s="720">
        <f ca="1">INDIRECT("'数据-取费表'!r"&amp;$G$1)</f>
        <v>0</v>
      </c>
      <c r="G37" s="1668"/>
      <c r="H37" s="1677"/>
      <c r="I37" s="3687"/>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2212</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2215</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2226</v>
      </c>
      <c r="J54" s="2416">
        <f ca="1">IF(M48="住宅",MAX(J52,L49-'数据-取费表'!B20),MIN(J52,L49-'数据-取费表'!B20))</f>
        <v>-1.5</v>
      </c>
      <c r="K54" s="3692"/>
      <c r="L54" s="3693"/>
      <c r="O54" s="1960" t="s">
        <v>1742</v>
      </c>
      <c r="P54" s="1958" t="s">
        <v>1743</v>
      </c>
      <c r="Q54" s="1959">
        <f ca="1">J54</f>
        <v>-1.5</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3" t="s">
        <v>877</v>
      </c>
      <c r="E1" s="1947" t="s">
        <v>1728</v>
      </c>
      <c r="F1" s="1948">
        <f ca="1">J53</f>
        <v>68.45</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5"/>
      <c r="D2" s="2764"/>
      <c r="E2" s="2766"/>
      <c r="F2" s="2766"/>
      <c r="G2" s="2761"/>
      <c r="H2" s="1670"/>
      <c r="I2" s="1670"/>
      <c r="J2" s="1670"/>
      <c r="K2" s="1671"/>
      <c r="L2" s="1670"/>
      <c r="M2" s="1670"/>
    </row>
    <row r="3" spans="1:33" ht="18" customHeight="1" thickBot="1">
      <c r="A3" s="767" t="s">
        <v>1256</v>
      </c>
      <c r="B3" s="768">
        <f ca="1">IF(ISERROR(B2*10000/F43),0,ROUND(B2*10000/F43,0))</f>
        <v>0</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8" t="s">
        <v>1807</v>
      </c>
      <c r="C6" s="718">
        <f ca="1">ROUND(F6*F8*F7*(1-F9)/10000,0)</f>
        <v>0</v>
      </c>
      <c r="D6" s="2002" t="s">
        <v>1806</v>
      </c>
      <c r="E6" s="719" t="s">
        <v>1267</v>
      </c>
      <c r="F6" s="720">
        <f ca="1">INDIRECT("'数据-取费表'!u"&amp;$G$1)</f>
        <v>0</v>
      </c>
      <c r="G6" s="1668"/>
      <c r="H6" s="2009" t="s">
        <v>1812</v>
      </c>
      <c r="I6" s="3688" t="s">
        <v>1807</v>
      </c>
      <c r="J6" s="718">
        <f ca="1">ROUND(M6*M8*M7*(1-M9)/10000,0)</f>
        <v>0</v>
      </c>
      <c r="K6" s="315" t="s">
        <v>1266</v>
      </c>
      <c r="L6" s="719" t="s">
        <v>1267</v>
      </c>
      <c r="M6" s="720">
        <f ca="1">INDIRECT("'数据-取费表'!z"&amp;$G$1)</f>
        <v>0</v>
      </c>
    </row>
    <row r="7" spans="1:33" ht="18" customHeight="1">
      <c r="A7" s="2005"/>
      <c r="B7" s="3689"/>
      <c r="C7" s="723"/>
      <c r="D7" s="724"/>
      <c r="E7" s="719" t="s">
        <v>1268</v>
      </c>
      <c r="F7" s="720">
        <f ca="1">IF(INDIRECT("'数据-取费表'!ah"&amp;$G$1)="",INDIRECT("'数据-取费表'!k"&amp;$G$1),INDIRECT("'数据-取费表'!ah"&amp;$G$1))</f>
        <v>40989</v>
      </c>
      <c r="G7" s="1668"/>
      <c r="H7" s="1994"/>
      <c r="I7" s="3689"/>
      <c r="J7" s="723"/>
      <c r="K7" s="724"/>
      <c r="L7" s="719" t="s">
        <v>1268</v>
      </c>
      <c r="M7" s="720">
        <f ca="1">F7</f>
        <v>40989</v>
      </c>
    </row>
    <row r="8" spans="1:33" ht="18" customHeight="1">
      <c r="A8" s="1998"/>
      <c r="B8" s="3690"/>
      <c r="C8" s="723"/>
      <c r="D8" s="724"/>
      <c r="E8" s="719" t="s">
        <v>1269</v>
      </c>
      <c r="F8" s="720">
        <f ca="1">INDIRECT("'数据-取费表'!ai"&amp;$G$1)</f>
        <v>0</v>
      </c>
      <c r="G8" s="1668"/>
      <c r="H8" s="1994"/>
      <c r="I8" s="3690"/>
      <c r="J8" s="723"/>
      <c r="K8" s="724"/>
      <c r="L8" s="719" t="s">
        <v>1269</v>
      </c>
      <c r="M8" s="720">
        <f ca="1">INDIRECT("'数据-取费表'!ai"&amp;$G$1)</f>
        <v>0</v>
      </c>
    </row>
    <row r="9" spans="1:33" ht="18" customHeight="1">
      <c r="A9" s="721"/>
      <c r="B9" s="3691"/>
      <c r="C9" s="723"/>
      <c r="D9" s="724"/>
      <c r="E9" s="719" t="s">
        <v>1270</v>
      </c>
      <c r="F9" s="729">
        <f ca="1">INDIRECT("'数据-取费表'!w"&amp;$G$1)</f>
        <v>0</v>
      </c>
      <c r="G9" s="1668"/>
      <c r="H9" s="2010"/>
      <c r="I9" s="369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2222</v>
      </c>
      <c r="E10" s="2003" t="s">
        <v>1808</v>
      </c>
      <c r="F10" s="2076"/>
      <c r="G10" s="1668"/>
      <c r="H10" s="2037" t="s">
        <v>1813</v>
      </c>
      <c r="I10" s="2041" t="s">
        <v>1803</v>
      </c>
      <c r="J10" s="718">
        <f ca="1">ROUND(IF(M10="押一",J6/12*M11,IF(M10="押二",J6/12*2*M11,IF(M10="押三",J6/12*3*M11,J11*M11))),0)</f>
        <v>0</v>
      </c>
      <c r="K10" s="2006" t="s">
        <v>2222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8198</v>
      </c>
      <c r="D14" s="905" t="s">
        <v>1274</v>
      </c>
      <c r="E14" s="904"/>
      <c r="F14" s="740"/>
      <c r="G14" s="1668"/>
      <c r="H14" s="1369" t="s">
        <v>1359</v>
      </c>
      <c r="I14" s="1825" t="s">
        <v>2103</v>
      </c>
      <c r="J14" s="49">
        <f ca="1">C29</f>
        <v>12377</v>
      </c>
      <c r="K14" s="22"/>
      <c r="L14" s="736"/>
      <c r="M14" s="737"/>
    </row>
    <row r="15" spans="1:33" s="1676" customFormat="1" ht="18" customHeight="1" thickBot="1">
      <c r="A15" s="1368" t="s">
        <v>1410</v>
      </c>
      <c r="B15" s="719" t="s">
        <v>595</v>
      </c>
      <c r="C15" s="49">
        <f ca="1">ROUND(C14*F15,0)</f>
        <v>410</v>
      </c>
      <c r="D15" s="741" t="s">
        <v>1275</v>
      </c>
      <c r="E15" s="741" t="s">
        <v>1276</v>
      </c>
      <c r="F15" s="742">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410</v>
      </c>
      <c r="D16" s="719" t="s">
        <v>1275</v>
      </c>
      <c r="E16" s="719" t="s">
        <v>1276</v>
      </c>
      <c r="F16" s="744">
        <f ca="1">IF(INDIRECT("'数据-取费表'!c"&amp;$G$1)="住宅",'数据-取费表'!B34,0)</f>
        <v>0.05</v>
      </c>
      <c r="G16" s="1668"/>
      <c r="H16" s="1520" t="s">
        <v>1277</v>
      </c>
      <c r="I16" s="1518" t="s">
        <v>1278</v>
      </c>
      <c r="J16" s="727">
        <f ca="1">ROUND(J17+J22+J23+J24,0)</f>
        <v>2</v>
      </c>
      <c r="K16" s="1514" t="s">
        <v>1279</v>
      </c>
      <c r="L16" s="908"/>
      <c r="M16" s="1996"/>
    </row>
    <row r="17" spans="1:33" s="1676" customFormat="1" ht="18" customHeight="1">
      <c r="A17" s="1368" t="s">
        <v>1412</v>
      </c>
      <c r="B17" s="719" t="s">
        <v>601</v>
      </c>
      <c r="C17" s="49">
        <f ca="1">ROUND(F17*(F43+INDIRECT("'数据-取费表'!S"&amp;$G$1))/10000,0)</f>
        <v>820</v>
      </c>
      <c r="D17" s="719" t="s">
        <v>1280</v>
      </c>
      <c r="E17" s="719" t="s">
        <v>1281</v>
      </c>
      <c r="F17" s="52">
        <f>'数据-取费表'!B35</f>
        <v>200</v>
      </c>
      <c r="G17" s="2762"/>
      <c r="H17" s="1369" t="s">
        <v>1359</v>
      </c>
      <c r="I17" s="719" t="s">
        <v>604</v>
      </c>
      <c r="J17" s="2555">
        <f ca="1">ROUND(IF(AND(项目基本情况!B11="自然人",项目基本情况!B10="北京市"),J6*M17/(1+'数据-取费表'!C42),J18+J19+J20),2)</f>
        <v>2.0499999999999998</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164</v>
      </c>
      <c r="D18" s="719" t="s">
        <v>1275</v>
      </c>
      <c r="E18" s="719" t="s">
        <v>1276</v>
      </c>
      <c r="F18" s="744">
        <f>'数据-取费表'!B36</f>
        <v>0.02</v>
      </c>
      <c r="G18" s="2762"/>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10002</v>
      </c>
      <c r="D19" s="241" t="s">
        <v>1286</v>
      </c>
      <c r="E19" s="914"/>
      <c r="F19" s="52"/>
      <c r="G19" s="1668"/>
      <c r="H19" s="1368" t="s">
        <v>1410</v>
      </c>
      <c r="I19" s="719" t="s">
        <v>1287</v>
      </c>
      <c r="J19" s="49">
        <f ca="1">IF(K19="按租金收入计税",ROUND(J6*M19/(1+'数据-取费表'!C42),1),ROUND(C29*F33*0.7,2))</f>
        <v>0</v>
      </c>
      <c r="K19" s="745" t="s">
        <v>3233</v>
      </c>
      <c r="L19" s="719" t="s">
        <v>1276</v>
      </c>
      <c r="M19" s="744">
        <f>IF(K19="按租金收入计税",'数据-取费表'!B51,'数据-取费表'!B50)</f>
        <v>0.12</v>
      </c>
    </row>
    <row r="20" spans="1:33" s="1676" customFormat="1" ht="18" customHeight="1">
      <c r="A20" s="1369" t="s">
        <v>1414</v>
      </c>
      <c r="B20" s="719" t="s">
        <v>613</v>
      </c>
      <c r="C20" s="49">
        <f ca="1">ROUND(C19*F20,0)</f>
        <v>200</v>
      </c>
      <c r="D20" s="746" t="s">
        <v>1288</v>
      </c>
      <c r="E20" s="719" t="s">
        <v>1276</v>
      </c>
      <c r="F20" s="744">
        <f>'数据-取费表'!B37</f>
        <v>0.02</v>
      </c>
      <c r="G20" s="2762"/>
      <c r="H20" s="1371" t="s">
        <v>1405</v>
      </c>
      <c r="I20" s="315" t="s">
        <v>1289</v>
      </c>
      <c r="J20" s="50">
        <f ca="1">ROUND(M20*M21/10000,2)</f>
        <v>2.0499999999999998</v>
      </c>
      <c r="K20" s="748" t="s">
        <v>1290</v>
      </c>
      <c r="L20" s="719" t="s">
        <v>1291</v>
      </c>
      <c r="M20" s="587">
        <f>'数据-取费表'!B52</f>
        <v>0.9</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2"/>
      <c r="H21" s="2011"/>
      <c r="I21" s="728"/>
      <c r="J21" s="65"/>
      <c r="K21" s="750"/>
      <c r="L21" s="719" t="s">
        <v>1295</v>
      </c>
      <c r="M21" s="720">
        <f ca="1">INDIRECT("'数据-取费表'!r"&amp;$G$1)</f>
        <v>22772.01</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0</v>
      </c>
      <c r="K22" s="906"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229</v>
      </c>
      <c r="D23" s="2044" t="str">
        <f>IF(F23&lt;=1,"(建造成本+管理费用)×利率×(建设周期÷2)","(建造成本+管理费用)×((1+利率)^(建设周期÷2)-1)")</f>
        <v>(建造成本+管理费用)×((1+利率)^(建设周期÷2)-1)</v>
      </c>
      <c r="E23" s="719" t="s">
        <v>1299</v>
      </c>
      <c r="F23" s="587">
        <f>'数据-取费表'!B20</f>
        <v>1.5</v>
      </c>
      <c r="G23" s="2762"/>
      <c r="H23" s="1369" t="s">
        <v>1415</v>
      </c>
      <c r="I23" s="719" t="s">
        <v>626</v>
      </c>
      <c r="J23" s="49">
        <f ca="1">ROUND(J13*M23,2)</f>
        <v>0</v>
      </c>
      <c r="K23" s="906"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4.0000000000000002E-4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-2</v>
      </c>
      <c r="K25" s="2024" t="s">
        <v>1306</v>
      </c>
      <c r="L25" s="2025"/>
      <c r="M25" s="2026"/>
    </row>
    <row r="26" spans="1:33" ht="18" customHeight="1">
      <c r="A26" s="1368" t="s">
        <v>1360</v>
      </c>
      <c r="B26" s="719" t="s">
        <v>1785</v>
      </c>
      <c r="C26" s="49">
        <f ca="1">ROUND((C19+C20)*F26,0)</f>
        <v>1020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0.05</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12377</v>
      </c>
      <c r="D29" s="2021"/>
      <c r="E29" s="2022"/>
      <c r="F29" s="2023"/>
      <c r="G29" s="2762"/>
      <c r="H29" s="757" t="s">
        <v>1316</v>
      </c>
      <c r="I29" s="758" t="s">
        <v>1317</v>
      </c>
      <c r="J29" s="759">
        <f ca="1">ROUND(J26/(1+F40)^F41,0)</f>
        <v>0</v>
      </c>
      <c r="K29" s="760" t="s">
        <v>1318</v>
      </c>
      <c r="L29" s="761"/>
      <c r="M29" s="762">
        <f ca="1">INDIRECT("'数据-取费表'!k"&amp;$G$1)</f>
        <v>40989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2.0499999999999998</v>
      </c>
      <c r="D31" s="905" t="s">
        <v>1321</v>
      </c>
      <c r="E31" s="906" t="s">
        <v>1322</v>
      </c>
      <c r="F31" s="2554" t="str">
        <f>IF(项目基本情况!B11="企业","——",IF(M47="住宅",IF(F6*F7*F8/12/(1+'数据-取费表'!F30)&gt;100000,4%,2.5%),IF(F6*F7*F8/12/(1+'数据-取费表'!F30)&gt;100000,12%,7%)))</f>
        <v>——</v>
      </c>
      <c r="G31" s="1668"/>
      <c r="H31" s="2759" t="s">
        <v>2270</v>
      </c>
      <c r="I31" s="1678"/>
      <c r="J31" s="1679"/>
      <c r="K31" s="1636"/>
      <c r="L31" s="1680"/>
      <c r="M31" s="1681"/>
    </row>
    <row r="32" spans="1:33" ht="18" customHeight="1">
      <c r="A32" s="1368" t="s">
        <v>1360</v>
      </c>
      <c r="B32" s="719" t="s">
        <v>1323</v>
      </c>
      <c r="C32" s="49">
        <f ca="1">ROUND(C6*F32/(1+'数据-取费表'!C42),2)</f>
        <v>0</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3233</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2.0499999999999998</v>
      </c>
      <c r="D34" s="748" t="s">
        <v>1328</v>
      </c>
      <c r="E34" s="719" t="s">
        <v>1329</v>
      </c>
      <c r="F34" s="587">
        <f>'数据-取费表'!B52</f>
        <v>0.9</v>
      </c>
      <c r="G34" s="1668"/>
      <c r="H34" s="1677"/>
      <c r="I34" s="769" t="s">
        <v>1342</v>
      </c>
      <c r="J34" s="770"/>
      <c r="K34" s="1691"/>
      <c r="L34" s="1690"/>
      <c r="M34" s="1690"/>
    </row>
    <row r="35" spans="1:18" ht="18" customHeight="1">
      <c r="A35" s="749"/>
      <c r="B35" s="728"/>
      <c r="C35" s="65"/>
      <c r="D35" s="750"/>
      <c r="E35" s="719" t="s">
        <v>1330</v>
      </c>
      <c r="F35" s="720">
        <f ca="1">INDIRECT("'数据-取费表'!r"&amp;$G$1)</f>
        <v>22772.01</v>
      </c>
      <c r="G35" s="1668"/>
      <c r="H35" s="1677"/>
      <c r="I35" s="771" t="s">
        <v>1343</v>
      </c>
      <c r="J35" s="772">
        <f ca="1">ROUND(C13*J36,0)</f>
        <v>0</v>
      </c>
      <c r="K35" s="1689"/>
      <c r="L35" s="1688"/>
      <c r="M35" s="1688"/>
    </row>
    <row r="36" spans="1:18" ht="18" customHeight="1">
      <c r="A36" s="1369" t="s">
        <v>1414</v>
      </c>
      <c r="B36" s="719" t="s">
        <v>1331</v>
      </c>
      <c r="C36" s="49">
        <f ca="1">ROUND(C29*F36,2)</f>
        <v>0</v>
      </c>
      <c r="D36" s="906"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6"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7"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0.05</v>
      </c>
      <c r="G40" s="1668"/>
      <c r="H40" s="1668"/>
      <c r="I40" s="771" t="s">
        <v>1348</v>
      </c>
      <c r="J40" s="779">
        <f ca="1">1-J39</f>
        <v>1</v>
      </c>
      <c r="K40" s="1693"/>
      <c r="L40" s="1668"/>
      <c r="M40" s="1668"/>
    </row>
    <row r="41" spans="1:18" ht="18" customHeight="1">
      <c r="A41" s="721"/>
      <c r="B41" s="722"/>
      <c r="C41" s="723"/>
      <c r="D41" s="755" t="s">
        <v>1337</v>
      </c>
      <c r="E41" s="719" t="s">
        <v>2214</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40989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0</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c r="K47" s="2372" t="s">
        <v>1703</v>
      </c>
      <c r="L47" s="2376">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c r="K48" s="2373" t="s">
        <v>1705</v>
      </c>
      <c r="L48" s="1567">
        <f ca="1">INDIRECT("'数据-取费表'!f"&amp;$G$1)</f>
        <v>68.45</v>
      </c>
      <c r="M48" s="2764"/>
      <c r="O48" s="1957" t="s">
        <v>1733</v>
      </c>
      <c r="P48" s="1958" t="s">
        <v>1759</v>
      </c>
      <c r="Q48" s="1959">
        <f ca="1">C40+J29</f>
        <v>0</v>
      </c>
      <c r="R48" s="1958" t="s">
        <v>1734</v>
      </c>
    </row>
    <row r="49" spans="1:18" s="1672" customFormat="1" ht="18" customHeight="1" thickBot="1">
      <c r="A49" s="721"/>
      <c r="B49" s="722"/>
      <c r="C49" s="723"/>
      <c r="D49" s="724"/>
      <c r="E49" s="719" t="s">
        <v>1268</v>
      </c>
      <c r="F49" s="720">
        <f ca="1">F7</f>
        <v>40989</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4" t="s">
        <v>1701</v>
      </c>
      <c r="J50" s="2371">
        <f>SUMPRODUCT((I63:I65=J47)*(J62:L62=J48)*(J63:L65))</f>
        <v>0</v>
      </c>
      <c r="K50" s="2374" t="s">
        <v>1707</v>
      </c>
      <c r="L50" s="1566"/>
      <c r="M50" s="2764"/>
      <c r="O50" s="1960" t="s">
        <v>1737</v>
      </c>
      <c r="P50" s="1958" t="s">
        <v>1761</v>
      </c>
      <c r="Q50" s="1959">
        <f ca="1">C29</f>
        <v>12377</v>
      </c>
      <c r="R50" s="1958" t="s">
        <v>1734</v>
      </c>
    </row>
    <row r="51" spans="1:18" s="1672" customFormat="1" ht="18" customHeight="1" thickBot="1">
      <c r="A51" s="721"/>
      <c r="B51" s="722"/>
      <c r="C51" s="723"/>
      <c r="D51" s="724"/>
      <c r="E51" s="719" t="s">
        <v>588</v>
      </c>
      <c r="F51" s="1934"/>
      <c r="H51" s="1702"/>
      <c r="I51" s="2368" t="s">
        <v>1702</v>
      </c>
      <c r="J51" s="1567">
        <f>IF(J49="",J50,J49+J50-YEAR('数据-取费表'!B2))</f>
        <v>0</v>
      </c>
      <c r="K51" s="2364" t="s">
        <v>1708</v>
      </c>
      <c r="L51" s="2377">
        <f ca="1">ROUND(-PV(INDIRECT("'数据-取费表'!h"&amp;$G$1),J51,(C39-C13*J36),0),0)</f>
        <v>0</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2223</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1"/>
      <c r="B53" s="2000" t="s">
        <v>1856</v>
      </c>
      <c r="C53" s="2004"/>
      <c r="D53" s="2006"/>
      <c r="E53" s="2003"/>
      <c r="F53" s="735"/>
      <c r="I53" s="2370" t="s">
        <v>2226</v>
      </c>
      <c r="J53" s="2416">
        <f ca="1">IF(M47="住宅",IF(D1="——",MAX(J51,L48),MAX(J51,L48-'数据-取费表'!B20)),IF(D1="——",MIN(J51,L48),MIN(J51,L48-'数据-取费表'!B20)))</f>
        <v>68.45</v>
      </c>
      <c r="K53" s="3694" t="s">
        <v>2216</v>
      </c>
      <c r="L53" s="3695"/>
      <c r="M53" s="2764"/>
      <c r="O53" s="1960" t="s">
        <v>1742</v>
      </c>
      <c r="P53" s="1958" t="s">
        <v>1743</v>
      </c>
      <c r="Q53" s="1959">
        <f ca="1">J53</f>
        <v>68.45</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4"/>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12377</v>
      </c>
      <c r="D56" s="906"/>
      <c r="E56" s="719"/>
      <c r="F56" s="744"/>
      <c r="I56" s="2382" t="s">
        <v>1711</v>
      </c>
      <c r="J56" s="2392"/>
      <c r="K56" s="2364" t="s">
        <v>1716</v>
      </c>
      <c r="L56" s="1567">
        <f ca="1">IF(L48&lt;J51,"——",L48-J51)</f>
        <v>68.45</v>
      </c>
      <c r="M56" s="2764"/>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4"/>
      <c r="F57" s="52"/>
      <c r="I57" s="2383" t="s">
        <v>1712</v>
      </c>
      <c r="J57" s="2384" t="str">
        <f ca="1">IF(OR(M47="住宅",J51&lt;L48,J56="是"),"——",J51-L48)</f>
        <v>——</v>
      </c>
      <c r="K57" s="2364" t="s">
        <v>1717</v>
      </c>
      <c r="L57" s="1567">
        <f ca="1">IF(L48&lt;J51,"——",IF(L55="比较法",L49,IF(L55="基准地价",L50,L51)))</f>
        <v>0</v>
      </c>
      <c r="M57" s="2764"/>
      <c r="O57" s="1957" t="s">
        <v>1733</v>
      </c>
      <c r="P57" s="1958" t="s">
        <v>1763</v>
      </c>
      <c r="Q57" s="1959">
        <f ca="1">C40+J29</f>
        <v>0</v>
      </c>
      <c r="R57" s="1958" t="s">
        <v>1734</v>
      </c>
    </row>
    <row r="58" spans="1:18" s="1672" customFormat="1" ht="28.5" customHeight="1" thickBot="1">
      <c r="A58" s="1369" t="s">
        <v>1353</v>
      </c>
      <c r="B58" s="719" t="s">
        <v>604</v>
      </c>
      <c r="C58" s="2555">
        <f ca="1">ROUND(IF(AND(项目基本情况!B11="自然人",项目基本情况!B10="北京市"),C48*F58/(1+'数据-取费表'!C42),C59+C60+C61),2)</f>
        <v>2.0499999999999998</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2.0499999999999998</v>
      </c>
      <c r="D61" s="748" t="s">
        <v>616</v>
      </c>
      <c r="E61" s="719" t="s">
        <v>617</v>
      </c>
      <c r="F61" s="587">
        <f t="shared" si="0"/>
        <v>0.9</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22772.01</v>
      </c>
      <c r="I62" s="2388" t="s">
        <v>1721</v>
      </c>
      <c r="J62" s="2389" t="s">
        <v>1722</v>
      </c>
      <c r="K62" s="2389" t="s">
        <v>1723</v>
      </c>
      <c r="L62" s="2389" t="s">
        <v>1704</v>
      </c>
      <c r="M62" s="2390" t="s">
        <v>2195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6" t="s">
        <v>1332</v>
      </c>
      <c r="E63" s="719" t="s">
        <v>1276</v>
      </c>
      <c r="F63" s="751">
        <f t="shared" ca="1" si="0"/>
        <v>0</v>
      </c>
      <c r="I63" s="2388" t="s">
        <v>1724</v>
      </c>
      <c r="J63" s="2389">
        <v>70</v>
      </c>
      <c r="K63" s="2389">
        <v>50</v>
      </c>
      <c r="L63" s="2389">
        <v>80</v>
      </c>
      <c r="M63" s="2391">
        <v>0.02</v>
      </c>
      <c r="O63" s="1957" t="s">
        <v>1745</v>
      </c>
      <c r="P63" s="1958" t="s">
        <v>1762</v>
      </c>
      <c r="Q63" s="1959">
        <f ca="1">Q57+Q58</f>
        <v>0</v>
      </c>
      <c r="R63" s="1962" t="s">
        <v>1746</v>
      </c>
    </row>
    <row r="64" spans="1:18" s="1672" customFormat="1" ht="16.5" thickBot="1">
      <c r="A64" s="1369" t="s">
        <v>1415</v>
      </c>
      <c r="B64" s="719" t="s">
        <v>626</v>
      </c>
      <c r="C64" s="49">
        <f ca="1">ROUND(C55*F64,2)</f>
        <v>0</v>
      </c>
      <c r="D64" s="906" t="s">
        <v>627</v>
      </c>
      <c r="E64" s="719" t="s">
        <v>1276</v>
      </c>
      <c r="F64" s="752">
        <f t="shared" ca="1" si="0"/>
        <v>0</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-2</v>
      </c>
      <c r="D66" s="905" t="s">
        <v>647</v>
      </c>
      <c r="E66" s="903"/>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0.05</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40989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2430</v>
      </c>
      <c r="B1" s="2817"/>
      <c r="C1" s="2830"/>
      <c r="D1" s="2830"/>
      <c r="E1" s="2818"/>
      <c r="F1" s="2819"/>
      <c r="G1" s="2820"/>
      <c r="J1" s="2823" t="s">
        <v>2287</v>
      </c>
      <c r="K1" s="2824"/>
      <c r="L1" s="2824"/>
      <c r="M1" s="2824"/>
      <c r="N1" s="2824"/>
      <c r="O1" s="2824"/>
      <c r="P1" s="2824"/>
      <c r="Q1" s="2824"/>
      <c r="R1" s="2825"/>
      <c r="S1" s="2826"/>
      <c r="T1" s="2826"/>
      <c r="U1" s="2826"/>
    </row>
    <row r="2" spans="1:22" s="2839" customFormat="1" ht="13.15" customHeight="1">
      <c r="A2" s="2828" t="s">
        <v>2288</v>
      </c>
      <c r="B2" s="2829" t="e">
        <f>C40</f>
        <v>#DIV/0!</v>
      </c>
      <c r="C2" s="2830" t="s">
        <v>2289</v>
      </c>
      <c r="D2" s="2830"/>
      <c r="E2" s="2831"/>
      <c r="F2" s="2832"/>
      <c r="G2" s="2833"/>
      <c r="H2" s="2834"/>
      <c r="I2" s="2835"/>
      <c r="J2" s="3696" t="s">
        <v>2290</v>
      </c>
      <c r="K2" s="3697"/>
      <c r="L2" s="2836" t="s">
        <v>2291</v>
      </c>
      <c r="M2" s="2836" t="s">
        <v>2292</v>
      </c>
      <c r="N2" s="2836" t="s">
        <v>2293</v>
      </c>
      <c r="O2" s="2836" t="s">
        <v>2294</v>
      </c>
      <c r="P2" s="2836" t="s">
        <v>2295</v>
      </c>
      <c r="Q2" s="2837" t="s">
        <v>2296</v>
      </c>
      <c r="R2" s="2838" t="s">
        <v>2297</v>
      </c>
      <c r="S2" s="2826"/>
      <c r="T2" s="2826"/>
      <c r="U2" s="2826"/>
      <c r="V2" s="2835"/>
    </row>
    <row r="3" spans="1:22" s="2839" customFormat="1" ht="13.15" customHeight="1">
      <c r="A3" s="2840" t="s">
        <v>2298</v>
      </c>
      <c r="B3" s="2841" t="e">
        <f>ROUND(B2*10000/B4,0)</f>
        <v>#DIV/0!</v>
      </c>
      <c r="C3" s="2830" t="s">
        <v>2299</v>
      </c>
      <c r="D3" s="2830"/>
      <c r="E3" s="2831"/>
      <c r="F3" s="2832"/>
      <c r="G3" s="2833"/>
      <c r="H3" s="2834"/>
      <c r="I3" s="2835"/>
      <c r="J3" s="3698" t="s">
        <v>2300</v>
      </c>
      <c r="K3" s="3699"/>
      <c r="L3" s="2842"/>
      <c r="M3" s="2842"/>
      <c r="N3" s="2842"/>
      <c r="O3" s="2842"/>
      <c r="P3" s="2842"/>
      <c r="Q3" s="2843"/>
      <c r="R3" s="2844">
        <f>SUM(L3:Q3)</f>
        <v>0</v>
      </c>
      <c r="S3" s="2826"/>
      <c r="T3" s="2826"/>
      <c r="U3" s="2826"/>
      <c r="V3" s="2835"/>
    </row>
    <row r="4" spans="1:22" s="2839" customFormat="1" ht="13.15" customHeight="1">
      <c r="A4" s="2845" t="s">
        <v>2301</v>
      </c>
      <c r="B4" s="2846"/>
      <c r="C4" s="2830"/>
      <c r="D4" s="2830"/>
      <c r="E4" s="2831"/>
      <c r="F4" s="2832"/>
      <c r="G4" s="2833"/>
      <c r="H4" s="2834"/>
      <c r="I4" s="2835"/>
      <c r="J4" s="3698" t="s">
        <v>2302</v>
      </c>
      <c r="K4" s="3699"/>
      <c r="L4" s="2847"/>
      <c r="M4" s="2847"/>
      <c r="N4" s="2847"/>
      <c r="O4" s="2847"/>
      <c r="P4" s="2847"/>
      <c r="Q4" s="2848"/>
      <c r="R4" s="2849">
        <f>SUM(L4:Q4)</f>
        <v>0</v>
      </c>
      <c r="S4" s="2826"/>
      <c r="T4" s="2826"/>
      <c r="U4" s="2826"/>
      <c r="V4" s="2835"/>
    </row>
    <row r="5" spans="1:22" s="2839" customFormat="1" ht="13.15" customHeight="1" thickBot="1">
      <c r="A5" s="2850" t="s">
        <v>2303</v>
      </c>
      <c r="B5" s="2851"/>
      <c r="C5" s="2830"/>
      <c r="D5" s="2852"/>
      <c r="E5" s="2832"/>
      <c r="F5" s="2832"/>
      <c r="G5" s="2833"/>
      <c r="H5" s="2834"/>
      <c r="I5" s="2835"/>
      <c r="J5" s="2853" t="s">
        <v>2304</v>
      </c>
      <c r="K5" s="2854"/>
      <c r="L5" s="2854"/>
      <c r="M5" s="2855"/>
      <c r="N5" s="2855"/>
      <c r="O5" s="2855"/>
      <c r="P5" s="2855"/>
      <c r="Q5" s="2855"/>
      <c r="R5" s="2838">
        <f>SUM(R14,R19,R24,R25,R27,R28)</f>
        <v>0</v>
      </c>
      <c r="S5" s="2826"/>
      <c r="T5" s="2826" t="s">
        <v>2305</v>
      </c>
      <c r="U5" s="2826" t="e">
        <f>ROUND(R5*10000/365/R3,1)</f>
        <v>#DIV/0!</v>
      </c>
      <c r="V5" s="2835"/>
    </row>
    <row r="6" spans="1:22" s="2839" customFormat="1" ht="13.15" customHeight="1" thickBot="1">
      <c r="A6" s="3700" t="s">
        <v>2306</v>
      </c>
      <c r="B6" s="3701"/>
      <c r="C6" s="3702"/>
      <c r="D6" s="2856"/>
      <c r="E6" s="2857"/>
      <c r="F6" s="2858"/>
      <c r="G6" s="2859"/>
      <c r="H6" s="2834"/>
      <c r="I6" s="2835"/>
      <c r="J6" s="3703">
        <v>1</v>
      </c>
      <c r="K6" s="3704" t="s">
        <v>2307</v>
      </c>
      <c r="L6" s="2860" t="s">
        <v>2308</v>
      </c>
      <c r="M6" s="2861" t="s">
        <v>2309</v>
      </c>
      <c r="N6" s="2861" t="s">
        <v>2310</v>
      </c>
      <c r="O6" s="2861" t="s">
        <v>2311</v>
      </c>
      <c r="P6" s="2861" t="s">
        <v>2312</v>
      </c>
      <c r="Q6" s="2861" t="s">
        <v>2313</v>
      </c>
      <c r="R6" s="2844" t="s">
        <v>2314</v>
      </c>
      <c r="S6" s="2826"/>
      <c r="T6" s="2826" t="s">
        <v>2315</v>
      </c>
      <c r="U6" s="2826"/>
      <c r="V6" s="2835"/>
    </row>
    <row r="7" spans="1:22" s="2839" customFormat="1" ht="13.15" customHeight="1">
      <c r="A7" s="2862" t="s">
        <v>2316</v>
      </c>
      <c r="B7" s="2863"/>
      <c r="C7" s="2864"/>
      <c r="D7" s="2865">
        <f>SUM(D9,D10,D11,D17,0)</f>
        <v>0</v>
      </c>
      <c r="E7" s="2866" t="e">
        <f>E9+E10+E11+E17</f>
        <v>#DIV/0!</v>
      </c>
      <c r="F7" s="2867"/>
      <c r="G7" s="2868"/>
      <c r="H7" s="2834"/>
      <c r="I7" s="2835"/>
      <c r="J7" s="3703"/>
      <c r="K7" s="3705"/>
      <c r="L7" s="2869" t="s">
        <v>2317</v>
      </c>
      <c r="M7" s="2870"/>
      <c r="N7" s="2846"/>
      <c r="O7" s="2871"/>
      <c r="P7" s="2871"/>
      <c r="Q7" s="2872">
        <v>365</v>
      </c>
      <c r="R7" s="2873">
        <f>ROUND(M7*N7*O7*P7*Q7/10000,0)</f>
        <v>0</v>
      </c>
      <c r="S7" s="2826"/>
      <c r="T7" s="2826" t="s">
        <v>2318</v>
      </c>
      <c r="U7" s="2826"/>
      <c r="V7" s="2835"/>
    </row>
    <row r="8" spans="1:22" s="2839" customFormat="1" ht="13.15" customHeight="1">
      <c r="A8" s="2874" t="s">
        <v>2319</v>
      </c>
      <c r="B8" s="3707" t="s">
        <v>2320</v>
      </c>
      <c r="C8" s="3708"/>
      <c r="D8" s="2875" t="s">
        <v>2321</v>
      </c>
      <c r="E8" s="2876" t="s">
        <v>2322</v>
      </c>
      <c r="F8" s="2877" t="s">
        <v>2323</v>
      </c>
      <c r="G8" s="2878"/>
      <c r="H8" s="2834"/>
      <c r="I8" s="2835"/>
      <c r="J8" s="3703"/>
      <c r="K8" s="3705"/>
      <c r="L8" s="2869" t="s">
        <v>2324</v>
      </c>
      <c r="M8" s="2870"/>
      <c r="N8" s="2846"/>
      <c r="O8" s="2871"/>
      <c r="P8" s="2871"/>
      <c r="Q8" s="2872">
        <v>365</v>
      </c>
      <c r="R8" s="2873">
        <f t="shared" ref="R8:R13" si="0">ROUND(M8*N8*O8*P8*Q8/10000,0)</f>
        <v>0</v>
      </c>
      <c r="S8" s="2826"/>
      <c r="T8" s="2826" t="s">
        <v>2325</v>
      </c>
      <c r="U8" s="2826"/>
      <c r="V8" s="2835"/>
    </row>
    <row r="9" spans="1:22" s="2839" customFormat="1" ht="13.15" customHeight="1">
      <c r="A9" s="2874">
        <v>1</v>
      </c>
      <c r="B9" s="3707" t="s">
        <v>2326</v>
      </c>
      <c r="C9" s="3708"/>
      <c r="D9" s="2875">
        <f>ROUND(D6*E9,0)</f>
        <v>0</v>
      </c>
      <c r="E9" s="2879"/>
      <c r="F9" s="2880" t="s">
        <v>2327</v>
      </c>
      <c r="G9" s="2859"/>
      <c r="H9" s="2834"/>
      <c r="I9" s="2835"/>
      <c r="J9" s="3703"/>
      <c r="K9" s="3705"/>
      <c r="L9" s="2869" t="s">
        <v>2328</v>
      </c>
      <c r="M9" s="2870"/>
      <c r="N9" s="2846"/>
      <c r="O9" s="2871"/>
      <c r="P9" s="2871"/>
      <c r="Q9" s="2872">
        <v>365</v>
      </c>
      <c r="R9" s="2873">
        <f t="shared" si="0"/>
        <v>0</v>
      </c>
      <c r="S9" s="2826"/>
      <c r="T9" s="2826"/>
      <c r="U9" s="2826"/>
      <c r="V9" s="2835"/>
    </row>
    <row r="10" spans="1:22" s="2839" customFormat="1" ht="13.15" customHeight="1">
      <c r="A10" s="2874">
        <v>2</v>
      </c>
      <c r="B10" s="3707" t="s">
        <v>2329</v>
      </c>
      <c r="C10" s="3708"/>
      <c r="D10" s="2875">
        <f>ROUND(D6*E10,0)</f>
        <v>0</v>
      </c>
      <c r="E10" s="2879"/>
      <c r="F10" s="2880" t="s">
        <v>2330</v>
      </c>
      <c r="G10" s="2859"/>
      <c r="H10" s="2834"/>
      <c r="I10" s="2835"/>
      <c r="J10" s="3703"/>
      <c r="K10" s="3705"/>
      <c r="L10" s="2869" t="s">
        <v>2331</v>
      </c>
      <c r="M10" s="2870"/>
      <c r="N10" s="2846"/>
      <c r="O10" s="2871"/>
      <c r="P10" s="2871"/>
      <c r="Q10" s="2872">
        <v>365</v>
      </c>
      <c r="R10" s="2873">
        <f t="shared" si="0"/>
        <v>0</v>
      </c>
      <c r="S10" s="2826"/>
      <c r="T10" s="2826"/>
      <c r="U10" s="2826"/>
      <c r="V10" s="2835"/>
    </row>
    <row r="11" spans="1:22" s="2839" customFormat="1" ht="13.15" customHeight="1">
      <c r="A11" s="2874">
        <v>3</v>
      </c>
      <c r="B11" s="3707" t="s">
        <v>2332</v>
      </c>
      <c r="C11" s="3708"/>
      <c r="D11" s="2875">
        <f>D12+D14+D15+D16</f>
        <v>0</v>
      </c>
      <c r="E11" s="2881" t="e">
        <f>D11/D6</f>
        <v>#DIV/0!</v>
      </c>
      <c r="F11" s="2877"/>
      <c r="G11" s="2878"/>
      <c r="H11" s="2834"/>
      <c r="I11" s="2835"/>
      <c r="J11" s="3703"/>
      <c r="K11" s="3705"/>
      <c r="L11" s="2869" t="s">
        <v>2333</v>
      </c>
      <c r="M11" s="2870"/>
      <c r="N11" s="2846"/>
      <c r="O11" s="2871"/>
      <c r="P11" s="2871"/>
      <c r="Q11" s="2872">
        <v>365</v>
      </c>
      <c r="R11" s="2873">
        <f t="shared" si="0"/>
        <v>0</v>
      </c>
      <c r="S11" s="2826"/>
      <c r="T11" s="2826"/>
      <c r="U11" s="2826"/>
      <c r="V11" s="2835"/>
    </row>
    <row r="12" spans="1:22" s="2839" customFormat="1" ht="13.15" customHeight="1">
      <c r="A12" s="2882" t="s">
        <v>2334</v>
      </c>
      <c r="B12" s="3709" t="s">
        <v>2335</v>
      </c>
      <c r="C12" s="3710"/>
      <c r="D12" s="2883">
        <f>ROUND(D13*1.2%*(1-30%),0)</f>
        <v>0</v>
      </c>
      <c r="E12" s="2884">
        <v>1.2E-2</v>
      </c>
      <c r="F12" s="2877" t="s">
        <v>2336</v>
      </c>
      <c r="G12" s="2878"/>
      <c r="H12" s="2834"/>
      <c r="I12" s="2835"/>
      <c r="J12" s="3703"/>
      <c r="K12" s="3705"/>
      <c r="L12" s="2869" t="s">
        <v>2337</v>
      </c>
      <c r="M12" s="2870"/>
      <c r="N12" s="2846"/>
      <c r="O12" s="2871"/>
      <c r="P12" s="2871"/>
      <c r="Q12" s="2872">
        <v>365</v>
      </c>
      <c r="R12" s="2873">
        <f t="shared" si="0"/>
        <v>0</v>
      </c>
      <c r="S12" s="2826"/>
      <c r="T12" s="2826"/>
      <c r="U12" s="2826"/>
      <c r="V12" s="2835"/>
    </row>
    <row r="13" spans="1:22" s="2839" customFormat="1" ht="13.15" customHeight="1">
      <c r="A13" s="2882"/>
      <c r="B13" s="2885"/>
      <c r="C13" s="2886" t="s">
        <v>2338</v>
      </c>
      <c r="D13" s="2887"/>
      <c r="E13" s="2888"/>
      <c r="F13" s="2877"/>
      <c r="G13" s="2878"/>
      <c r="H13" s="2834"/>
      <c r="I13" s="2835"/>
      <c r="J13" s="3703"/>
      <c r="K13" s="3705"/>
      <c r="L13" s="2869" t="s">
        <v>2339</v>
      </c>
      <c r="M13" s="2870"/>
      <c r="N13" s="2846"/>
      <c r="O13" s="2871"/>
      <c r="P13" s="2871"/>
      <c r="Q13" s="2872">
        <v>365</v>
      </c>
      <c r="R13" s="2873">
        <f t="shared" si="0"/>
        <v>0</v>
      </c>
      <c r="S13" s="2826"/>
      <c r="T13" s="2826"/>
      <c r="U13" s="2826"/>
      <c r="V13" s="2835"/>
    </row>
    <row r="14" spans="1:22" s="2839" customFormat="1" ht="13.15" customHeight="1">
      <c r="A14" s="2882" t="s">
        <v>2340</v>
      </c>
      <c r="B14" s="3709" t="s">
        <v>2341</v>
      </c>
      <c r="C14" s="3710"/>
      <c r="D14" s="2883">
        <f>ROUND(E14*B5/10000,0)</f>
        <v>0</v>
      </c>
      <c r="E14" s="2872"/>
      <c r="F14" s="2877" t="s">
        <v>2342</v>
      </c>
      <c r="G14" s="2878"/>
      <c r="H14" s="2834"/>
      <c r="I14" s="2835"/>
      <c r="J14" s="3703"/>
      <c r="K14" s="3706"/>
      <c r="L14" s="2889" t="s">
        <v>2343</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2344</v>
      </c>
      <c r="B15" s="3709" t="s">
        <v>2345</v>
      </c>
      <c r="C15" s="3710"/>
      <c r="D15" s="2883">
        <f>ROUND(D6*E15,0)</f>
        <v>0</v>
      </c>
      <c r="E15" s="2884">
        <v>5.5E-2</v>
      </c>
      <c r="F15" s="2877" t="s">
        <v>2346</v>
      </c>
      <c r="G15" s="2859"/>
      <c r="H15" s="2834"/>
      <c r="I15" s="2835"/>
      <c r="J15" s="3703">
        <v>2</v>
      </c>
      <c r="K15" s="3704" t="s">
        <v>2347</v>
      </c>
      <c r="L15" s="2869" t="s">
        <v>2348</v>
      </c>
      <c r="M15" s="2870" t="s">
        <v>2349</v>
      </c>
      <c r="N15" s="2870" t="s">
        <v>2350</v>
      </c>
      <c r="O15" s="2871" t="s">
        <v>2351</v>
      </c>
      <c r="P15" s="2871" t="s">
        <v>2352</v>
      </c>
      <c r="Q15" s="2846" t="s">
        <v>2353</v>
      </c>
      <c r="R15" s="2893" t="s">
        <v>2354</v>
      </c>
      <c r="S15" s="2826"/>
      <c r="T15" s="2826"/>
      <c r="U15" s="2826"/>
      <c r="V15" s="2835"/>
    </row>
    <row r="16" spans="1:22" s="2839" customFormat="1" ht="13.15" customHeight="1">
      <c r="A16" s="2882" t="s">
        <v>2355</v>
      </c>
      <c r="B16" s="3709" t="s">
        <v>2356</v>
      </c>
      <c r="C16" s="3710"/>
      <c r="D16" s="2894">
        <f>D6*E16</f>
        <v>0</v>
      </c>
      <c r="E16" s="2895"/>
      <c r="F16" s="2880" t="s">
        <v>2357</v>
      </c>
      <c r="G16" s="2859"/>
      <c r="H16" s="2834"/>
      <c r="I16" s="2835"/>
      <c r="J16" s="3703"/>
      <c r="K16" s="3705"/>
      <c r="L16" s="2869" t="s">
        <v>2358</v>
      </c>
      <c r="M16" s="2870"/>
      <c r="N16" s="2870"/>
      <c r="O16" s="2871"/>
      <c r="P16" s="2872">
        <v>365</v>
      </c>
      <c r="Q16" s="2846"/>
      <c r="R16" s="2893">
        <f>ROUND(M16*N16*O16*P16/10000,0)</f>
        <v>0</v>
      </c>
      <c r="S16" s="2826"/>
      <c r="T16" s="2826"/>
      <c r="U16" s="2826"/>
      <c r="V16" s="2835"/>
    </row>
    <row r="17" spans="1:22" s="2839" customFormat="1" ht="13.15" customHeight="1" thickBot="1">
      <c r="A17" s="2896">
        <v>4</v>
      </c>
      <c r="B17" s="3711" t="s">
        <v>2359</v>
      </c>
      <c r="C17" s="3712"/>
      <c r="D17" s="2897">
        <f>ROUND(D6*E17,0)</f>
        <v>0</v>
      </c>
      <c r="E17" s="2898"/>
      <c r="F17" s="2899" t="s">
        <v>2360</v>
      </c>
      <c r="G17" s="2859"/>
      <c r="H17" s="2834"/>
      <c r="I17" s="2835"/>
      <c r="J17" s="3703"/>
      <c r="K17" s="3705"/>
      <c r="L17" s="2869" t="s">
        <v>2361</v>
      </c>
      <c r="M17" s="2870"/>
      <c r="N17" s="2870"/>
      <c r="O17" s="2871"/>
      <c r="P17" s="2872">
        <v>365</v>
      </c>
      <c r="Q17" s="2846"/>
      <c r="R17" s="2893">
        <f>ROUND(M17*N17*O17*P17/10000,0)</f>
        <v>0</v>
      </c>
      <c r="S17" s="2826"/>
      <c r="T17" s="2826"/>
      <c r="U17" s="2826"/>
      <c r="V17" s="2835"/>
    </row>
    <row r="18" spans="1:22" s="2839" customFormat="1" ht="13.15" customHeight="1" thickBot="1">
      <c r="A18" s="2862" t="s">
        <v>2362</v>
      </c>
      <c r="B18" s="2863"/>
      <c r="C18" s="2863"/>
      <c r="D18" s="2900">
        <f>ROUND(D6*E18,0)</f>
        <v>0</v>
      </c>
      <c r="E18" s="2901"/>
      <c r="F18" s="2902" t="s">
        <v>2363</v>
      </c>
      <c r="G18" s="2859"/>
      <c r="H18" s="2834"/>
      <c r="I18" s="2835"/>
      <c r="J18" s="3703"/>
      <c r="K18" s="3705"/>
      <c r="L18" s="2869" t="s">
        <v>2364</v>
      </c>
      <c r="M18" s="2870"/>
      <c r="N18" s="2870"/>
      <c r="O18" s="2871"/>
      <c r="P18" s="2872">
        <v>365</v>
      </c>
      <c r="Q18" s="2846"/>
      <c r="R18" s="2893">
        <f>ROUND(M18*N18*O18*P18/10000,0)</f>
        <v>0</v>
      </c>
      <c r="S18" s="2826"/>
      <c r="T18" s="2826"/>
      <c r="U18" s="2826"/>
      <c r="V18" s="2835"/>
    </row>
    <row r="19" spans="1:22" s="2839" customFormat="1" ht="13.15" customHeight="1" thickBot="1">
      <c r="A19" s="2903" t="s">
        <v>2365</v>
      </c>
      <c r="B19" s="2857"/>
      <c r="C19" s="2857"/>
      <c r="D19" s="2857"/>
      <c r="E19" s="2857"/>
      <c r="F19" s="2858"/>
      <c r="G19" s="2878"/>
      <c r="H19" s="2834"/>
      <c r="I19" s="2835"/>
      <c r="J19" s="3703"/>
      <c r="K19" s="3706"/>
      <c r="L19" s="2889" t="s">
        <v>2343</v>
      </c>
      <c r="M19" s="2890"/>
      <c r="N19" s="2890">
        <f>SUM(N16:N18)</f>
        <v>0</v>
      </c>
      <c r="O19" s="2891"/>
      <c r="P19" s="2904" t="s">
        <v>2431</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3">
        <v>3</v>
      </c>
      <c r="K20" s="3704" t="s">
        <v>2366</v>
      </c>
      <c r="L20" s="2869" t="s">
        <v>2367</v>
      </c>
      <c r="M20" s="2870" t="s">
        <v>2368</v>
      </c>
      <c r="N20" s="2907" t="s">
        <v>2369</v>
      </c>
      <c r="O20" s="2871" t="s">
        <v>2370</v>
      </c>
      <c r="P20" s="2872" t="s">
        <v>2371</v>
      </c>
      <c r="Q20" s="2846" t="s">
        <v>2372</v>
      </c>
      <c r="R20" s="2893" t="s">
        <v>2314</v>
      </c>
      <c r="S20" s="2826"/>
      <c r="T20" s="2826"/>
      <c r="U20" s="2826"/>
      <c r="V20" s="2835"/>
    </row>
    <row r="21" spans="1:22" s="2839" customFormat="1" ht="13.15" customHeight="1">
      <c r="A21" s="2862"/>
      <c r="B21" s="2863"/>
      <c r="C21" s="2908" t="s">
        <v>2373</v>
      </c>
      <c r="D21" s="2909" t="s">
        <v>2374</v>
      </c>
      <c r="E21" s="2910" t="s">
        <v>2375</v>
      </c>
      <c r="F21" s="2906"/>
      <c r="G21" s="2878"/>
      <c r="H21" s="2834"/>
      <c r="I21" s="2835"/>
      <c r="J21" s="3703"/>
      <c r="K21" s="3705"/>
      <c r="L21" s="2869" t="s">
        <v>2376</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2377</v>
      </c>
      <c r="D22" s="2913" t="s">
        <v>2378</v>
      </c>
      <c r="E22" s="2914" t="s">
        <v>2379</v>
      </c>
      <c r="F22" s="2906"/>
      <c r="G22" s="2826"/>
      <c r="H22" s="2834"/>
      <c r="I22" s="2835"/>
      <c r="J22" s="3703"/>
      <c r="K22" s="3705"/>
      <c r="L22" s="2869" t="s">
        <v>2380</v>
      </c>
      <c r="M22" s="2870"/>
      <c r="N22" s="2870"/>
      <c r="O22" s="2871"/>
      <c r="P22" s="2872">
        <v>365</v>
      </c>
      <c r="Q22" s="2846"/>
      <c r="R22" s="2911">
        <f>ROUND(M22*N22*O22*P22/10000,0)</f>
        <v>0</v>
      </c>
      <c r="S22" s="2826"/>
      <c r="T22" s="2826"/>
      <c r="U22" s="2826"/>
      <c r="V22" s="2835"/>
    </row>
    <row r="23" spans="1:22" s="2839" customFormat="1" ht="13.15" customHeight="1">
      <c r="A23" s="2915">
        <v>1</v>
      </c>
      <c r="B23" s="2916" t="s">
        <v>2381</v>
      </c>
      <c r="C23" s="2917">
        <f>D6</f>
        <v>0</v>
      </c>
      <c r="D23" s="2918">
        <f>C23*(1+D24)</f>
        <v>0</v>
      </c>
      <c r="E23" s="2919">
        <f>D23*(1+E24)</f>
        <v>0</v>
      </c>
      <c r="F23" s="2920"/>
      <c r="G23" s="2921"/>
      <c r="H23" s="2834"/>
      <c r="I23" s="2835"/>
      <c r="J23" s="3703"/>
      <c r="K23" s="3705"/>
      <c r="L23" s="2869" t="s">
        <v>2382</v>
      </c>
      <c r="M23" s="2870"/>
      <c r="N23" s="2870"/>
      <c r="O23" s="2871"/>
      <c r="P23" s="2872">
        <v>365</v>
      </c>
      <c r="Q23" s="2846"/>
      <c r="R23" s="2911">
        <f>ROUND(M23*N23*O23*P23/10000,0)</f>
        <v>0</v>
      </c>
      <c r="S23" s="2826"/>
      <c r="T23" s="2826"/>
      <c r="U23" s="2826"/>
      <c r="V23" s="2835"/>
    </row>
    <row r="24" spans="1:22" s="2839" customFormat="1" ht="13.15" customHeight="1">
      <c r="A24" s="2922"/>
      <c r="B24" s="2923" t="s">
        <v>2383</v>
      </c>
      <c r="C24" s="2924"/>
      <c r="D24" s="2925"/>
      <c r="E24" s="2926"/>
      <c r="F24" s="2927"/>
      <c r="G24" s="2921"/>
      <c r="H24" s="2834"/>
      <c r="I24" s="2835"/>
      <c r="J24" s="3703"/>
      <c r="K24" s="3706"/>
      <c r="L24" s="2889" t="s">
        <v>2343</v>
      </c>
      <c r="M24" s="2890">
        <f>SUM(M21:M23)</f>
        <v>0</v>
      </c>
      <c r="N24" s="2890"/>
      <c r="O24" s="2891"/>
      <c r="P24" s="2904" t="s">
        <v>2431</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2384</v>
      </c>
      <c r="L25" s="2930"/>
      <c r="M25" s="2930"/>
      <c r="N25" s="2930"/>
      <c r="O25" s="2930"/>
      <c r="P25" s="2931"/>
      <c r="Q25" s="2932"/>
      <c r="R25" s="2905">
        <f>ROUND(R14*Q25,0)</f>
        <v>0</v>
      </c>
      <c r="S25" s="2826"/>
      <c r="T25" s="2826"/>
      <c r="U25" s="2826"/>
      <c r="V25" s="2933"/>
    </row>
    <row r="26" spans="1:22" s="2934" customFormat="1" ht="13.15" customHeight="1">
      <c r="A26" s="2915">
        <v>2</v>
      </c>
      <c r="B26" s="2916" t="s">
        <v>2385</v>
      </c>
      <c r="C26" s="2917">
        <f>D7</f>
        <v>0</v>
      </c>
      <c r="D26" s="2918">
        <f>D23*D27</f>
        <v>0</v>
      </c>
      <c r="E26" s="2919">
        <f>E23*E27</f>
        <v>0</v>
      </c>
      <c r="F26" s="2920"/>
      <c r="G26" s="2921"/>
      <c r="H26" s="2834"/>
      <c r="I26" s="2835"/>
      <c r="J26" s="3713">
        <v>5</v>
      </c>
      <c r="K26" s="2935" t="s">
        <v>2386</v>
      </c>
      <c r="L26" s="2936"/>
      <c r="M26" s="2937"/>
      <c r="N26" s="2938" t="s">
        <v>2387</v>
      </c>
      <c r="O26" s="2938" t="s">
        <v>2388</v>
      </c>
      <c r="P26" s="2939" t="s">
        <v>2389</v>
      </c>
      <c r="Q26" s="2939" t="s">
        <v>2390</v>
      </c>
      <c r="R26" s="2844" t="s">
        <v>2391</v>
      </c>
      <c r="S26" s="2878"/>
      <c r="T26" s="2878"/>
      <c r="U26" s="2878"/>
      <c r="V26" s="2933"/>
    </row>
    <row r="27" spans="1:22" s="2839" customFormat="1" ht="13.15" customHeight="1">
      <c r="A27" s="2922"/>
      <c r="B27" s="2923" t="s">
        <v>2392</v>
      </c>
      <c r="C27" s="2940" t="e">
        <f>E7</f>
        <v>#DIV/0!</v>
      </c>
      <c r="D27" s="2925"/>
      <c r="E27" s="2926"/>
      <c r="F27" s="2927"/>
      <c r="G27" s="2921"/>
      <c r="H27" s="2941"/>
      <c r="I27" s="2933"/>
      <c r="J27" s="3714"/>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2393</v>
      </c>
      <c r="F28" s="2927"/>
      <c r="G28" s="2826"/>
      <c r="H28" s="2941"/>
      <c r="I28" s="2933"/>
      <c r="J28" s="2947">
        <v>6</v>
      </c>
      <c r="K28" s="2948" t="s">
        <v>2394</v>
      </c>
      <c r="L28" s="2949" t="s">
        <v>2395</v>
      </c>
      <c r="M28" s="2950"/>
      <c r="N28" s="2949" t="s">
        <v>2396</v>
      </c>
      <c r="O28" s="2951"/>
      <c r="P28" s="2949" t="s">
        <v>2397</v>
      </c>
      <c r="Q28" s="2952">
        <v>1.4999999999999999E-2</v>
      </c>
      <c r="R28" s="2953"/>
      <c r="S28" s="2826"/>
      <c r="T28" s="2826"/>
      <c r="U28" s="2826"/>
      <c r="V28" s="2933"/>
    </row>
    <row r="29" spans="1:22" s="2934" customFormat="1" ht="13.15" customHeight="1">
      <c r="A29" s="2915">
        <v>3</v>
      </c>
      <c r="B29" s="2916" t="s">
        <v>2398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2399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2400</v>
      </c>
      <c r="K31" s="2824"/>
      <c r="L31" s="2824"/>
      <c r="M31" s="2824"/>
      <c r="N31" s="2824"/>
      <c r="O31" s="2824"/>
      <c r="P31" s="2824"/>
      <c r="Q31" s="2824"/>
      <c r="R31" s="2825"/>
      <c r="S31" s="2826"/>
      <c r="T31" s="2826"/>
      <c r="U31" s="2826"/>
      <c r="V31" s="2933"/>
    </row>
    <row r="32" spans="1:22" s="2934" customFormat="1" ht="13.15" customHeight="1">
      <c r="A32" s="2915">
        <v>4</v>
      </c>
      <c r="B32" s="2916" t="s">
        <v>2401</v>
      </c>
      <c r="C32" s="2917">
        <f>C23-C26-C29</f>
        <v>0</v>
      </c>
      <c r="D32" s="2918">
        <f>D23-D26-D29</f>
        <v>0</v>
      </c>
      <c r="E32" s="2919">
        <f>E23-E26-E29</f>
        <v>0</v>
      </c>
      <c r="F32" s="2920"/>
      <c r="G32" s="2826"/>
      <c r="H32" s="2834"/>
      <c r="I32" s="2835"/>
      <c r="J32" s="3696" t="s">
        <v>2402</v>
      </c>
      <c r="K32" s="3697"/>
      <c r="L32" s="2836" t="s">
        <v>2403</v>
      </c>
      <c r="M32" s="2836" t="s">
        <v>2292</v>
      </c>
      <c r="N32" s="2836" t="s">
        <v>2293</v>
      </c>
      <c r="O32" s="2836" t="s">
        <v>2294</v>
      </c>
      <c r="P32" s="2836" t="s">
        <v>2295</v>
      </c>
      <c r="Q32" s="2837" t="s">
        <v>2404</v>
      </c>
      <c r="R32" s="2956" t="s">
        <v>2405</v>
      </c>
      <c r="S32" s="2826"/>
      <c r="T32" s="2826"/>
      <c r="U32" s="2826"/>
      <c r="V32" s="2933"/>
    </row>
    <row r="33" spans="1:23" s="2839" customFormat="1" ht="13.15" customHeight="1">
      <c r="A33" s="2915"/>
      <c r="B33" s="2916"/>
      <c r="C33" s="2917"/>
      <c r="D33" s="2957"/>
      <c r="E33" s="2958"/>
      <c r="F33" s="2920"/>
      <c r="G33" s="2826"/>
      <c r="H33" s="2941"/>
      <c r="I33" s="2933"/>
      <c r="J33" s="3698" t="s">
        <v>2406</v>
      </c>
      <c r="K33" s="3699"/>
      <c r="L33" s="2842"/>
      <c r="M33" s="2842"/>
      <c r="N33" s="2842"/>
      <c r="O33" s="2842"/>
      <c r="P33" s="2842"/>
      <c r="Q33" s="2843"/>
      <c r="R33" s="2959">
        <f>SUM(L33:Q33)</f>
        <v>0</v>
      </c>
      <c r="S33" s="2826"/>
      <c r="T33" s="2826"/>
      <c r="U33" s="2826"/>
      <c r="V33" s="2835"/>
    </row>
    <row r="34" spans="1:23" s="2839" customFormat="1" ht="13.15" customHeight="1">
      <c r="A34" s="2915">
        <v>5</v>
      </c>
      <c r="B34" s="2916" t="s">
        <v>2407</v>
      </c>
      <c r="C34" s="2960"/>
      <c r="D34" s="2961"/>
      <c r="E34" s="2962"/>
      <c r="F34" s="2920"/>
      <c r="G34" s="2826"/>
      <c r="H34" s="2941"/>
      <c r="I34" s="2933"/>
      <c r="J34" s="3698" t="s">
        <v>2408</v>
      </c>
      <c r="K34" s="3699"/>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2409</v>
      </c>
      <c r="C35" s="2964"/>
      <c r="D35" s="2965"/>
      <c r="E35" s="2966"/>
      <c r="F35" s="2920"/>
      <c r="G35" s="2967"/>
      <c r="H35" s="2834"/>
      <c r="I35" s="2933"/>
      <c r="J35" s="2853" t="s">
        <v>2410</v>
      </c>
      <c r="K35" s="2854"/>
      <c r="L35" s="2854"/>
      <c r="M35" s="2855"/>
      <c r="N35" s="2855"/>
      <c r="O35" s="2855"/>
      <c r="P35" s="2855"/>
      <c r="Q35" s="2855"/>
      <c r="R35" s="2968">
        <f>R40+R41+R43</f>
        <v>0</v>
      </c>
      <c r="S35" s="2826"/>
      <c r="T35" s="2826" t="s">
        <v>2411</v>
      </c>
      <c r="U35" s="2826"/>
      <c r="V35" s="2835"/>
    </row>
    <row r="36" spans="1:23" s="2839" customFormat="1" ht="13.15" customHeight="1" thickBot="1">
      <c r="A36" s="2915">
        <v>7</v>
      </c>
      <c r="B36" s="2969" t="s">
        <v>2412</v>
      </c>
      <c r="C36" s="2970"/>
      <c r="D36" s="2971"/>
      <c r="E36" s="2972"/>
      <c r="F36" s="2973">
        <f>C36+D36+E36</f>
        <v>0</v>
      </c>
      <c r="G36" s="2826"/>
      <c r="H36" s="2834"/>
      <c r="I36" s="2835"/>
      <c r="J36" s="3703">
        <v>1</v>
      </c>
      <c r="K36" s="3704" t="s">
        <v>2413</v>
      </c>
      <c r="L36" s="2860"/>
      <c r="M36" s="2861"/>
      <c r="N36" s="2861"/>
      <c r="O36" s="2861"/>
      <c r="P36" s="2861"/>
      <c r="Q36" s="2861"/>
      <c r="R36" s="2844" t="s">
        <v>2314</v>
      </c>
      <c r="S36" s="2826"/>
      <c r="T36" s="2826" t="s">
        <v>2315</v>
      </c>
      <c r="U36" s="2826"/>
      <c r="V36" s="2835"/>
    </row>
    <row r="37" spans="1:23" s="2839" customFormat="1" ht="13.15" customHeight="1">
      <c r="A37" s="2915"/>
      <c r="B37" s="2916"/>
      <c r="C37" s="2916"/>
      <c r="D37" s="2916"/>
      <c r="E37" s="2916"/>
      <c r="F37" s="2920"/>
      <c r="G37" s="2826"/>
      <c r="H37" s="2834"/>
      <c r="I37" s="2835"/>
      <c r="J37" s="3703"/>
      <c r="K37" s="3705"/>
      <c r="L37" s="2869"/>
      <c r="M37" s="2870"/>
      <c r="N37" s="2846"/>
      <c r="O37" s="2871"/>
      <c r="P37" s="2871"/>
      <c r="Q37" s="2872"/>
      <c r="R37" s="2873"/>
      <c r="S37" s="2826"/>
      <c r="T37" s="2826" t="s">
        <v>2318</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3"/>
      <c r="K38" s="3705"/>
      <c r="L38" s="2869"/>
      <c r="M38" s="2870"/>
      <c r="N38" s="2846"/>
      <c r="O38" s="2871"/>
      <c r="P38" s="2871"/>
      <c r="Q38" s="2872"/>
      <c r="R38" s="2873"/>
      <c r="S38" s="2826"/>
      <c r="T38" s="2826" t="s">
        <v>2325</v>
      </c>
      <c r="U38" s="2826"/>
      <c r="V38" s="2835"/>
    </row>
    <row r="39" spans="1:23" s="2839" customFormat="1" ht="13.15" customHeight="1">
      <c r="A39" s="2915">
        <v>9</v>
      </c>
      <c r="B39" s="2916" t="s">
        <v>2414</v>
      </c>
      <c r="C39" s="2883" t="e">
        <f>C38</f>
        <v>#DIV/0!</v>
      </c>
      <c r="D39" s="2916">
        <f>D38/(1+D34)^C36</f>
        <v>0</v>
      </c>
      <c r="E39" s="2916">
        <f>E38/(1+E34)^(C36+D36)</f>
        <v>0</v>
      </c>
      <c r="F39" s="2920"/>
      <c r="G39" s="2835"/>
      <c r="H39" s="2834"/>
      <c r="I39" s="2835"/>
      <c r="J39" s="3703"/>
      <c r="K39" s="3705"/>
      <c r="L39" s="2869"/>
      <c r="M39" s="2870"/>
      <c r="N39" s="2846"/>
      <c r="O39" s="2871"/>
      <c r="P39" s="2871"/>
      <c r="Q39" s="2872"/>
      <c r="R39" s="2873"/>
      <c r="S39" s="2826"/>
      <c r="T39" s="2826"/>
      <c r="U39" s="2826"/>
      <c r="V39" s="2835"/>
    </row>
    <row r="40" spans="1:23" s="2839" customFormat="1" ht="13.15" customHeight="1">
      <c r="A40" s="2974">
        <v>10</v>
      </c>
      <c r="B40" s="2916" t="s">
        <v>2415</v>
      </c>
      <c r="C40" s="2975" t="e">
        <f>C39+D39+E39</f>
        <v>#DIV/0!</v>
      </c>
      <c r="D40" s="2976"/>
      <c r="E40" s="2976"/>
      <c r="F40" s="2977"/>
      <c r="G40" s="2826"/>
      <c r="H40" s="2834"/>
      <c r="I40" s="2835"/>
      <c r="J40" s="3703"/>
      <c r="K40" s="3706"/>
      <c r="L40" s="2889" t="s">
        <v>2416</v>
      </c>
      <c r="M40" s="2890"/>
      <c r="N40" s="2890"/>
      <c r="O40" s="2891"/>
      <c r="P40" s="2891"/>
      <c r="Q40" s="2892"/>
      <c r="R40" s="2838">
        <f>SUM(R37:R39)</f>
        <v>0</v>
      </c>
      <c r="S40" s="2826"/>
      <c r="T40" s="2826"/>
      <c r="U40" s="2826"/>
      <c r="V40" s="2835"/>
    </row>
    <row r="41" spans="1:23" s="2839" customFormat="1" ht="13.15" customHeight="1" thickBot="1">
      <c r="A41" s="2978">
        <v>11</v>
      </c>
      <c r="B41" s="2979" t="s">
        <v>2417</v>
      </c>
      <c r="C41" s="2979" t="e">
        <f>ROUND(C40*10000/B4,0)</f>
        <v>#DIV/0!</v>
      </c>
      <c r="D41" s="2980"/>
      <c r="E41" s="2980"/>
      <c r="F41" s="2981"/>
      <c r="G41" s="2834"/>
      <c r="H41" s="2834"/>
      <c r="I41" s="2835"/>
      <c r="J41" s="2928">
        <v>2</v>
      </c>
      <c r="K41" s="2929" t="s">
        <v>2418</v>
      </c>
      <c r="L41" s="2930"/>
      <c r="M41" s="2930"/>
      <c r="N41" s="2930"/>
      <c r="O41" s="2930"/>
      <c r="P41" s="2931"/>
      <c r="Q41" s="2932"/>
      <c r="R41" s="2905">
        <f>ROUND(R40*Q41,0)</f>
        <v>0</v>
      </c>
      <c r="S41" s="2826"/>
      <c r="T41" s="2826"/>
      <c r="U41" s="2878"/>
      <c r="V41" s="2835"/>
    </row>
    <row r="42" spans="1:23" s="2839" customFormat="1" ht="13.15" customHeight="1">
      <c r="G42" s="2834"/>
      <c r="H42" s="2834"/>
      <c r="I42" s="2835"/>
      <c r="J42" s="3713">
        <v>3</v>
      </c>
      <c r="K42" s="2935" t="s">
        <v>2419</v>
      </c>
      <c r="L42" s="2936"/>
      <c r="M42" s="2937"/>
      <c r="N42" s="2938" t="s">
        <v>2420</v>
      </c>
      <c r="O42" s="2938" t="s">
        <v>2421</v>
      </c>
      <c r="P42" s="2939" t="s">
        <v>2422</v>
      </c>
      <c r="Q42" s="2939" t="s">
        <v>2423</v>
      </c>
      <c r="R42" s="2844" t="s">
        <v>2424</v>
      </c>
      <c r="S42" s="2878"/>
      <c r="T42" s="2878"/>
      <c r="U42" s="2826"/>
      <c r="V42" s="2835"/>
    </row>
    <row r="43" spans="1:23" ht="13.15" customHeight="1">
      <c r="A43" s="2839"/>
      <c r="B43" s="2839"/>
      <c r="C43" s="2839"/>
      <c r="D43" s="2839"/>
      <c r="E43" s="2839"/>
      <c r="F43" s="2839"/>
      <c r="I43" s="2821"/>
      <c r="J43" s="3714"/>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2425</v>
      </c>
      <c r="L44" s="2984" t="s">
        <v>2426</v>
      </c>
      <c r="M44" s="2950"/>
      <c r="N44" s="2984" t="s">
        <v>2427</v>
      </c>
      <c r="O44" s="2950"/>
      <c r="P44" s="2984" t="s">
        <v>2428</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2271</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307</v>
      </c>
      <c r="D12" s="2771">
        <f>'数据-汇总表'!E5</f>
        <v>40989</v>
      </c>
      <c r="E12" s="2771">
        <f>'数据-取费表'!B27</f>
        <v>75</v>
      </c>
      <c r="F12" s="691"/>
      <c r="G12" s="694"/>
    </row>
    <row r="13" spans="1:25" s="1783" customFormat="1" ht="13.5" customHeight="1">
      <c r="A13" s="1987" t="s">
        <v>1793</v>
      </c>
      <c r="B13" s="692" t="s">
        <v>560</v>
      </c>
      <c r="C13" s="693">
        <f>ROUND(D13*E13/10000,0)</f>
        <v>0</v>
      </c>
      <c r="D13" s="2771">
        <f>'数据-汇总表'!E6</f>
        <v>0</v>
      </c>
      <c r="E13" s="2771">
        <f>'数据-取费表'!B28</f>
        <v>75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0.95099999999999996</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3901</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952</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1713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114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17728</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851</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'不动产比较法-住宅'!B3</f>
        <v>4325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40989</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'不动产比较法-住宅'!B2</f>
        <v>17728</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8198</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410</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410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820</v>
      </c>
      <c r="D16" s="2150">
        <f ca="1">IF(B1="",'数据-汇总表'!E3,INDIRECT("'数据-取费表'!K"&amp;$K$1)+INDIRECT("'数据-取费表'!S"&amp;$K$1))</f>
        <v>40989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164</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10002</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40989</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307</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307</v>
      </c>
      <c r="D21" s="2150">
        <f ca="1">IF(B1="",'数据-汇总表'!E5,IF(INDIRECT("'数据-取费表'!c"&amp;$K$1)="住宅",INDIRECT("'数据-取费表'!k"&amp;$K$1),0))</f>
        <v>40989</v>
      </c>
      <c r="E21" s="49">
        <f>'数据-取费表'!B27</f>
        <v>75</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0</v>
      </c>
      <c r="D22" s="2150">
        <f ca="1">IF(B1="",'数据-汇总表'!E6,IF(INDIRECT("'数据-取费表'!c"&amp;$K$1)="住宅",INDIRECT("'数据-取费表'!s"&amp;$K$1),INDIRECT("'数据-取费表'!k"&amp;$K$1)+INDIRECT("'数据-取费表'!s"&amp;$K$1)))</f>
        <v>0</v>
      </c>
      <c r="E22" s="49">
        <f>'数据-取费表'!B28</f>
        <v>75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206</v>
      </c>
      <c r="D23" s="437"/>
      <c r="E23" s="437"/>
      <c r="F23" s="2161">
        <f>'数据-取费表'!B37</f>
        <v>0.02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355</v>
      </c>
      <c r="D24" s="444"/>
      <c r="E24" s="442"/>
      <c r="F24" s="2161">
        <f>'数据-取费表'!B38</f>
        <v>0.02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244</v>
      </c>
      <c r="D26" s="436">
        <f ca="1">C27</f>
        <v>4.6699999999999998E-2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4.6699999999999998E-2</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244</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929</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12043</v>
      </c>
      <c r="D30" s="446">
        <f ca="1">C32</f>
        <v>7.5700000000000003E-2</v>
      </c>
      <c r="E30" s="438" t="s">
        <v>455</v>
      </c>
      <c r="F30" s="440"/>
      <c r="G30" s="2126" t="s">
        <v>2220</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12043</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7.5700000000000003E-2</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1087</v>
      </c>
      <c r="D33" s="436">
        <f ca="1">C34</f>
        <v>0.10290000000000001</v>
      </c>
      <c r="E33" s="438" t="s">
        <v>455</v>
      </c>
      <c r="F33" s="448">
        <f ca="1">IF(B1="",'数据-取费表'!Q16,INDIRECT("'数据-取费表'!q"&amp;$K$1))</f>
        <v>0.1</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1087</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3901</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8" zoomScale="85" zoomScaleNormal="60" zoomScaleSheetLayoutView="85" workbookViewId="0">
      <selection activeCell="N16" sqref="N16"/>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3554</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17728</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4325</v>
      </c>
      <c r="C3" s="786" t="s">
        <v>669</v>
      </c>
      <c r="D3" s="785">
        <f>SUMIF('数据-汇总表'!$C19:$C33,D1,'数据-汇总表'!$E19:$E33)</f>
        <v>40989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96" t="s">
        <v>471</v>
      </c>
      <c r="D4" s="3597"/>
      <c r="E4" s="3631" t="s">
        <v>472</v>
      </c>
      <c r="F4" s="3632"/>
      <c r="G4" s="3596" t="s">
        <v>473</v>
      </c>
      <c r="H4" s="3597"/>
      <c r="I4" s="3596" t="s">
        <v>474</v>
      </c>
      <c r="J4" s="3597"/>
      <c r="K4" s="787" t="s">
        <v>475</v>
      </c>
      <c r="L4" s="1741"/>
      <c r="M4" s="1742"/>
      <c r="N4" s="1742"/>
      <c r="O4" s="1742"/>
      <c r="P4" s="3598" t="s">
        <v>476</v>
      </c>
      <c r="Q4" s="3599"/>
      <c r="R4" s="3604" t="s">
        <v>472</v>
      </c>
      <c r="S4" s="3605"/>
      <c r="T4" s="3604" t="s">
        <v>473</v>
      </c>
      <c r="U4" s="3605"/>
      <c r="V4" s="3591" t="s">
        <v>474</v>
      </c>
      <c r="W4" s="3591"/>
      <c r="X4" s="1302"/>
      <c r="Y4" s="3604" t="s">
        <v>476</v>
      </c>
      <c r="Z4" s="3605"/>
      <c r="AA4" s="3593" t="s">
        <v>472</v>
      </c>
      <c r="AB4" s="3593" t="s">
        <v>473</v>
      </c>
      <c r="AC4" s="3593" t="s">
        <v>474</v>
      </c>
    </row>
    <row r="5" spans="1:29" ht="15">
      <c r="A5" s="466"/>
      <c r="B5" s="467"/>
      <c r="C5" s="3612" t="s">
        <v>2182</v>
      </c>
      <c r="D5" s="3613"/>
      <c r="E5" s="3718" t="s">
        <v>3552</v>
      </c>
      <c r="F5" s="3634"/>
      <c r="G5" s="3717" t="s">
        <v>3569</v>
      </c>
      <c r="H5" s="3613"/>
      <c r="I5" s="3717" t="s">
        <v>3553</v>
      </c>
      <c r="J5" s="3613"/>
      <c r="K5" s="788"/>
      <c r="L5" s="1741"/>
      <c r="M5" s="1742"/>
      <c r="N5" s="1742"/>
      <c r="O5" s="1742"/>
      <c r="P5" s="3600"/>
      <c r="Q5" s="3601"/>
      <c r="R5" s="3606"/>
      <c r="S5" s="3607"/>
      <c r="T5" s="3606"/>
      <c r="U5" s="3607"/>
      <c r="V5" s="3591"/>
      <c r="W5" s="3591"/>
      <c r="X5" s="1302"/>
      <c r="Y5" s="3606"/>
      <c r="Z5" s="3607"/>
      <c r="AA5" s="3594"/>
      <c r="AB5" s="3594"/>
      <c r="AC5" s="3594"/>
    </row>
    <row r="6" spans="1:29" ht="15.75" thickBot="1">
      <c r="A6" s="468"/>
      <c r="B6" s="469"/>
      <c r="C6" s="3610" t="s">
        <v>2186</v>
      </c>
      <c r="D6" s="3611"/>
      <c r="E6" s="3629" t="s">
        <v>2186</v>
      </c>
      <c r="F6" s="3630"/>
      <c r="G6" s="3610" t="s">
        <v>2186</v>
      </c>
      <c r="H6" s="3611"/>
      <c r="I6" s="3610" t="s">
        <v>2186</v>
      </c>
      <c r="J6" s="3611"/>
      <c r="K6" s="788" t="s">
        <v>477</v>
      </c>
      <c r="L6" s="1741"/>
      <c r="M6" s="1742"/>
      <c r="N6" s="1742"/>
      <c r="O6" s="1742"/>
      <c r="P6" s="3602"/>
      <c r="Q6" s="3603"/>
      <c r="R6" s="3606"/>
      <c r="S6" s="3607"/>
      <c r="T6" s="3608"/>
      <c r="U6" s="3609"/>
      <c r="V6" s="3591"/>
      <c r="W6" s="3591"/>
      <c r="X6" s="1302"/>
      <c r="Y6" s="3608"/>
      <c r="Z6" s="3609"/>
      <c r="AA6" s="3595"/>
      <c r="AB6" s="3595"/>
      <c r="AC6" s="3595"/>
    </row>
    <row r="7" spans="1:29" s="1059" customFormat="1" ht="15.75" thickBot="1">
      <c r="A7" s="2209"/>
      <c r="B7" s="2216" t="s">
        <v>478</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3"/>
      <c r="M7" s="1640"/>
      <c r="N7" s="1640"/>
      <c r="O7" s="1640"/>
      <c r="P7" s="3620" t="s">
        <v>479</v>
      </c>
      <c r="Q7" s="3622"/>
      <c r="R7" s="1303" t="s">
        <v>10</v>
      </c>
      <c r="S7" s="1304">
        <f t="shared" ref="S7:S15" si="0">F7</f>
        <v>100</v>
      </c>
      <c r="T7" s="1303" t="s">
        <v>10</v>
      </c>
      <c r="U7" s="1304">
        <f t="shared" ref="U7:U15" si="1">H7</f>
        <v>100</v>
      </c>
      <c r="V7" s="1303" t="s">
        <v>10</v>
      </c>
      <c r="W7" s="1304">
        <f t="shared" ref="W7:W15" si="2">J7</f>
        <v>100</v>
      </c>
      <c r="X7" s="1305"/>
      <c r="Y7" s="3620" t="s">
        <v>479</v>
      </c>
      <c r="Z7" s="3621"/>
      <c r="AA7" s="996">
        <f>D7/F7</f>
        <v>1</v>
      </c>
      <c r="AB7" s="996">
        <f>D7/H7</f>
        <v>1</v>
      </c>
      <c r="AC7" s="996">
        <f>D7/J7</f>
        <v>1</v>
      </c>
    </row>
    <row r="8" spans="1:29" s="1059" customFormat="1" ht="15.75" thickBot="1">
      <c r="A8" s="2210"/>
      <c r="B8" s="2217" t="s">
        <v>480</v>
      </c>
      <c r="C8" s="475" t="s">
        <v>524</v>
      </c>
      <c r="D8" s="471">
        <v>100</v>
      </c>
      <c r="E8" s="790" t="s">
        <v>3536</v>
      </c>
      <c r="F8" s="473">
        <f>SUMIF(61:61,E8,62:62)-SUMIF(61:61,C8,62:62)+100</f>
        <v>100</v>
      </c>
      <c r="G8" s="475" t="s">
        <v>3536</v>
      </c>
      <c r="H8" s="471">
        <f>SUMIF(61:61,G8,62:62)-SUMIF(61:61,C8,62:62)+100</f>
        <v>100</v>
      </c>
      <c r="I8" s="790" t="s">
        <v>3536</v>
      </c>
      <c r="J8" s="471">
        <f>SUMIF(61:61,I8,62:62)-SUMIF(61:61,C8,62:62)+100</f>
        <v>100</v>
      </c>
      <c r="K8" s="789"/>
      <c r="L8" s="1743"/>
      <c r="M8" s="1640"/>
      <c r="N8" s="1640"/>
      <c r="O8" s="1640"/>
      <c r="P8" s="3620" t="s">
        <v>482</v>
      </c>
      <c r="Q8" s="3621"/>
      <c r="R8" s="1303" t="s">
        <v>10</v>
      </c>
      <c r="S8" s="1304">
        <f t="shared" si="0"/>
        <v>100</v>
      </c>
      <c r="T8" s="1303" t="s">
        <v>10</v>
      </c>
      <c r="U8" s="1304">
        <f t="shared" si="1"/>
        <v>100</v>
      </c>
      <c r="V8" s="1303" t="s">
        <v>10</v>
      </c>
      <c r="W8" s="1304">
        <f t="shared" si="2"/>
        <v>100</v>
      </c>
      <c r="X8" s="1305"/>
      <c r="Y8" s="3620" t="s">
        <v>482</v>
      </c>
      <c r="Z8" s="3621"/>
      <c r="AA8" s="996">
        <f t="shared" ref="AA8:AA46" si="3">D8/F8</f>
        <v>1</v>
      </c>
      <c r="AB8" s="996">
        <f t="shared" ref="AB8:AB46" si="4">D8/H8</f>
        <v>1</v>
      </c>
      <c r="AC8" s="996">
        <f t="shared" ref="AC8:AC46" si="5">D8/J8</f>
        <v>1</v>
      </c>
    </row>
    <row r="9" spans="1:29" s="1059" customFormat="1" ht="15">
      <c r="A9" s="2211"/>
      <c r="B9" s="2218" t="s">
        <v>2038</v>
      </c>
      <c r="C9" s="3414" t="s">
        <v>3574</v>
      </c>
      <c r="D9" s="154">
        <v>100</v>
      </c>
      <c r="E9" s="792"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75" thickBot="1">
      <c r="A11" s="2213"/>
      <c r="B11" s="2217" t="s">
        <v>2040</v>
      </c>
      <c r="C11" s="483">
        <v>1.8</v>
      </c>
      <c r="D11" s="235">
        <v>100</v>
      </c>
      <c r="E11" s="484">
        <v>2.4300000000000002</v>
      </c>
      <c r="F11" s="477">
        <f>LOOKUP(E11,68:68,69:69)-LOOKUP(C11,68:68,69:69)+100</f>
        <v>98</v>
      </c>
      <c r="G11" s="483">
        <v>2.6</v>
      </c>
      <c r="H11" s="235">
        <f>LOOKUP(G11,68:68,69:69)-LOOKUP(C11,68:68,69:69)+100</f>
        <v>98</v>
      </c>
      <c r="I11" s="483">
        <v>2.6</v>
      </c>
      <c r="J11" s="235">
        <f>LOOKUP(I11,68:68,69:69)-LOOKUP(C11,68:68,69:69)+100</f>
        <v>98</v>
      </c>
      <c r="K11" s="794">
        <v>2</v>
      </c>
      <c r="L11" s="1747"/>
      <c r="M11" s="1742"/>
      <c r="N11" s="1742"/>
      <c r="O11" s="1748"/>
      <c r="P11" s="3590"/>
      <c r="Q11" s="817" t="str">
        <f t="shared" si="6"/>
        <v>容积率</v>
      </c>
      <c r="R11" s="1303" t="s">
        <v>8</v>
      </c>
      <c r="S11" s="1304">
        <f t="shared" si="0"/>
        <v>98</v>
      </c>
      <c r="T11" s="1303" t="s">
        <v>8</v>
      </c>
      <c r="U11" s="1304">
        <f t="shared" si="1"/>
        <v>98</v>
      </c>
      <c r="V11" s="1303" t="s">
        <v>8</v>
      </c>
      <c r="W11" s="1304">
        <f t="shared" si="2"/>
        <v>98</v>
      </c>
      <c r="X11" s="1305"/>
      <c r="Y11" s="3534"/>
      <c r="Z11" s="996" t="str">
        <f t="shared" si="7"/>
        <v>容积率</v>
      </c>
      <c r="AA11" s="996">
        <f t="shared" si="3"/>
        <v>1.0204081632653061</v>
      </c>
      <c r="AB11" s="996">
        <f t="shared" si="4"/>
        <v>1.0204081632653061</v>
      </c>
      <c r="AC11" s="996">
        <f t="shared" si="5"/>
        <v>1.0204081632653061</v>
      </c>
    </row>
    <row r="12" spans="1:29" s="1059" customFormat="1" ht="15" hidden="1">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90"/>
      <c r="Q12" s="817">
        <f t="shared" si="6"/>
        <v>111</v>
      </c>
      <c r="R12" s="1303" t="s">
        <v>8</v>
      </c>
      <c r="S12" s="1304">
        <f t="shared" si="0"/>
        <v>100</v>
      </c>
      <c r="T12" s="1303" t="s">
        <v>8</v>
      </c>
      <c r="U12" s="1304">
        <f t="shared" si="1"/>
        <v>100</v>
      </c>
      <c r="V12" s="1303" t="s">
        <v>8</v>
      </c>
      <c r="W12" s="1304">
        <f t="shared" si="2"/>
        <v>100</v>
      </c>
      <c r="X12" s="1305"/>
      <c r="Y12" s="3534"/>
      <c r="Z12" s="996">
        <f t="shared" si="7"/>
        <v>111</v>
      </c>
      <c r="AA12" s="996">
        <f>D12/F12</f>
        <v>1</v>
      </c>
      <c r="AB12" s="996">
        <f>D12/H12</f>
        <v>1</v>
      </c>
      <c r="AC12" s="996">
        <f>D12/J12</f>
        <v>1</v>
      </c>
    </row>
    <row r="13" spans="1:29" ht="15" hidden="1">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90"/>
      <c r="Q13" s="817">
        <f t="shared" si="6"/>
        <v>111</v>
      </c>
      <c r="R13" s="1303" t="s">
        <v>8</v>
      </c>
      <c r="S13" s="1304">
        <f t="shared" si="0"/>
        <v>100</v>
      </c>
      <c r="T13" s="1303" t="s">
        <v>8</v>
      </c>
      <c r="U13" s="1304">
        <f t="shared" si="1"/>
        <v>100</v>
      </c>
      <c r="V13" s="1303" t="s">
        <v>8</v>
      </c>
      <c r="W13" s="1304">
        <f t="shared" si="2"/>
        <v>100</v>
      </c>
      <c r="X13" s="1305"/>
      <c r="Y13" s="3534"/>
      <c r="Z13" s="996">
        <f t="shared" si="7"/>
        <v>111</v>
      </c>
      <c r="AA13" s="996">
        <f t="shared" si="3"/>
        <v>1</v>
      </c>
      <c r="AB13" s="996">
        <f t="shared" si="4"/>
        <v>1</v>
      </c>
      <c r="AC13" s="996">
        <f t="shared" si="5"/>
        <v>1</v>
      </c>
    </row>
    <row r="14" spans="1:29" ht="15.75" hidden="1"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90"/>
      <c r="Q14" s="817">
        <f t="shared" si="6"/>
        <v>111</v>
      </c>
      <c r="R14" s="1303" t="s">
        <v>8</v>
      </c>
      <c r="S14" s="1304">
        <f t="shared" si="0"/>
        <v>100</v>
      </c>
      <c r="T14" s="1303" t="s">
        <v>8</v>
      </c>
      <c r="U14" s="1304">
        <f t="shared" si="1"/>
        <v>100</v>
      </c>
      <c r="V14" s="1303" t="s">
        <v>8</v>
      </c>
      <c r="W14" s="1304">
        <f t="shared" si="2"/>
        <v>100</v>
      </c>
      <c r="X14" s="1305"/>
      <c r="Y14" s="3534"/>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110</v>
      </c>
      <c r="G15" s="502"/>
      <c r="H15" s="499">
        <f>SUMIF(76:76,G16,77:77)-SUMIF(76:76,C16,77:77)+100</f>
        <v>110</v>
      </c>
      <c r="I15" s="500"/>
      <c r="J15" s="499">
        <f>SUMIF(76:76,I16,77:77)-SUMIF(76:76,C16,77:77)+100</f>
        <v>110</v>
      </c>
      <c r="K15" s="798">
        <v>5</v>
      </c>
      <c r="L15" s="1749"/>
      <c r="M15" s="1742"/>
      <c r="N15" s="1742"/>
      <c r="O15" s="1748"/>
      <c r="P15" s="3623" t="s">
        <v>489</v>
      </c>
      <c r="Q15" s="1306" t="str">
        <f t="shared" si="6"/>
        <v>居住社区成熟度</v>
      </c>
      <c r="R15" s="1307" t="s">
        <v>8</v>
      </c>
      <c r="S15" s="1308">
        <f t="shared" si="0"/>
        <v>110</v>
      </c>
      <c r="T15" s="1307" t="s">
        <v>8</v>
      </c>
      <c r="U15" s="1308">
        <f t="shared" si="1"/>
        <v>110</v>
      </c>
      <c r="V15" s="1307" t="s">
        <v>8</v>
      </c>
      <c r="W15" s="1308">
        <f t="shared" si="2"/>
        <v>110</v>
      </c>
      <c r="X15" s="1302"/>
      <c r="Y15" s="3623" t="s">
        <v>489</v>
      </c>
      <c r="Z15" s="1309" t="str">
        <f t="shared" si="7"/>
        <v>居住社区成熟度</v>
      </c>
      <c r="AA15" s="1309">
        <f t="shared" si="3"/>
        <v>0.90909090909090906</v>
      </c>
      <c r="AB15" s="1309">
        <f t="shared" si="4"/>
        <v>0.90909090909090906</v>
      </c>
      <c r="AC15" s="1309">
        <f t="shared" si="5"/>
        <v>0.90909090909090906</v>
      </c>
    </row>
    <row r="16" spans="1:29" ht="15">
      <c r="A16" s="482"/>
      <c r="B16" s="799"/>
      <c r="C16" s="526" t="s">
        <v>3537</v>
      </c>
      <c r="D16" s="505"/>
      <c r="E16" s="506" t="s">
        <v>3539</v>
      </c>
      <c r="F16" s="507"/>
      <c r="G16" s="506" t="s">
        <v>3539</v>
      </c>
      <c r="H16" s="509"/>
      <c r="I16" s="506" t="s">
        <v>3539</v>
      </c>
      <c r="J16" s="505"/>
      <c r="K16" s="800"/>
      <c r="L16" s="1749"/>
      <c r="M16" s="1742"/>
      <c r="N16" s="1742"/>
      <c r="O16" s="1748"/>
      <c r="P16" s="3624"/>
      <c r="Q16" s="1306"/>
      <c r="R16" s="1307"/>
      <c r="S16" s="1308"/>
      <c r="T16" s="1307"/>
      <c r="U16" s="1308"/>
      <c r="V16" s="1307"/>
      <c r="W16" s="1308"/>
      <c r="X16" s="1302"/>
      <c r="Y16" s="3624"/>
      <c r="Z16" s="1309"/>
      <c r="AA16" s="1309">
        <v>1</v>
      </c>
      <c r="AB16" s="1309">
        <v>1</v>
      </c>
      <c r="AC16" s="1309">
        <v>1</v>
      </c>
    </row>
    <row r="17" spans="1:29" ht="15">
      <c r="A17" s="482"/>
      <c r="B17" s="677" t="s">
        <v>262</v>
      </c>
      <c r="C17" s="801">
        <f>估价对象房地状况!C6</f>
        <v>0</v>
      </c>
      <c r="D17" s="509">
        <v>100</v>
      </c>
      <c r="E17" s="512"/>
      <c r="F17" s="513">
        <f>SUMIF(78:78,E18,79:79)-SUMIF(78:78,C18,79:79)+100</f>
        <v>110</v>
      </c>
      <c r="G17" s="514"/>
      <c r="H17" s="515">
        <f>SUMIF(78:78,G18,79:79)-SUMIF(78:78,C18,79:79)+100</f>
        <v>110</v>
      </c>
      <c r="I17" s="512"/>
      <c r="J17" s="515">
        <f>SUMIF(78:78,I18,79:79)-SUMIF(78:78,C18,79:79)+100</f>
        <v>110</v>
      </c>
      <c r="K17" s="798">
        <v>5</v>
      </c>
      <c r="L17" s="1749"/>
      <c r="M17" s="1742"/>
      <c r="N17" s="1742"/>
      <c r="O17" s="1748"/>
      <c r="P17" s="3624"/>
      <c r="Q17" s="1306" t="str">
        <f>B17</f>
        <v>交通便捷度</v>
      </c>
      <c r="R17" s="1307" t="s">
        <v>8</v>
      </c>
      <c r="S17" s="1308">
        <f>F17</f>
        <v>110</v>
      </c>
      <c r="T17" s="1307" t="s">
        <v>8</v>
      </c>
      <c r="U17" s="1308">
        <f>H17</f>
        <v>110</v>
      </c>
      <c r="V17" s="1307" t="s">
        <v>8</v>
      </c>
      <c r="W17" s="1308">
        <f>J17</f>
        <v>110</v>
      </c>
      <c r="X17" s="1302"/>
      <c r="Y17" s="3624"/>
      <c r="Z17" s="1309" t="str">
        <f>Q17</f>
        <v>交通便捷度</v>
      </c>
      <c r="AA17" s="1309">
        <f t="shared" si="3"/>
        <v>0.90909090909090906</v>
      </c>
      <c r="AB17" s="1309">
        <f t="shared" si="4"/>
        <v>0.90909090909090906</v>
      </c>
      <c r="AC17" s="1309">
        <f t="shared" si="5"/>
        <v>0.90909090909090906</v>
      </c>
    </row>
    <row r="18" spans="1:29" ht="15">
      <c r="A18" s="482"/>
      <c r="B18" s="544"/>
      <c r="C18" s="802" t="s">
        <v>3537</v>
      </c>
      <c r="D18" s="509"/>
      <c r="E18" s="506" t="s">
        <v>3539</v>
      </c>
      <c r="F18" s="513"/>
      <c r="G18" s="506" t="s">
        <v>3539</v>
      </c>
      <c r="H18" s="505"/>
      <c r="I18" s="506" t="s">
        <v>3539</v>
      </c>
      <c r="J18" s="505"/>
      <c r="K18" s="800"/>
      <c r="L18" s="1749"/>
      <c r="M18" s="1742"/>
      <c r="N18" s="1742"/>
      <c r="O18" s="1748"/>
      <c r="P18" s="3624"/>
      <c r="Q18" s="1306"/>
      <c r="R18" s="1307"/>
      <c r="S18" s="1308"/>
      <c r="T18" s="1307"/>
      <c r="U18" s="1308"/>
      <c r="V18" s="1307"/>
      <c r="W18" s="1308"/>
      <c r="X18" s="1302"/>
      <c r="Y18" s="3624"/>
      <c r="Z18" s="1309"/>
      <c r="AA18" s="1309">
        <v>1</v>
      </c>
      <c r="AB18" s="1309">
        <v>1</v>
      </c>
      <c r="AC18" s="1309">
        <v>1</v>
      </c>
    </row>
    <row r="19" spans="1:29" ht="15">
      <c r="A19" s="482"/>
      <c r="B19" s="2059" t="s">
        <v>1829</v>
      </c>
      <c r="C19" s="801">
        <f>估价对象房地状况!C7</f>
        <v>0</v>
      </c>
      <c r="D19" s="515">
        <v>100</v>
      </c>
      <c r="E19" s="520"/>
      <c r="F19" s="521">
        <f>SUMIF(80:80,E20,81:81)-SUMIF(80:80,C20,81:81)+100</f>
        <v>110</v>
      </c>
      <c r="G19" s="522"/>
      <c r="H19" s="509">
        <f>SUMIF(80:80,G20,81:81)-SUMIF(80:80,C20,81:81)+100</f>
        <v>110</v>
      </c>
      <c r="I19" s="520"/>
      <c r="J19" s="509">
        <f>SUMIF(80:80,I20,81:81)-SUMIF(80:80,C20,81:81)+100</f>
        <v>110</v>
      </c>
      <c r="K19" s="798">
        <v>5</v>
      </c>
      <c r="L19" s="1749"/>
      <c r="M19" s="1742"/>
      <c r="N19" s="1742"/>
      <c r="O19" s="1748"/>
      <c r="P19" s="3624"/>
      <c r="Q19" s="1306" t="str">
        <f>B19</f>
        <v>公共配套设施</v>
      </c>
      <c r="R19" s="1307" t="s">
        <v>8</v>
      </c>
      <c r="S19" s="1308">
        <f>F19</f>
        <v>110</v>
      </c>
      <c r="T19" s="1307" t="s">
        <v>8</v>
      </c>
      <c r="U19" s="1308">
        <f>H19</f>
        <v>110</v>
      </c>
      <c r="V19" s="1307" t="s">
        <v>8</v>
      </c>
      <c r="W19" s="1308">
        <f>J19</f>
        <v>110</v>
      </c>
      <c r="X19" s="1302"/>
      <c r="Y19" s="3624"/>
      <c r="Z19" s="1309" t="str">
        <f>Q19</f>
        <v>公共配套设施</v>
      </c>
      <c r="AA19" s="1309">
        <f t="shared" si="3"/>
        <v>0.90909090909090906</v>
      </c>
      <c r="AB19" s="1309">
        <f t="shared" si="4"/>
        <v>0.90909090909090906</v>
      </c>
      <c r="AC19" s="1309">
        <f t="shared" si="5"/>
        <v>0.90909090909090906</v>
      </c>
    </row>
    <row r="20" spans="1:29" ht="15">
      <c r="A20" s="482"/>
      <c r="B20" s="544"/>
      <c r="C20" s="526" t="s">
        <v>3537</v>
      </c>
      <c r="D20" s="505"/>
      <c r="E20" s="506" t="s">
        <v>3539</v>
      </c>
      <c r="F20" s="507"/>
      <c r="G20" s="506" t="s">
        <v>3539</v>
      </c>
      <c r="H20" s="505"/>
      <c r="I20" s="506" t="s">
        <v>3539</v>
      </c>
      <c r="J20" s="505"/>
      <c r="K20" s="800"/>
      <c r="L20" s="1749"/>
      <c r="M20" s="1742"/>
      <c r="N20" s="1742"/>
      <c r="O20" s="1748"/>
      <c r="P20" s="3624"/>
      <c r="Q20" s="1306"/>
      <c r="R20" s="1307"/>
      <c r="S20" s="1308"/>
      <c r="T20" s="1307"/>
      <c r="U20" s="1308"/>
      <c r="V20" s="1307"/>
      <c r="W20" s="1308"/>
      <c r="X20" s="1302"/>
      <c r="Y20" s="3624"/>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9"/>
      <c r="M21" s="1742"/>
      <c r="N21" s="1742"/>
      <c r="O21" s="1748"/>
      <c r="P21" s="3624"/>
      <c r="Q21" s="1306" t="str">
        <f>B21</f>
        <v>基础设施水平</v>
      </c>
      <c r="R21" s="1307" t="s">
        <v>8</v>
      </c>
      <c r="S21" s="1308">
        <f>F21</f>
        <v>100</v>
      </c>
      <c r="T21" s="1307" t="s">
        <v>8</v>
      </c>
      <c r="U21" s="1308">
        <f>H21</f>
        <v>100</v>
      </c>
      <c r="V21" s="1307" t="s">
        <v>8</v>
      </c>
      <c r="W21" s="1308">
        <f>J21</f>
        <v>100</v>
      </c>
      <c r="X21" s="1302"/>
      <c r="Y21" s="3624"/>
      <c r="Z21" s="1309" t="str">
        <f>Q21</f>
        <v>基础设施水平</v>
      </c>
      <c r="AA21" s="1309">
        <f>D21/F21</f>
        <v>1</v>
      </c>
      <c r="AB21" s="1309">
        <f>D21/H21</f>
        <v>1</v>
      </c>
      <c r="AC21" s="1309">
        <f>D21/J21</f>
        <v>1</v>
      </c>
    </row>
    <row r="22" spans="1:29" ht="15">
      <c r="A22" s="482"/>
      <c r="B22" s="843"/>
      <c r="C22" s="802" t="s">
        <v>3538</v>
      </c>
      <c r="D22" s="505"/>
      <c r="E22" s="802" t="s">
        <v>3538</v>
      </c>
      <c r="F22" s="507"/>
      <c r="G22" s="802" t="s">
        <v>3538</v>
      </c>
      <c r="H22" s="505"/>
      <c r="I22" s="802" t="s">
        <v>3538</v>
      </c>
      <c r="J22" s="505"/>
      <c r="K22" s="2058"/>
      <c r="L22" s="1749"/>
      <c r="M22" s="1742"/>
      <c r="N22" s="1742"/>
      <c r="O22" s="1748"/>
      <c r="P22" s="3624"/>
      <c r="Q22" s="1306"/>
      <c r="R22" s="1307"/>
      <c r="S22" s="1308"/>
      <c r="T22" s="1307"/>
      <c r="U22" s="1308"/>
      <c r="V22" s="1307"/>
      <c r="W22" s="1308"/>
      <c r="X22" s="1302"/>
      <c r="Y22" s="3624"/>
      <c r="Z22" s="1309"/>
      <c r="AA22" s="1309">
        <v>1</v>
      </c>
      <c r="AB22" s="1309">
        <v>1</v>
      </c>
      <c r="AC22" s="1309">
        <v>1</v>
      </c>
    </row>
    <row r="23" spans="1:29" ht="15">
      <c r="A23" s="482"/>
      <c r="B23" s="677" t="s">
        <v>263</v>
      </c>
      <c r="C23" s="801">
        <f>估价对象房地状况!C9</f>
        <v>0</v>
      </c>
      <c r="D23" s="509">
        <v>100</v>
      </c>
      <c r="E23" s="512"/>
      <c r="F23" s="513">
        <f>SUMIF(84:84,E24,85:85)-SUMIF(84:84,C24,85:85)+100</f>
        <v>110</v>
      </c>
      <c r="G23" s="514"/>
      <c r="H23" s="509">
        <f>SUMIF(84:84,G24,85:85)-SUMIF(84:84,C24,85:85)+100</f>
        <v>110</v>
      </c>
      <c r="I23" s="512"/>
      <c r="J23" s="509">
        <f>SUMIF(84:84,I24,85:85)-SUMIF(84:84,C24,85:85)+100</f>
        <v>110</v>
      </c>
      <c r="K23" s="798">
        <v>5</v>
      </c>
      <c r="L23" s="1749"/>
      <c r="M23" s="1742"/>
      <c r="N23" s="1742"/>
      <c r="O23" s="1748"/>
      <c r="P23" s="3624"/>
      <c r="Q23" s="1306" t="str">
        <f>B23</f>
        <v>自然及人文环境</v>
      </c>
      <c r="R23" s="1307" t="s">
        <v>8</v>
      </c>
      <c r="S23" s="1308">
        <f>F23</f>
        <v>110</v>
      </c>
      <c r="T23" s="1307" t="s">
        <v>8</v>
      </c>
      <c r="U23" s="1308">
        <f>H23</f>
        <v>110</v>
      </c>
      <c r="V23" s="1307" t="s">
        <v>8</v>
      </c>
      <c r="W23" s="1308">
        <f>J23</f>
        <v>110</v>
      </c>
      <c r="X23" s="1302"/>
      <c r="Y23" s="3624"/>
      <c r="Z23" s="1309" t="str">
        <f>Q23</f>
        <v>自然及人文环境</v>
      </c>
      <c r="AA23" s="1309">
        <f t="shared" si="3"/>
        <v>0.90909090909090906</v>
      </c>
      <c r="AB23" s="1309">
        <f t="shared" si="4"/>
        <v>0.90909090909090906</v>
      </c>
      <c r="AC23" s="1309">
        <f t="shared" si="5"/>
        <v>0.90909090909090906</v>
      </c>
    </row>
    <row r="24" spans="1:29" ht="15.75" thickBot="1">
      <c r="A24" s="482"/>
      <c r="B24" s="544"/>
      <c r="C24" s="526" t="s">
        <v>3537</v>
      </c>
      <c r="D24" s="505"/>
      <c r="E24" s="506" t="s">
        <v>3539</v>
      </c>
      <c r="F24" s="507"/>
      <c r="G24" s="506" t="s">
        <v>3539</v>
      </c>
      <c r="H24" s="505"/>
      <c r="I24" s="506" t="s">
        <v>3539</v>
      </c>
      <c r="J24" s="505"/>
      <c r="K24" s="800"/>
      <c r="L24" s="1749"/>
      <c r="M24" s="1742"/>
      <c r="N24" s="1742"/>
      <c r="O24" s="1748"/>
      <c r="P24" s="3624"/>
      <c r="Q24" s="1306"/>
      <c r="R24" s="1307"/>
      <c r="S24" s="1308"/>
      <c r="T24" s="1307"/>
      <c r="U24" s="1308"/>
      <c r="V24" s="1307"/>
      <c r="W24" s="1308"/>
      <c r="X24" s="1302"/>
      <c r="Y24" s="3624"/>
      <c r="Z24" s="1309"/>
      <c r="AA24" s="1309">
        <v>1</v>
      </c>
      <c r="AB24" s="1309">
        <v>1</v>
      </c>
      <c r="AC24" s="1309">
        <v>1</v>
      </c>
    </row>
    <row r="25" spans="1:29" ht="15" hidden="1">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24"/>
      <c r="Q25" s="1306" t="str">
        <f t="shared" ref="Q25:Q46" si="8">B25</f>
        <v>楼层-1</v>
      </c>
      <c r="R25" s="1307" t="s">
        <v>8</v>
      </c>
      <c r="S25" s="1308">
        <f>F25</f>
        <v>100</v>
      </c>
      <c r="T25" s="1307" t="s">
        <v>8</v>
      </c>
      <c r="U25" s="1308">
        <f>H25</f>
        <v>100</v>
      </c>
      <c r="V25" s="1307" t="s">
        <v>8</v>
      </c>
      <c r="W25" s="1308">
        <f>J25</f>
        <v>100</v>
      </c>
      <c r="X25" s="1302"/>
      <c r="Y25" s="3624"/>
      <c r="Z25" s="1309" t="str">
        <f>Q25</f>
        <v>楼层-1</v>
      </c>
      <c r="AA25" s="1309">
        <f t="shared" si="3"/>
        <v>1</v>
      </c>
      <c r="AB25" s="1309">
        <f t="shared" si="4"/>
        <v>1</v>
      </c>
      <c r="AC25" s="1309">
        <f t="shared" si="5"/>
        <v>1</v>
      </c>
    </row>
    <row r="26" spans="1:29" ht="15" hidden="1">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24"/>
      <c r="Q26" s="1306" t="str">
        <f t="shared" si="8"/>
        <v>朝向</v>
      </c>
      <c r="R26" s="1307" t="s">
        <v>8</v>
      </c>
      <c r="S26" s="1308">
        <f>F26</f>
        <v>100</v>
      </c>
      <c r="T26" s="1307" t="s">
        <v>8</v>
      </c>
      <c r="U26" s="1308">
        <f>H26</f>
        <v>100</v>
      </c>
      <c r="V26" s="1307" t="s">
        <v>8</v>
      </c>
      <c r="W26" s="1308">
        <f>J26</f>
        <v>100</v>
      </c>
      <c r="X26" s="1302"/>
      <c r="Y26" s="3624"/>
      <c r="Z26" s="1309" t="str">
        <f>Q26</f>
        <v>朝向</v>
      </c>
      <c r="AA26" s="1309">
        <f t="shared" si="3"/>
        <v>1</v>
      </c>
      <c r="AB26" s="1309">
        <f t="shared" si="4"/>
        <v>1</v>
      </c>
      <c r="AC26" s="1309">
        <f t="shared" si="5"/>
        <v>1</v>
      </c>
    </row>
    <row r="27" spans="1:29" s="1059" customFormat="1" ht="15" hidden="1">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24"/>
      <c r="Q27" s="817" t="str">
        <f t="shared" si="8"/>
        <v>道路级别</v>
      </c>
      <c r="R27" s="1303" t="s">
        <v>8</v>
      </c>
      <c r="S27" s="1304">
        <f>F27</f>
        <v>100</v>
      </c>
      <c r="T27" s="1303" t="s">
        <v>8</v>
      </c>
      <c r="U27" s="1304">
        <f>H27</f>
        <v>100</v>
      </c>
      <c r="V27" s="1303" t="s">
        <v>8</v>
      </c>
      <c r="W27" s="1304">
        <f>J27</f>
        <v>100</v>
      </c>
      <c r="X27" s="1305"/>
      <c r="Y27" s="3624"/>
      <c r="Z27" s="996" t="str">
        <f>Q27</f>
        <v>道路级别</v>
      </c>
      <c r="AA27" s="1309">
        <f>D27/F27</f>
        <v>1</v>
      </c>
      <c r="AB27" s="1309">
        <f>D27/H27</f>
        <v>1</v>
      </c>
      <c r="AC27" s="1309">
        <f>D27/J27</f>
        <v>1</v>
      </c>
    </row>
    <row r="28" spans="1:29" ht="15" hidden="1">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24"/>
      <c r="Q28" s="1306">
        <f t="shared" si="8"/>
        <v>111</v>
      </c>
      <c r="R28" s="1307" t="s">
        <v>8</v>
      </c>
      <c r="S28" s="1308">
        <f t="shared" ref="S28:S46" si="9">F28</f>
        <v>100</v>
      </c>
      <c r="T28" s="1307" t="s">
        <v>8</v>
      </c>
      <c r="U28" s="1308">
        <f t="shared" ref="U28:U46" si="10">H28</f>
        <v>100</v>
      </c>
      <c r="V28" s="1307" t="s">
        <v>8</v>
      </c>
      <c r="W28" s="1308">
        <f t="shared" ref="W28:W46" si="11">J28</f>
        <v>100</v>
      </c>
      <c r="X28" s="1302"/>
      <c r="Y28" s="3624"/>
      <c r="Z28" s="1309">
        <f t="shared" ref="Z28:Z46" si="12">Q28</f>
        <v>111</v>
      </c>
      <c r="AA28" s="1309">
        <f t="shared" si="3"/>
        <v>1</v>
      </c>
      <c r="AB28" s="1309">
        <f t="shared" si="4"/>
        <v>1</v>
      </c>
      <c r="AC28" s="1309">
        <f t="shared" si="5"/>
        <v>1</v>
      </c>
    </row>
    <row r="29" spans="1:29" ht="15" hidden="1">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24"/>
      <c r="Q29" s="1306">
        <f t="shared" si="8"/>
        <v>111</v>
      </c>
      <c r="R29" s="1307" t="s">
        <v>8</v>
      </c>
      <c r="S29" s="1308">
        <f t="shared" si="9"/>
        <v>100</v>
      </c>
      <c r="T29" s="1307" t="s">
        <v>8</v>
      </c>
      <c r="U29" s="1308">
        <f t="shared" si="10"/>
        <v>100</v>
      </c>
      <c r="V29" s="1307" t="s">
        <v>8</v>
      </c>
      <c r="W29" s="1308">
        <f t="shared" si="11"/>
        <v>100</v>
      </c>
      <c r="X29" s="1302"/>
      <c r="Y29" s="3624"/>
      <c r="Z29" s="1309">
        <f t="shared" si="12"/>
        <v>111</v>
      </c>
      <c r="AA29" s="1309">
        <f t="shared" si="3"/>
        <v>1</v>
      </c>
      <c r="AB29" s="1309">
        <f t="shared" si="4"/>
        <v>1</v>
      </c>
      <c r="AC29" s="1309">
        <f t="shared" si="5"/>
        <v>1</v>
      </c>
    </row>
    <row r="30" spans="1:29" ht="15" hidden="1">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24"/>
      <c r="Q30" s="1306">
        <f t="shared" si="8"/>
        <v>111</v>
      </c>
      <c r="R30" s="1307" t="s">
        <v>8</v>
      </c>
      <c r="S30" s="1308">
        <f t="shared" si="9"/>
        <v>100</v>
      </c>
      <c r="T30" s="1307" t="s">
        <v>8</v>
      </c>
      <c r="U30" s="1308">
        <f t="shared" si="10"/>
        <v>100</v>
      </c>
      <c r="V30" s="1307" t="s">
        <v>8</v>
      </c>
      <c r="W30" s="1308">
        <f t="shared" si="11"/>
        <v>100</v>
      </c>
      <c r="X30" s="1302"/>
      <c r="Y30" s="3624"/>
      <c r="Z30" s="1309">
        <f t="shared" si="12"/>
        <v>111</v>
      </c>
      <c r="AA30" s="1309">
        <f t="shared" si="3"/>
        <v>1</v>
      </c>
      <c r="AB30" s="1309">
        <f t="shared" si="4"/>
        <v>1</v>
      </c>
      <c r="AC30" s="1309">
        <f t="shared" si="5"/>
        <v>1</v>
      </c>
    </row>
    <row r="31" spans="1:29" ht="15.75" hidden="1"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24"/>
      <c r="Q31" s="1306">
        <f t="shared" si="8"/>
        <v>111</v>
      </c>
      <c r="R31" s="1307" t="s">
        <v>8</v>
      </c>
      <c r="S31" s="1308">
        <f t="shared" si="9"/>
        <v>100</v>
      </c>
      <c r="T31" s="1307" t="s">
        <v>8</v>
      </c>
      <c r="U31" s="1308">
        <f t="shared" si="10"/>
        <v>100</v>
      </c>
      <c r="V31" s="1307" t="s">
        <v>8</v>
      </c>
      <c r="W31" s="1308">
        <f t="shared" si="11"/>
        <v>100</v>
      </c>
      <c r="X31" s="1302"/>
      <c r="Y31" s="3624"/>
      <c r="Z31" s="1309">
        <f t="shared" si="12"/>
        <v>111</v>
      </c>
      <c r="AA31" s="1309">
        <f t="shared" si="3"/>
        <v>1</v>
      </c>
      <c r="AB31" s="1309">
        <f t="shared" si="4"/>
        <v>1</v>
      </c>
      <c r="AC31" s="1309">
        <f t="shared" si="5"/>
        <v>1</v>
      </c>
    </row>
    <row r="32" spans="1:29" ht="15">
      <c r="A32" s="2204" t="s">
        <v>2037</v>
      </c>
      <c r="B32" s="156" t="s">
        <v>672</v>
      </c>
      <c r="C32" s="804" t="s">
        <v>3555</v>
      </c>
      <c r="D32" s="546">
        <v>100</v>
      </c>
      <c r="E32" s="804" t="s">
        <v>3562</v>
      </c>
      <c r="F32" s="525">
        <f>SUMIF(100:100,E32,101:101)-SUMIF(100:100,C32,101:101)+100</f>
        <v>98</v>
      </c>
      <c r="G32" s="804" t="s">
        <v>3562</v>
      </c>
      <c r="H32" s="546">
        <f>SUMIF(100:100,G32,101:101)-SUMIF(100:100,C32,101:101)+100</f>
        <v>98</v>
      </c>
      <c r="I32" s="804" t="s">
        <v>3562</v>
      </c>
      <c r="J32" s="490">
        <f>SUMIF(100:100,I32,101:101)-SUMIF(100:100,C32,101:101)+100</f>
        <v>98</v>
      </c>
      <c r="K32" s="794">
        <v>2</v>
      </c>
      <c r="L32" s="1749"/>
      <c r="M32" s="1742"/>
      <c r="N32" s="1742"/>
      <c r="O32" s="1748"/>
      <c r="P32" s="3625" t="s">
        <v>499</v>
      </c>
      <c r="Q32" s="1306" t="str">
        <f t="shared" si="8"/>
        <v>建筑类型</v>
      </c>
      <c r="R32" s="1307" t="s">
        <v>8</v>
      </c>
      <c r="S32" s="1308">
        <f t="shared" si="9"/>
        <v>98</v>
      </c>
      <c r="T32" s="1307" t="s">
        <v>8</v>
      </c>
      <c r="U32" s="1308">
        <f t="shared" si="10"/>
        <v>98</v>
      </c>
      <c r="V32" s="1307" t="s">
        <v>8</v>
      </c>
      <c r="W32" s="1308">
        <f t="shared" si="11"/>
        <v>98</v>
      </c>
      <c r="X32" s="1302"/>
      <c r="Y32" s="3626" t="s">
        <v>499</v>
      </c>
      <c r="Z32" s="1309" t="str">
        <f t="shared" si="12"/>
        <v>建筑类型</v>
      </c>
      <c r="AA32" s="1309">
        <f t="shared" si="3"/>
        <v>1.0204081632653061</v>
      </c>
      <c r="AB32" s="1309">
        <f t="shared" si="4"/>
        <v>1.0204081632653061</v>
      </c>
      <c r="AC32" s="1309">
        <f t="shared" si="5"/>
        <v>1.0204081632653061</v>
      </c>
    </row>
    <row r="33" spans="1:29" s="1133" customFormat="1" ht="15">
      <c r="A33" s="552"/>
      <c r="B33" s="477" t="s">
        <v>673</v>
      </c>
      <c r="C33" s="805">
        <f>'[3]数据-汇总表'!E3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7"/>
      <c r="M33" s="1771"/>
      <c r="N33" s="1771"/>
      <c r="O33" s="1750"/>
      <c r="P33" s="3626"/>
      <c r="Q33" s="818" t="str">
        <f t="shared" si="8"/>
        <v>项目建筑规模</v>
      </c>
      <c r="R33" s="1310" t="s">
        <v>8</v>
      </c>
      <c r="S33" s="1311">
        <f t="shared" si="9"/>
        <v>102</v>
      </c>
      <c r="T33" s="1310" t="s">
        <v>8</v>
      </c>
      <c r="U33" s="1311">
        <f t="shared" si="10"/>
        <v>100.5</v>
      </c>
      <c r="V33" s="1310" t="s">
        <v>8</v>
      </c>
      <c r="W33" s="1311">
        <f t="shared" si="11"/>
        <v>102</v>
      </c>
      <c r="X33" s="1312"/>
      <c r="Y33" s="3626"/>
      <c r="Z33" s="1313" t="str">
        <f t="shared" si="12"/>
        <v>项目建筑规模</v>
      </c>
      <c r="AA33" s="1309">
        <f t="shared" si="3"/>
        <v>0.98039215686274506</v>
      </c>
      <c r="AB33" s="1309">
        <f t="shared" si="4"/>
        <v>0.99502487562189057</v>
      </c>
      <c r="AC33" s="1309">
        <f t="shared" si="5"/>
        <v>0.98039215686274506</v>
      </c>
    </row>
    <row r="34" spans="1:29" ht="15">
      <c r="A34" s="543"/>
      <c r="B34" s="477" t="s">
        <v>674</v>
      </c>
      <c r="C34" s="524" t="s">
        <v>3556</v>
      </c>
      <c r="D34" s="490">
        <v>100</v>
      </c>
      <c r="E34" s="524" t="s">
        <v>3556</v>
      </c>
      <c r="F34" s="525">
        <f>SUMIF(105:105,E34,106:106)-SUMIF(105:105,C34,106:106)+100</f>
        <v>100</v>
      </c>
      <c r="G34" s="524" t="s">
        <v>3556</v>
      </c>
      <c r="H34" s="490">
        <f>SUMIF(105:105,G34,106:106)-SUMIF(105:105,C34,106:106)+100</f>
        <v>100</v>
      </c>
      <c r="I34" s="524" t="s">
        <v>3556</v>
      </c>
      <c r="J34" s="490">
        <f>SUMIF(105:105,I34,106:106)-SUMIF(105:105,C34,106:106)+100</f>
        <v>100</v>
      </c>
      <c r="K34" s="794">
        <v>1</v>
      </c>
      <c r="L34" s="1749"/>
      <c r="M34" s="1742"/>
      <c r="N34" s="1742"/>
      <c r="O34" s="1748"/>
      <c r="P34" s="3626"/>
      <c r="Q34" s="1306" t="str">
        <f t="shared" si="8"/>
        <v>建筑结构</v>
      </c>
      <c r="R34" s="1307" t="s">
        <v>8</v>
      </c>
      <c r="S34" s="1308">
        <f t="shared" si="9"/>
        <v>100</v>
      </c>
      <c r="T34" s="1307" t="s">
        <v>8</v>
      </c>
      <c r="U34" s="1308">
        <f t="shared" si="10"/>
        <v>100</v>
      </c>
      <c r="V34" s="1307" t="s">
        <v>8</v>
      </c>
      <c r="W34" s="1308">
        <f t="shared" si="11"/>
        <v>100</v>
      </c>
      <c r="X34" s="1302"/>
      <c r="Y34" s="3626"/>
      <c r="Z34" s="1309" t="str">
        <f t="shared" si="12"/>
        <v>建筑结构</v>
      </c>
      <c r="AA34" s="1309">
        <f t="shared" si="3"/>
        <v>1</v>
      </c>
      <c r="AB34" s="1309">
        <f t="shared" si="4"/>
        <v>1</v>
      </c>
      <c r="AC34" s="1309">
        <f t="shared" si="5"/>
        <v>1</v>
      </c>
    </row>
    <row r="35" spans="1:29" ht="15">
      <c r="A35" s="543"/>
      <c r="B35" s="477" t="s">
        <v>675</v>
      </c>
      <c r="C35" s="548" t="s">
        <v>3557</v>
      </c>
      <c r="D35" s="490">
        <v>100</v>
      </c>
      <c r="E35" s="548" t="s">
        <v>3557</v>
      </c>
      <c r="F35" s="525">
        <f>SUMIF(107:107,E35,108:108)-SUMIF(107:107,C35,108:108)+100</f>
        <v>100</v>
      </c>
      <c r="G35" s="548" t="s">
        <v>3557</v>
      </c>
      <c r="H35" s="490">
        <f>SUMIF(107:107,G35,108:108)-SUMIF(107:107,C35,108:108)+100</f>
        <v>100</v>
      </c>
      <c r="I35" s="548" t="s">
        <v>3557</v>
      </c>
      <c r="J35" s="490">
        <f>SUMIF(107:107,I35,108:108)-SUMIF(107:107,C35,108:108)+100</f>
        <v>100</v>
      </c>
      <c r="K35" s="794">
        <v>1</v>
      </c>
      <c r="L35" s="1749"/>
      <c r="M35" s="1742"/>
      <c r="N35" s="1742"/>
      <c r="O35" s="1748"/>
      <c r="P35" s="3626"/>
      <c r="Q35" s="1306" t="str">
        <f t="shared" si="8"/>
        <v>建筑品质</v>
      </c>
      <c r="R35" s="1307" t="s">
        <v>8</v>
      </c>
      <c r="S35" s="1308">
        <f t="shared" si="9"/>
        <v>100</v>
      </c>
      <c r="T35" s="1307" t="s">
        <v>8</v>
      </c>
      <c r="U35" s="1308">
        <f t="shared" si="10"/>
        <v>100</v>
      </c>
      <c r="V35" s="1307" t="s">
        <v>8</v>
      </c>
      <c r="W35" s="1308">
        <f t="shared" si="11"/>
        <v>100</v>
      </c>
      <c r="X35" s="1302"/>
      <c r="Y35" s="3626"/>
      <c r="Z35" s="1309" t="str">
        <f t="shared" si="12"/>
        <v>建筑品质</v>
      </c>
      <c r="AA35" s="1309">
        <f t="shared" si="3"/>
        <v>1</v>
      </c>
      <c r="AB35" s="1309">
        <f t="shared" si="4"/>
        <v>1</v>
      </c>
      <c r="AC35" s="1309">
        <f t="shared" si="5"/>
        <v>1</v>
      </c>
    </row>
    <row r="36" spans="1:29" ht="15">
      <c r="A36" s="543"/>
      <c r="B36" s="477" t="s">
        <v>676</v>
      </c>
      <c r="C36" s="548" t="s">
        <v>3558</v>
      </c>
      <c r="D36" s="490">
        <v>100</v>
      </c>
      <c r="E36" s="548" t="s">
        <v>3558</v>
      </c>
      <c r="F36" s="525">
        <f>SUMIF(109:109,E36,110:110)-SUMIF(109:109,C36,110:110)+100</f>
        <v>100</v>
      </c>
      <c r="G36" s="548" t="s">
        <v>3558</v>
      </c>
      <c r="H36" s="490">
        <f>SUMIF(109:109,G36,110:110)-SUMIF(109:109,C36,110:110)+100</f>
        <v>100</v>
      </c>
      <c r="I36" s="548" t="s">
        <v>3558</v>
      </c>
      <c r="J36" s="490">
        <f>SUMIF(109:109,I36,110:110)-SUMIF(109:109,C36,110:110)+100</f>
        <v>100</v>
      </c>
      <c r="K36" s="794">
        <v>1</v>
      </c>
      <c r="L36" s="1749"/>
      <c r="M36" s="1742"/>
      <c r="N36" s="1742"/>
      <c r="O36" s="1748"/>
      <c r="P36" s="3626"/>
      <c r="Q36" s="1306" t="str">
        <f t="shared" si="8"/>
        <v>公共部分装修</v>
      </c>
      <c r="R36" s="1307" t="s">
        <v>8</v>
      </c>
      <c r="S36" s="1308">
        <f t="shared" si="9"/>
        <v>100</v>
      </c>
      <c r="T36" s="1307" t="s">
        <v>8</v>
      </c>
      <c r="U36" s="1308">
        <f t="shared" si="10"/>
        <v>100</v>
      </c>
      <c r="V36" s="1307" t="s">
        <v>8</v>
      </c>
      <c r="W36" s="1308">
        <f t="shared" si="11"/>
        <v>100</v>
      </c>
      <c r="X36" s="1302"/>
      <c r="Y36" s="3626"/>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v>1</v>
      </c>
      <c r="L37" s="1743"/>
      <c r="M37" s="1640"/>
      <c r="N37" s="1640"/>
      <c r="O37" s="1744"/>
      <c r="P37" s="3626"/>
      <c r="Q37" s="817" t="str">
        <f t="shared" si="8"/>
        <v>成新度</v>
      </c>
      <c r="R37" s="1303" t="s">
        <v>8</v>
      </c>
      <c r="S37" s="1304">
        <f t="shared" si="9"/>
        <v>100</v>
      </c>
      <c r="T37" s="1303" t="s">
        <v>8</v>
      </c>
      <c r="U37" s="1304">
        <f t="shared" si="10"/>
        <v>100</v>
      </c>
      <c r="V37" s="1303" t="s">
        <v>8</v>
      </c>
      <c r="W37" s="1304">
        <f t="shared" si="11"/>
        <v>100</v>
      </c>
      <c r="X37" s="1305"/>
      <c r="Y37" s="3626"/>
      <c r="Z37" s="996" t="str">
        <f t="shared" si="12"/>
        <v>成新度</v>
      </c>
      <c r="AA37" s="996">
        <f t="shared" si="3"/>
        <v>1</v>
      </c>
      <c r="AB37" s="996">
        <f t="shared" si="4"/>
        <v>1</v>
      </c>
      <c r="AC37" s="996">
        <f t="shared" si="5"/>
        <v>1</v>
      </c>
    </row>
    <row r="38" spans="1:29" ht="15">
      <c r="A38" s="543"/>
      <c r="B38" s="477" t="s">
        <v>678</v>
      </c>
      <c r="C38" s="548" t="s">
        <v>3559</v>
      </c>
      <c r="D38" s="490">
        <v>100</v>
      </c>
      <c r="E38" s="548" t="s">
        <v>3559</v>
      </c>
      <c r="F38" s="525">
        <f>SUMIF(114:114,E38,115:115)-SUMIF(114:114,C38,115:115)+100</f>
        <v>100</v>
      </c>
      <c r="G38" s="548" t="s">
        <v>3559</v>
      </c>
      <c r="H38" s="490">
        <f>SUMIF(114:114,G38,115:115)-SUMIF(114:114,C38,115:115)+100</f>
        <v>100</v>
      </c>
      <c r="I38" s="548" t="s">
        <v>3559</v>
      </c>
      <c r="J38" s="490">
        <f>SUMIF(114:114,I38,115:115)-SUMIF(114:114,C38,115:115)+100</f>
        <v>100</v>
      </c>
      <c r="K38" s="794">
        <v>1</v>
      </c>
      <c r="L38" s="1749"/>
      <c r="M38" s="1742"/>
      <c r="N38" s="1742"/>
      <c r="O38" s="1748"/>
      <c r="P38" s="3626" t="s">
        <v>499</v>
      </c>
      <c r="Q38" s="1306" t="str">
        <f t="shared" si="8"/>
        <v>物业管理</v>
      </c>
      <c r="R38" s="1307" t="s">
        <v>8</v>
      </c>
      <c r="S38" s="1308">
        <f t="shared" si="9"/>
        <v>100</v>
      </c>
      <c r="T38" s="1307" t="s">
        <v>8</v>
      </c>
      <c r="U38" s="1308">
        <f t="shared" si="10"/>
        <v>100</v>
      </c>
      <c r="V38" s="1307" t="s">
        <v>8</v>
      </c>
      <c r="W38" s="1308">
        <f t="shared" si="11"/>
        <v>100</v>
      </c>
      <c r="X38" s="1302"/>
      <c r="Y38" s="3626" t="s">
        <v>499</v>
      </c>
      <c r="Z38" s="1309" t="str">
        <f t="shared" si="12"/>
        <v>物业管理</v>
      </c>
      <c r="AA38" s="1309">
        <f t="shared" si="3"/>
        <v>1</v>
      </c>
      <c r="AB38" s="1309">
        <f t="shared" si="4"/>
        <v>1</v>
      </c>
      <c r="AC38" s="1309">
        <f t="shared" si="5"/>
        <v>1</v>
      </c>
    </row>
    <row r="39" spans="1:29" ht="15">
      <c r="A39" s="543"/>
      <c r="B39" s="1554" t="s">
        <v>1847</v>
      </c>
      <c r="C39" s="548" t="s">
        <v>3538</v>
      </c>
      <c r="D39" s="490">
        <v>100</v>
      </c>
      <c r="E39" s="548" t="s">
        <v>3538</v>
      </c>
      <c r="F39" s="525">
        <f>SUMIF(116:116,E39,117:117)-SUMIF(116:116,C39,117:117)+100</f>
        <v>100</v>
      </c>
      <c r="G39" s="548" t="s">
        <v>3538</v>
      </c>
      <c r="H39" s="490">
        <f>SUMIF(116:116,G39,117:117)-SUMIF(116:116,C39,117:117)+100</f>
        <v>100</v>
      </c>
      <c r="I39" s="548" t="s">
        <v>3538</v>
      </c>
      <c r="J39" s="490">
        <f>SUMIF(116:116,I39,117:117)-SUMIF(116:116,C39,117:117)+100</f>
        <v>100</v>
      </c>
      <c r="K39" s="794">
        <v>1</v>
      </c>
      <c r="L39" s="1749"/>
      <c r="M39" s="1742"/>
      <c r="N39" s="1742"/>
      <c r="O39" s="1748"/>
      <c r="P39" s="3626"/>
      <c r="Q39" s="1306" t="str">
        <f t="shared" si="8"/>
        <v>市政基础设施</v>
      </c>
      <c r="R39" s="1307" t="s">
        <v>8</v>
      </c>
      <c r="S39" s="1308">
        <f t="shared" si="9"/>
        <v>100</v>
      </c>
      <c r="T39" s="1307" t="s">
        <v>8</v>
      </c>
      <c r="U39" s="1308">
        <f t="shared" si="10"/>
        <v>100</v>
      </c>
      <c r="V39" s="1307" t="s">
        <v>8</v>
      </c>
      <c r="W39" s="1308">
        <f t="shared" si="11"/>
        <v>100</v>
      </c>
      <c r="X39" s="1302"/>
      <c r="Y39" s="3626"/>
      <c r="Z39" s="1309" t="str">
        <f t="shared" si="12"/>
        <v>市政基础设施</v>
      </c>
      <c r="AA39" s="1309">
        <f t="shared" si="3"/>
        <v>1</v>
      </c>
      <c r="AB39" s="1309">
        <f t="shared" si="4"/>
        <v>1</v>
      </c>
      <c r="AC39" s="1309">
        <f t="shared" si="5"/>
        <v>1</v>
      </c>
    </row>
    <row r="40" spans="1:29" ht="15">
      <c r="A40" s="543"/>
      <c r="B40" s="477" t="s">
        <v>679</v>
      </c>
      <c r="C40" s="548" t="s">
        <v>3560</v>
      </c>
      <c r="D40" s="490">
        <v>100</v>
      </c>
      <c r="E40" s="548" t="s">
        <v>3560</v>
      </c>
      <c r="F40" s="525">
        <f>SUMIF(118:118,E40,119:119)-SUMIF(118:118,C40,119:119)+100</f>
        <v>100</v>
      </c>
      <c r="G40" s="548" t="s">
        <v>3560</v>
      </c>
      <c r="H40" s="490">
        <f>SUMIF(118:118,G40,119:119)-SUMIF(118:118,C40,119:119)+100</f>
        <v>100</v>
      </c>
      <c r="I40" s="548" t="s">
        <v>3560</v>
      </c>
      <c r="J40" s="490">
        <f>SUMIF(118:118,I40,119:119)-SUMIF(118:118,C40,119:119)+100</f>
        <v>100</v>
      </c>
      <c r="K40" s="794">
        <v>1</v>
      </c>
      <c r="L40" s="1749"/>
      <c r="M40" s="1742"/>
      <c r="N40" s="1742"/>
      <c r="O40" s="1748"/>
      <c r="P40" s="3626"/>
      <c r="Q40" s="1306" t="str">
        <f t="shared" si="8"/>
        <v>房型</v>
      </c>
      <c r="R40" s="1307" t="s">
        <v>8</v>
      </c>
      <c r="S40" s="1308">
        <f t="shared" si="9"/>
        <v>100</v>
      </c>
      <c r="T40" s="1307" t="s">
        <v>8</v>
      </c>
      <c r="U40" s="1308">
        <f t="shared" si="10"/>
        <v>100</v>
      </c>
      <c r="V40" s="1307" t="s">
        <v>8</v>
      </c>
      <c r="W40" s="1308">
        <f t="shared" si="11"/>
        <v>100</v>
      </c>
      <c r="X40" s="1302"/>
      <c r="Y40" s="3626"/>
      <c r="Z40" s="1309" t="str">
        <f t="shared" si="12"/>
        <v>房型</v>
      </c>
      <c r="AA40" s="1309">
        <f t="shared" si="3"/>
        <v>1</v>
      </c>
      <c r="AB40" s="1309">
        <f t="shared" si="4"/>
        <v>1</v>
      </c>
      <c r="AC40" s="1309">
        <f t="shared" si="5"/>
        <v>1</v>
      </c>
    </row>
    <row r="41" spans="1:29" s="1133" customFormat="1" ht="28.5" hidden="1">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26"/>
      <c r="Q41" s="818" t="str">
        <f t="shared" si="8"/>
        <v>单套/主力户型建筑面积</v>
      </c>
      <c r="R41" s="1310" t="s">
        <v>8</v>
      </c>
      <c r="S41" s="1311">
        <f t="shared" si="9"/>
        <v>100</v>
      </c>
      <c r="T41" s="1310" t="s">
        <v>8</v>
      </c>
      <c r="U41" s="1311">
        <f t="shared" si="10"/>
        <v>100</v>
      </c>
      <c r="V41" s="1310" t="s">
        <v>8</v>
      </c>
      <c r="W41" s="1311">
        <f t="shared" si="11"/>
        <v>100</v>
      </c>
      <c r="X41" s="1312"/>
      <c r="Y41" s="3626"/>
      <c r="Z41" s="1313" t="str">
        <f t="shared" si="12"/>
        <v>单套/主力户型建筑面积</v>
      </c>
      <c r="AA41" s="1309">
        <f t="shared" si="3"/>
        <v>1</v>
      </c>
      <c r="AB41" s="1309">
        <f t="shared" si="4"/>
        <v>1</v>
      </c>
      <c r="AC41" s="1309">
        <f t="shared" si="5"/>
        <v>1</v>
      </c>
    </row>
    <row r="42" spans="1:29" ht="15">
      <c r="A42" s="543"/>
      <c r="B42" s="477" t="s">
        <v>681</v>
      </c>
      <c r="C42" s="548" t="s">
        <v>3561</v>
      </c>
      <c r="D42" s="490">
        <v>100</v>
      </c>
      <c r="E42" s="548" t="s">
        <v>3561</v>
      </c>
      <c r="F42" s="525">
        <f>SUMIF(122:122,E42,123:123)-SUMIF(122:122,C42,123:123)+100</f>
        <v>100</v>
      </c>
      <c r="G42" s="548" t="s">
        <v>3561</v>
      </c>
      <c r="H42" s="490">
        <f>SUMIF(122:122,G42,123:123)-SUMIF(122:122,C42,123:123)+100</f>
        <v>100</v>
      </c>
      <c r="I42" s="548" t="s">
        <v>3561</v>
      </c>
      <c r="J42" s="490">
        <f>SUMIF(122:122,I42,123:123)-SUMIF(122:122,C42,123:123)+100</f>
        <v>100</v>
      </c>
      <c r="K42" s="794">
        <v>1</v>
      </c>
      <c r="L42" s="1749"/>
      <c r="M42" s="1742"/>
      <c r="N42" s="1742"/>
      <c r="O42" s="1748"/>
      <c r="P42" s="3626"/>
      <c r="Q42" s="1306" t="str">
        <f t="shared" si="8"/>
        <v>内部装修</v>
      </c>
      <c r="R42" s="1307" t="s">
        <v>8</v>
      </c>
      <c r="S42" s="1308">
        <f t="shared" si="9"/>
        <v>100</v>
      </c>
      <c r="T42" s="1307" t="s">
        <v>8</v>
      </c>
      <c r="U42" s="1308">
        <f t="shared" si="10"/>
        <v>100</v>
      </c>
      <c r="V42" s="1307" t="s">
        <v>8</v>
      </c>
      <c r="W42" s="1308">
        <f t="shared" si="11"/>
        <v>100</v>
      </c>
      <c r="X42" s="1302"/>
      <c r="Y42" s="3626"/>
      <c r="Z42" s="1309" t="str">
        <f t="shared" si="12"/>
        <v>内部装修</v>
      </c>
      <c r="AA42" s="1309">
        <f t="shared" si="3"/>
        <v>1</v>
      </c>
      <c r="AB42" s="1309">
        <f t="shared" si="4"/>
        <v>1</v>
      </c>
      <c r="AC42" s="1309">
        <f t="shared" si="5"/>
        <v>1</v>
      </c>
    </row>
    <row r="43" spans="1:29" ht="27.75" thickBot="1">
      <c r="A43" s="543"/>
      <c r="B43" s="477" t="s">
        <v>682</v>
      </c>
      <c r="C43" s="548" t="s">
        <v>3539</v>
      </c>
      <c r="D43" s="490">
        <v>100</v>
      </c>
      <c r="E43" s="548" t="s">
        <v>3539</v>
      </c>
      <c r="F43" s="525">
        <f>SUMIF(124:124,E43,125:125)-SUMIF(124:124,C43,125:125)+100</f>
        <v>100</v>
      </c>
      <c r="G43" s="548" t="s">
        <v>3539</v>
      </c>
      <c r="H43" s="490">
        <f>SUMIF(124:124,G43,125:125)-SUMIF(124:124,C43,125:125)+100</f>
        <v>100</v>
      </c>
      <c r="I43" s="548" t="s">
        <v>3539</v>
      </c>
      <c r="J43" s="490">
        <f>SUMIF(124:124,I43,125:125)-SUMIF(124:124,C43,125:125)+100</f>
        <v>100</v>
      </c>
      <c r="K43" s="794">
        <v>1</v>
      </c>
      <c r="L43" s="1749"/>
      <c r="M43" s="1742"/>
      <c r="N43" s="1742"/>
      <c r="O43" s="1748"/>
      <c r="P43" s="3626"/>
      <c r="Q43" s="1306" t="str">
        <f t="shared" si="8"/>
        <v>内部装修维护情况</v>
      </c>
      <c r="R43" s="1307" t="s">
        <v>8</v>
      </c>
      <c r="S43" s="1308">
        <f t="shared" si="9"/>
        <v>100</v>
      </c>
      <c r="T43" s="1307" t="s">
        <v>8</v>
      </c>
      <c r="U43" s="1308">
        <f t="shared" si="10"/>
        <v>100</v>
      </c>
      <c r="V43" s="1307" t="s">
        <v>8</v>
      </c>
      <c r="W43" s="1308">
        <f t="shared" si="11"/>
        <v>100</v>
      </c>
      <c r="X43" s="1302"/>
      <c r="Y43" s="3626"/>
      <c r="Z43" s="1309" t="str">
        <f t="shared" si="12"/>
        <v>内部装修维护情况</v>
      </c>
      <c r="AA43" s="1309">
        <f t="shared" si="3"/>
        <v>1</v>
      </c>
      <c r="AB43" s="1309">
        <f t="shared" si="4"/>
        <v>1</v>
      </c>
      <c r="AC43" s="1309">
        <f t="shared" si="5"/>
        <v>1</v>
      </c>
    </row>
    <row r="44" spans="1:29" s="1059" customFormat="1" ht="15" hidden="1">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26"/>
      <c r="Q44" s="817">
        <f t="shared" si="8"/>
        <v>111</v>
      </c>
      <c r="R44" s="1303" t="s">
        <v>8</v>
      </c>
      <c r="S44" s="1304">
        <f t="shared" si="9"/>
        <v>100</v>
      </c>
      <c r="T44" s="1303" t="s">
        <v>8</v>
      </c>
      <c r="U44" s="1304">
        <f t="shared" si="10"/>
        <v>100</v>
      </c>
      <c r="V44" s="1303" t="s">
        <v>8</v>
      </c>
      <c r="W44" s="1304">
        <f t="shared" si="11"/>
        <v>100</v>
      </c>
      <c r="X44" s="1305"/>
      <c r="Y44" s="3626"/>
      <c r="Z44" s="996">
        <f t="shared" si="12"/>
        <v>111</v>
      </c>
      <c r="AA44" s="996">
        <f t="shared" si="3"/>
        <v>1</v>
      </c>
      <c r="AB44" s="996">
        <f t="shared" si="4"/>
        <v>1</v>
      </c>
      <c r="AC44" s="996">
        <f t="shared" si="5"/>
        <v>1</v>
      </c>
    </row>
    <row r="45" spans="1:29" ht="15" hidden="1">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26"/>
      <c r="Q45" s="1306">
        <f t="shared" si="8"/>
        <v>111</v>
      </c>
      <c r="R45" s="1307" t="s">
        <v>8</v>
      </c>
      <c r="S45" s="1308">
        <f t="shared" si="9"/>
        <v>100</v>
      </c>
      <c r="T45" s="1307" t="s">
        <v>8</v>
      </c>
      <c r="U45" s="1308">
        <f t="shared" si="10"/>
        <v>100</v>
      </c>
      <c r="V45" s="1307" t="s">
        <v>8</v>
      </c>
      <c r="W45" s="1308">
        <f t="shared" si="11"/>
        <v>100</v>
      </c>
      <c r="X45" s="1302"/>
      <c r="Y45" s="3626"/>
      <c r="Z45" s="1309">
        <f t="shared" si="12"/>
        <v>111</v>
      </c>
      <c r="AA45" s="1309">
        <f t="shared" si="3"/>
        <v>1</v>
      </c>
      <c r="AB45" s="1309">
        <f t="shared" si="4"/>
        <v>1</v>
      </c>
      <c r="AC45" s="1309">
        <f t="shared" si="5"/>
        <v>1</v>
      </c>
    </row>
    <row r="46" spans="1:29" ht="15.75" hidden="1"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16"/>
      <c r="Q46" s="1306">
        <f t="shared" si="8"/>
        <v>111</v>
      </c>
      <c r="R46" s="1307" t="s">
        <v>7</v>
      </c>
      <c r="S46" s="1308">
        <f t="shared" si="9"/>
        <v>100</v>
      </c>
      <c r="T46" s="1307" t="s">
        <v>7</v>
      </c>
      <c r="U46" s="1308">
        <f t="shared" si="10"/>
        <v>100</v>
      </c>
      <c r="V46" s="1307" t="s">
        <v>7</v>
      </c>
      <c r="W46" s="1308">
        <f t="shared" si="11"/>
        <v>100</v>
      </c>
      <c r="X46" s="1302"/>
      <c r="Y46" s="3716"/>
      <c r="Z46" s="1309">
        <f t="shared" si="12"/>
        <v>111</v>
      </c>
      <c r="AA46" s="1309">
        <f t="shared" si="3"/>
        <v>1</v>
      </c>
      <c r="AB46" s="1309">
        <f t="shared" si="4"/>
        <v>1</v>
      </c>
      <c r="AC46" s="1309">
        <f t="shared" si="5"/>
        <v>1</v>
      </c>
    </row>
    <row r="47" spans="1:29" ht="15">
      <c r="A47" s="556" t="s">
        <v>683</v>
      </c>
      <c r="B47" s="811"/>
      <c r="C47" s="2081" t="s">
        <v>6</v>
      </c>
      <c r="D47" s="559"/>
      <c r="E47" s="560">
        <f>6500*0.95</f>
        <v>6175</v>
      </c>
      <c r="F47" s="561"/>
      <c r="G47" s="562">
        <f>6000*0.95</f>
        <v>5700</v>
      </c>
      <c r="H47" s="563"/>
      <c r="I47" s="560">
        <f>7000*0.95</f>
        <v>6650</v>
      </c>
      <c r="J47" s="563"/>
      <c r="K47" s="1331"/>
      <c r="L47" s="1751"/>
      <c r="M47" s="1742"/>
      <c r="N47" s="1742"/>
      <c r="O47" s="1742"/>
      <c r="P47" s="3590" t="str">
        <f>A47</f>
        <v>成交单价（元/平方米）</v>
      </c>
      <c r="Q47" s="3590"/>
      <c r="R47" s="3591">
        <f>E47</f>
        <v>6175</v>
      </c>
      <c r="S47" s="3591"/>
      <c r="T47" s="3591">
        <f>G47</f>
        <v>5700</v>
      </c>
      <c r="U47" s="3591"/>
      <c r="V47" s="3591">
        <f>I47</f>
        <v>6650</v>
      </c>
      <c r="W47" s="3591"/>
      <c r="X47" s="799"/>
      <c r="Y47" s="1314"/>
      <c r="Z47" s="799"/>
      <c r="AA47" s="799"/>
      <c r="AB47" s="799"/>
      <c r="AC47" s="799"/>
    </row>
    <row r="48" spans="1:29" ht="15.75" thickBot="1">
      <c r="A48" s="564" t="s">
        <v>2042</v>
      </c>
      <c r="B48" s="812"/>
      <c r="C48" s="2082">
        <f>R49</f>
        <v>4325</v>
      </c>
      <c r="D48" s="2550" t="s">
        <v>2251</v>
      </c>
      <c r="E48" s="2083">
        <f>R48</f>
        <v>4305</v>
      </c>
      <c r="F48" s="2551"/>
      <c r="G48" s="2082">
        <f>T48</f>
        <v>4034</v>
      </c>
      <c r="H48" s="2551"/>
      <c r="I48" s="2083">
        <f>V48</f>
        <v>4637</v>
      </c>
      <c r="J48" s="2551"/>
      <c r="K48" s="2558">
        <f>F48+H48+J48</f>
        <v>0</v>
      </c>
      <c r="L48" s="1751"/>
      <c r="M48" s="1742"/>
      <c r="N48" s="1742"/>
      <c r="O48" s="1742"/>
      <c r="P48" s="3590" t="str">
        <f>A48</f>
        <v>比较价格（元/平方米）</v>
      </c>
      <c r="Q48" s="3590"/>
      <c r="R48" s="3591">
        <f>IF(F1="售价",ROUND(PRODUCT(R47,AA7:AA46),0),ROUND(PRODUCT(R47,AA7:AA46),1))</f>
        <v>4305</v>
      </c>
      <c r="S48" s="3591"/>
      <c r="T48" s="3591">
        <f>IF(F1="售价",ROUND(PRODUCT(T47,AB7:AB46),0),ROUND(PRODUCT(T47,AB7:AB46),1))</f>
        <v>4034</v>
      </c>
      <c r="U48" s="3591"/>
      <c r="V48" s="3591">
        <f>IF(F1="售价",ROUND(PRODUCT(V47,AC7:AC46),0),ROUND(PRODUCT(V47,AC7:AC46),1))</f>
        <v>4637</v>
      </c>
      <c r="W48" s="3591"/>
      <c r="X48" s="799"/>
      <c r="Y48" s="799"/>
      <c r="Z48" s="799"/>
      <c r="AA48" s="799"/>
      <c r="AB48" s="799"/>
      <c r="AC48" s="799"/>
    </row>
    <row r="49" spans="1:29" ht="15.75" thickBot="1">
      <c r="A49" s="568" t="s">
        <v>2188</v>
      </c>
      <c r="B49" s="569"/>
      <c r="C49" s="469">
        <f>R49</f>
        <v>4325</v>
      </c>
      <c r="D49" s="469"/>
      <c r="E49" s="469"/>
      <c r="F49" s="469"/>
      <c r="G49" s="469"/>
      <c r="H49" s="469"/>
      <c r="I49" s="469"/>
      <c r="J49" s="469"/>
      <c r="K49" s="1332"/>
      <c r="L49" s="1751"/>
      <c r="M49" s="1742"/>
      <c r="N49" s="1742"/>
      <c r="O49" s="1742"/>
      <c r="P49" s="3627" t="str">
        <f>A49</f>
        <v>估价对象XX用房的比较价格（楼面单价，元/平方米）</v>
      </c>
      <c r="Q49" s="3628"/>
      <c r="R49" s="3715">
        <f>IF(F1="售价",ROUND(IF(D48="简单平均",AVERAGE(R48:V48),R48*F48+T48*H48+V48*J48),0),ROUND(IF(D48="简单平均",AVERAGE(R48:V48),R48*F48+T48*H48+V48*J48),1))</f>
        <v>4325</v>
      </c>
      <c r="S49" s="3715"/>
      <c r="T49" s="3715"/>
      <c r="U49" s="3715"/>
      <c r="V49" s="3715"/>
      <c r="W49" s="3715"/>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0.4343786295005807</v>
      </c>
      <c r="F52" s="574" t="str">
        <f>IF(OR(E52&gt;=0.3,E52&lt;=-0.3),"超过30%","")</f>
        <v>超过30%</v>
      </c>
      <c r="G52" s="573">
        <f>IF(G47&lt;G48,G48/G47-1,G47/G48-1)</f>
        <v>0.41298958849776901</v>
      </c>
      <c r="H52" s="574" t="str">
        <f>IF(OR(G52&gt;=0.3,G52&lt;=-0.3),"超过30%","")</f>
        <v>超过30%</v>
      </c>
      <c r="I52" s="573">
        <f>IF(I47&lt;I48,I48/I47-1,I47/I48-1)</f>
        <v>0.43411688591761921</v>
      </c>
      <c r="J52" s="574" t="str">
        <f>IF(OR(I52&gt;=0.3,I52&lt;=-0.3),"超过30%","")</f>
        <v>超过30%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6.7178978681209811E-2</v>
      </c>
      <c r="F53" s="574" t="str">
        <f>IF(OR(E53&gt;=0.2,E53&lt;=-0.2),"超过20%","")</f>
        <v/>
      </c>
      <c r="G53" s="573">
        <f>IF(G48&lt;I48,I48/G48-1,G48/I48-1)</f>
        <v>0.14947942488844812</v>
      </c>
      <c r="H53" s="574" t="str">
        <f>IF(OR(G53&gt;=0.2,G53&lt;=-0.2),"超过20%","")</f>
        <v/>
      </c>
      <c r="I53" s="573">
        <f>IF(I48&lt;E48,E48/I48-1,I48/E48-1)</f>
        <v>7.7119628339140434E-2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v>6</v>
      </c>
      <c r="J68" s="491">
        <v>7</v>
      </c>
      <c r="K68" s="491">
        <v>8</v>
      </c>
      <c r="L68" s="491">
        <v>9</v>
      </c>
      <c r="M68" s="491">
        <v>10</v>
      </c>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95</v>
      </c>
      <c r="E79" s="621">
        <f>D79-$K17</f>
        <v>90</v>
      </c>
      <c r="F79" s="621">
        <f>E79-$K17</f>
        <v>85</v>
      </c>
      <c r="G79" s="621">
        <f>F79-$K17</f>
        <v>80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95</v>
      </c>
      <c r="E85" s="621">
        <f>D85-$K23</f>
        <v>90</v>
      </c>
      <c r="F85" s="621">
        <f>E85-$K23</f>
        <v>85</v>
      </c>
      <c r="G85" s="621">
        <f>F85-$K23</f>
        <v>80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3" t="s">
        <v>3563</v>
      </c>
      <c r="D100" s="3413" t="s">
        <v>1619</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1">
        <f t="shared" si="18"/>
        <v>80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300000</v>
      </c>
      <c r="G103" s="79">
        <v>400000</v>
      </c>
      <c r="H103" s="79">
        <v>500000</v>
      </c>
      <c r="I103" s="79">
        <v>800000</v>
      </c>
      <c r="J103" s="669">
        <v>1000000</v>
      </c>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9"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99</v>
      </c>
      <c r="E106" s="621">
        <f t="shared" si="20"/>
        <v>98</v>
      </c>
      <c r="F106" s="621">
        <f t="shared" si="20"/>
        <v>97</v>
      </c>
      <c r="G106" s="621">
        <f t="shared" si="20"/>
        <v>96</v>
      </c>
      <c r="H106" s="621">
        <f t="shared" si="20"/>
        <v>95</v>
      </c>
      <c r="I106" s="621">
        <f t="shared" si="20"/>
        <v>94</v>
      </c>
      <c r="J106" s="621">
        <f t="shared" si="20"/>
        <v>93</v>
      </c>
      <c r="K106" s="621">
        <f t="shared" si="20"/>
        <v>92</v>
      </c>
      <c r="L106" s="621">
        <f t="shared" si="20"/>
        <v>91</v>
      </c>
      <c r="M106" s="621">
        <f t="shared" si="20"/>
        <v>90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8" t="s">
        <v>3564</v>
      </c>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99</v>
      </c>
      <c r="E108" s="621">
        <f t="shared" si="21"/>
        <v>98</v>
      </c>
      <c r="F108" s="621">
        <f t="shared" si="21"/>
        <v>97</v>
      </c>
      <c r="G108" s="621">
        <f t="shared" si="21"/>
        <v>96</v>
      </c>
      <c r="H108" s="621">
        <f t="shared" si="21"/>
        <v>95</v>
      </c>
      <c r="I108" s="621">
        <f t="shared" si="21"/>
        <v>94</v>
      </c>
      <c r="J108" s="621">
        <f t="shared" si="21"/>
        <v>93</v>
      </c>
      <c r="K108" s="621">
        <f t="shared" si="21"/>
        <v>92</v>
      </c>
      <c r="L108" s="621">
        <f t="shared" si="21"/>
        <v>91</v>
      </c>
      <c r="M108" s="621">
        <f t="shared" si="21"/>
        <v>90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9" t="s">
        <v>3565</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99</v>
      </c>
      <c r="E110" s="621">
        <f t="shared" si="22"/>
        <v>98</v>
      </c>
      <c r="F110" s="621">
        <f t="shared" si="22"/>
        <v>97</v>
      </c>
      <c r="G110" s="621">
        <f t="shared" si="22"/>
        <v>96</v>
      </c>
      <c r="H110" s="621">
        <f t="shared" si="22"/>
        <v>95</v>
      </c>
      <c r="I110" s="621">
        <f t="shared" si="22"/>
        <v>94</v>
      </c>
      <c r="J110" s="621">
        <f t="shared" si="22"/>
        <v>93</v>
      </c>
      <c r="K110" s="621">
        <f t="shared" si="22"/>
        <v>92</v>
      </c>
      <c r="L110" s="621">
        <f t="shared" si="22"/>
        <v>91</v>
      </c>
      <c r="M110" s="621">
        <f t="shared" si="22"/>
        <v>90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9" t="s">
        <v>3566</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99</v>
      </c>
      <c r="E115" s="621">
        <f t="shared" si="23"/>
        <v>98</v>
      </c>
      <c r="F115" s="621">
        <f t="shared" si="23"/>
        <v>97</v>
      </c>
      <c r="G115" s="621">
        <f t="shared" si="23"/>
        <v>96</v>
      </c>
      <c r="H115" s="621">
        <f t="shared" si="23"/>
        <v>95</v>
      </c>
      <c r="I115" s="621">
        <f t="shared" si="23"/>
        <v>94</v>
      </c>
      <c r="J115" s="621">
        <f t="shared" si="23"/>
        <v>93</v>
      </c>
      <c r="K115" s="621">
        <f t="shared" si="23"/>
        <v>92</v>
      </c>
      <c r="L115" s="621">
        <f t="shared" si="23"/>
        <v>91</v>
      </c>
      <c r="M115" s="621">
        <f t="shared" si="23"/>
        <v>90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09" t="s">
        <v>1501</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3408" t="s">
        <v>3567</v>
      </c>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99</v>
      </c>
      <c r="E119" s="621">
        <f t="shared" si="24"/>
        <v>98</v>
      </c>
      <c r="F119" s="621">
        <f t="shared" si="24"/>
        <v>97</v>
      </c>
      <c r="G119" s="621">
        <f t="shared" si="24"/>
        <v>96</v>
      </c>
      <c r="H119" s="621">
        <f t="shared" si="24"/>
        <v>95</v>
      </c>
      <c r="I119" s="621">
        <f t="shared" si="24"/>
        <v>94</v>
      </c>
      <c r="J119" s="621">
        <f t="shared" si="24"/>
        <v>93</v>
      </c>
      <c r="K119" s="621">
        <f t="shared" si="24"/>
        <v>92</v>
      </c>
      <c r="L119" s="621">
        <f t="shared" si="24"/>
        <v>91</v>
      </c>
      <c r="M119" s="621">
        <f t="shared" si="24"/>
        <v>90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9" t="s">
        <v>3565</v>
      </c>
      <c r="D122" s="3409" t="s">
        <v>3568</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99</v>
      </c>
      <c r="E123" s="621">
        <f t="shared" si="25"/>
        <v>98</v>
      </c>
      <c r="F123" s="621">
        <f t="shared" si="25"/>
        <v>97</v>
      </c>
      <c r="G123" s="621">
        <f t="shared" si="25"/>
        <v>96</v>
      </c>
      <c r="H123" s="621">
        <f t="shared" si="25"/>
        <v>95</v>
      </c>
      <c r="I123" s="621">
        <f t="shared" si="25"/>
        <v>94</v>
      </c>
      <c r="J123" s="621">
        <f t="shared" si="25"/>
        <v>93</v>
      </c>
      <c r="K123" s="621">
        <f t="shared" si="25"/>
        <v>92</v>
      </c>
      <c r="L123" s="621">
        <f t="shared" si="25"/>
        <v>91</v>
      </c>
      <c r="M123" s="621">
        <f t="shared" si="25"/>
        <v>90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99</v>
      </c>
      <c r="E125" s="621">
        <f>D125-$K43</f>
        <v>98</v>
      </c>
      <c r="F125" s="621">
        <f>E125-$K43</f>
        <v>97</v>
      </c>
      <c r="G125" s="621">
        <f>F125-$K43</f>
        <v>96</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64" workbookViewId="0">
      <selection activeCell="K86" sqref="A86:K91"/>
    </sheetView>
  </sheetViews>
  <sheetFormatPr defaultRowHeight="12"/>
  <cols>
    <col min="1" max="1" width="30.125" style="3404" customWidth="1"/>
    <col min="2" max="2" width="6.375" style="3404" customWidth="1"/>
    <col min="3" max="3" width="18.625" style="3404" bestFit="1" customWidth="1"/>
    <col min="4" max="4" width="8.5" style="3404" bestFit="1" customWidth="1"/>
    <col min="5" max="5" width="10.625" style="3404" customWidth="1"/>
    <col min="6" max="6" width="6" style="3404" customWidth="1"/>
    <col min="7" max="7" width="9.25" style="3404" customWidth="1"/>
    <col min="8" max="8" width="19.5" style="3404" bestFit="1" customWidth="1"/>
    <col min="9" max="9" width="6.25" style="3404" customWidth="1"/>
    <col min="10" max="10" width="11" style="3404" bestFit="1" customWidth="1"/>
    <col min="11" max="11" width="8" style="3404" bestFit="1" customWidth="1"/>
    <col min="12" max="12" width="10.25" style="3404" bestFit="1" customWidth="1"/>
    <col min="13" max="14" width="8" style="3404" bestFit="1" customWidth="1"/>
    <col min="15" max="15" width="9.125" style="3404" customWidth="1"/>
    <col min="16" max="16" width="10.25" style="3404" customWidth="1"/>
    <col min="17" max="17" width="10.625" style="3404" customWidth="1"/>
    <col min="18" max="18" width="9" style="3404" bestFit="1" customWidth="1"/>
    <col min="19" max="19" width="36.75" style="3404" customWidth="1"/>
    <col min="20" max="16384" width="9" style="3404"/>
  </cols>
  <sheetData>
    <row r="1" spans="1:19" s="3405" customFormat="1">
      <c r="A1" s="3722" t="s">
        <v>3535</v>
      </c>
      <c r="B1" s="3722" t="s">
        <v>3534</v>
      </c>
      <c r="C1" s="3722" t="s">
        <v>3533</v>
      </c>
      <c r="D1" s="3722" t="s">
        <v>3532</v>
      </c>
      <c r="E1" s="3722" t="s">
        <v>3531</v>
      </c>
      <c r="F1" s="3722" t="s">
        <v>3530</v>
      </c>
      <c r="G1" s="3722" t="s">
        <v>3529</v>
      </c>
      <c r="H1" s="3722" t="s">
        <v>3528</v>
      </c>
      <c r="I1" s="3722" t="s">
        <v>3527</v>
      </c>
      <c r="J1" s="3722" t="s">
        <v>1550</v>
      </c>
      <c r="K1" s="3722" t="s">
        <v>3526</v>
      </c>
      <c r="L1" s="3722" t="s">
        <v>3525</v>
      </c>
      <c r="M1" s="3722" t="s">
        <v>3524</v>
      </c>
      <c r="N1" s="3722" t="s">
        <v>3523</v>
      </c>
      <c r="O1" s="3722" t="s">
        <v>3522</v>
      </c>
      <c r="P1" s="3722" t="s">
        <v>3521</v>
      </c>
      <c r="Q1" s="3722" t="s">
        <v>3520</v>
      </c>
      <c r="R1" s="3722" t="s">
        <v>3519</v>
      </c>
      <c r="S1" s="3722" t="s">
        <v>3518</v>
      </c>
    </row>
    <row r="2" spans="1:19" s="3407" customFormat="1">
      <c r="A2" s="3721" t="s">
        <v>3517</v>
      </c>
      <c r="B2" s="3721" t="s">
        <v>3328</v>
      </c>
      <c r="C2" s="3721" t="s">
        <v>3346</v>
      </c>
      <c r="D2" s="3721" t="s">
        <v>3516</v>
      </c>
      <c r="E2" s="3721">
        <v>36144.26</v>
      </c>
      <c r="F2" s="3721">
        <v>65059</v>
      </c>
      <c r="G2" s="3721" t="s">
        <v>3325</v>
      </c>
      <c r="H2" s="3721" t="s">
        <v>3463</v>
      </c>
      <c r="I2" s="3721" t="s">
        <v>3323</v>
      </c>
      <c r="J2" s="3721" t="s">
        <v>3353</v>
      </c>
      <c r="K2" s="3721" t="s">
        <v>3321</v>
      </c>
      <c r="L2" s="3721" t="s">
        <v>3511</v>
      </c>
      <c r="M2" s="3721" t="s">
        <v>3319</v>
      </c>
      <c r="N2" s="3721" t="s">
        <v>3401</v>
      </c>
      <c r="O2" s="3721">
        <v>16265</v>
      </c>
      <c r="P2" s="3721">
        <v>300</v>
      </c>
      <c r="Q2" s="3721">
        <v>2500</v>
      </c>
      <c r="R2" s="3721">
        <v>0</v>
      </c>
      <c r="S2" s="3721" t="s">
        <v>3461</v>
      </c>
    </row>
    <row r="3" spans="1:19">
      <c r="A3" s="3719" t="s">
        <v>3515</v>
      </c>
      <c r="B3" s="3719" t="s">
        <v>3328</v>
      </c>
      <c r="C3" s="3719" t="s">
        <v>3346</v>
      </c>
      <c r="D3" s="3719" t="s">
        <v>3514</v>
      </c>
      <c r="E3" s="3719">
        <v>29940.639999999999</v>
      </c>
      <c r="F3" s="3719">
        <v>53893</v>
      </c>
      <c r="G3" s="3719" t="s">
        <v>3325</v>
      </c>
      <c r="H3" s="3719" t="s">
        <v>3463</v>
      </c>
      <c r="I3" s="3719" t="s">
        <v>3323</v>
      </c>
      <c r="J3" s="3719" t="s">
        <v>3353</v>
      </c>
      <c r="K3" s="3719" t="s">
        <v>3321</v>
      </c>
      <c r="L3" s="3719" t="s">
        <v>3511</v>
      </c>
      <c r="M3" s="3719" t="s">
        <v>3319</v>
      </c>
      <c r="N3" s="3719" t="s">
        <v>3401</v>
      </c>
      <c r="O3" s="3719">
        <v>13474</v>
      </c>
      <c r="P3" s="3719">
        <v>300.02</v>
      </c>
      <c r="Q3" s="3719">
        <v>2500</v>
      </c>
      <c r="R3" s="3719">
        <v>0</v>
      </c>
      <c r="S3" s="3719" t="s">
        <v>3461</v>
      </c>
    </row>
    <row r="4" spans="1:19">
      <c r="A4" s="3719" t="s">
        <v>3513</v>
      </c>
      <c r="B4" s="3719" t="s">
        <v>3328</v>
      </c>
      <c r="C4" s="3719" t="s">
        <v>3346</v>
      </c>
      <c r="D4" s="3719" t="s">
        <v>3512</v>
      </c>
      <c r="E4" s="3719">
        <v>47420.37</v>
      </c>
      <c r="F4" s="3719">
        <v>85356</v>
      </c>
      <c r="G4" s="3719" t="s">
        <v>3325</v>
      </c>
      <c r="H4" s="3719" t="s">
        <v>3463</v>
      </c>
      <c r="I4" s="3719" t="s">
        <v>3323</v>
      </c>
      <c r="J4" s="3719" t="s">
        <v>3353</v>
      </c>
      <c r="K4" s="3719" t="s">
        <v>3321</v>
      </c>
      <c r="L4" s="3719" t="s">
        <v>3511</v>
      </c>
      <c r="M4" s="3719" t="s">
        <v>3319</v>
      </c>
      <c r="N4" s="3719" t="s">
        <v>3401</v>
      </c>
      <c r="O4" s="3719">
        <v>21340</v>
      </c>
      <c r="P4" s="3719">
        <v>300.01</v>
      </c>
      <c r="Q4" s="3719">
        <v>2500</v>
      </c>
      <c r="R4" s="3719">
        <v>0</v>
      </c>
      <c r="S4" s="3719" t="s">
        <v>3461</v>
      </c>
    </row>
    <row r="5" spans="1:19">
      <c r="A5" s="3719" t="s">
        <v>3510</v>
      </c>
      <c r="B5" s="3719" t="s">
        <v>3328</v>
      </c>
      <c r="C5" s="3719" t="s">
        <v>3340</v>
      </c>
      <c r="D5" s="3719" t="s">
        <v>3509</v>
      </c>
      <c r="E5" s="3719">
        <v>27496.560000000001</v>
      </c>
      <c r="F5" s="3719">
        <v>41244</v>
      </c>
      <c r="G5" s="3719" t="s">
        <v>3325</v>
      </c>
      <c r="H5" s="3719" t="s">
        <v>3463</v>
      </c>
      <c r="I5" s="3719" t="s">
        <v>3323</v>
      </c>
      <c r="J5" s="3719" t="s">
        <v>3338</v>
      </c>
      <c r="K5" s="3719" t="s">
        <v>3321</v>
      </c>
      <c r="L5" s="3719" t="s">
        <v>3501</v>
      </c>
      <c r="M5" s="3719" t="s">
        <v>3319</v>
      </c>
      <c r="N5" s="3719" t="s">
        <v>3401</v>
      </c>
      <c r="O5" s="3719">
        <v>14849</v>
      </c>
      <c r="P5" s="3719">
        <v>360.02</v>
      </c>
      <c r="Q5" s="3719">
        <v>3600</v>
      </c>
      <c r="R5" s="3719">
        <v>0</v>
      </c>
      <c r="S5" s="3719" t="s">
        <v>3506</v>
      </c>
    </row>
    <row r="6" spans="1:19">
      <c r="A6" s="3719" t="s">
        <v>3508</v>
      </c>
      <c r="B6" s="3719" t="s">
        <v>3328</v>
      </c>
      <c r="C6" s="3719" t="s">
        <v>3340</v>
      </c>
      <c r="D6" s="3719" t="s">
        <v>3507</v>
      </c>
      <c r="E6" s="3719">
        <v>27295.360000000001</v>
      </c>
      <c r="F6" s="3719">
        <v>40943</v>
      </c>
      <c r="G6" s="3719" t="s">
        <v>3325</v>
      </c>
      <c r="H6" s="3719" t="s">
        <v>3463</v>
      </c>
      <c r="I6" s="3719" t="s">
        <v>3323</v>
      </c>
      <c r="J6" s="3719" t="s">
        <v>3338</v>
      </c>
      <c r="K6" s="3719" t="s">
        <v>3321</v>
      </c>
      <c r="L6" s="3719" t="s">
        <v>3501</v>
      </c>
      <c r="M6" s="3719" t="s">
        <v>3319</v>
      </c>
      <c r="N6" s="3719" t="s">
        <v>3401</v>
      </c>
      <c r="O6" s="3719">
        <v>14740</v>
      </c>
      <c r="P6" s="3719">
        <v>360.01</v>
      </c>
      <c r="Q6" s="3719">
        <v>3600</v>
      </c>
      <c r="R6" s="3719">
        <v>0</v>
      </c>
      <c r="S6" s="3719" t="s">
        <v>3506</v>
      </c>
    </row>
    <row r="7" spans="1:19">
      <c r="A7" s="3719" t="s">
        <v>3505</v>
      </c>
      <c r="B7" s="3719" t="s">
        <v>3328</v>
      </c>
      <c r="C7" s="3719" t="s">
        <v>3340</v>
      </c>
      <c r="D7" s="3719" t="s">
        <v>3504</v>
      </c>
      <c r="E7" s="3719">
        <v>41795.019999999997</v>
      </c>
      <c r="F7" s="3719">
        <v>62692</v>
      </c>
      <c r="G7" s="3719" t="s">
        <v>3325</v>
      </c>
      <c r="H7" s="3719" t="s">
        <v>3463</v>
      </c>
      <c r="I7" s="3719" t="s">
        <v>3323</v>
      </c>
      <c r="J7" s="3719" t="s">
        <v>3338</v>
      </c>
      <c r="K7" s="3719" t="s">
        <v>3321</v>
      </c>
      <c r="L7" s="3719" t="s">
        <v>3501</v>
      </c>
      <c r="M7" s="3719" t="s">
        <v>3319</v>
      </c>
      <c r="N7" s="3719" t="s">
        <v>3401</v>
      </c>
      <c r="O7" s="3719">
        <v>21943</v>
      </c>
      <c r="P7" s="3719">
        <v>350.01</v>
      </c>
      <c r="Q7" s="3719">
        <v>3500</v>
      </c>
      <c r="R7" s="3719">
        <v>0</v>
      </c>
      <c r="S7" s="3719" t="s">
        <v>3418</v>
      </c>
    </row>
    <row r="8" spans="1:19">
      <c r="A8" s="3719" t="s">
        <v>3503</v>
      </c>
      <c r="B8" s="3719" t="s">
        <v>3328</v>
      </c>
      <c r="C8" s="3719" t="s">
        <v>3340</v>
      </c>
      <c r="D8" s="3719" t="s">
        <v>3502</v>
      </c>
      <c r="E8" s="3719">
        <v>34232.800000000003</v>
      </c>
      <c r="F8" s="3719">
        <v>51349</v>
      </c>
      <c r="G8" s="3719" t="s">
        <v>3325</v>
      </c>
      <c r="H8" s="3719" t="s">
        <v>3463</v>
      </c>
      <c r="I8" s="3719" t="s">
        <v>3323</v>
      </c>
      <c r="J8" s="3719" t="s">
        <v>3338</v>
      </c>
      <c r="K8" s="3719" t="s">
        <v>3321</v>
      </c>
      <c r="L8" s="3719" t="s">
        <v>3501</v>
      </c>
      <c r="M8" s="3719" t="s">
        <v>3319</v>
      </c>
      <c r="N8" s="3719" t="s">
        <v>3401</v>
      </c>
      <c r="O8" s="3719">
        <v>17973</v>
      </c>
      <c r="P8" s="3719">
        <v>350.02</v>
      </c>
      <c r="Q8" s="3719">
        <v>3500</v>
      </c>
      <c r="R8" s="3719">
        <v>0</v>
      </c>
      <c r="S8" s="3719" t="s">
        <v>3478</v>
      </c>
    </row>
    <row r="9" spans="1:19">
      <c r="A9" s="3719" t="s">
        <v>3500</v>
      </c>
      <c r="B9" s="3719" t="s">
        <v>3328</v>
      </c>
      <c r="C9" s="3719" t="s">
        <v>3340</v>
      </c>
      <c r="D9" s="3719" t="s">
        <v>3499</v>
      </c>
      <c r="E9" s="3719">
        <v>28827.58</v>
      </c>
      <c r="F9" s="3719">
        <v>43241</v>
      </c>
      <c r="G9" s="3719" t="s">
        <v>3325</v>
      </c>
      <c r="H9" s="3719" t="s">
        <v>3463</v>
      </c>
      <c r="I9" s="3719" t="s">
        <v>3323</v>
      </c>
      <c r="J9" s="3719" t="s">
        <v>3338</v>
      </c>
      <c r="K9" s="3719" t="s">
        <v>3321</v>
      </c>
      <c r="L9" s="3719" t="s">
        <v>3493</v>
      </c>
      <c r="M9" s="3719" t="s">
        <v>3319</v>
      </c>
      <c r="N9" s="3719" t="s">
        <v>3401</v>
      </c>
      <c r="O9" s="3719">
        <v>15135</v>
      </c>
      <c r="P9" s="3719">
        <v>350.01</v>
      </c>
      <c r="Q9" s="3719">
        <v>3500</v>
      </c>
      <c r="R9" s="3719">
        <v>0</v>
      </c>
      <c r="S9" s="3719" t="s">
        <v>3342</v>
      </c>
    </row>
    <row r="10" spans="1:19">
      <c r="A10" s="3719" t="s">
        <v>3498</v>
      </c>
      <c r="B10" s="3719" t="s">
        <v>3328</v>
      </c>
      <c r="C10" s="3719" t="s">
        <v>3340</v>
      </c>
      <c r="D10" s="3719" t="s">
        <v>3497</v>
      </c>
      <c r="E10" s="3719">
        <v>22783.38</v>
      </c>
      <c r="F10" s="3719">
        <v>34175</v>
      </c>
      <c r="G10" s="3719" t="s">
        <v>3325</v>
      </c>
      <c r="H10" s="3719" t="s">
        <v>3463</v>
      </c>
      <c r="I10" s="3719" t="s">
        <v>3323</v>
      </c>
      <c r="J10" s="3719" t="s">
        <v>3338</v>
      </c>
      <c r="K10" s="3719" t="s">
        <v>3321</v>
      </c>
      <c r="L10" s="3719" t="s">
        <v>3493</v>
      </c>
      <c r="M10" s="3719" t="s">
        <v>3319</v>
      </c>
      <c r="N10" s="3719" t="s">
        <v>3401</v>
      </c>
      <c r="O10" s="3719">
        <v>11962</v>
      </c>
      <c r="P10" s="3719">
        <v>350.02</v>
      </c>
      <c r="Q10" s="3719">
        <v>3500</v>
      </c>
      <c r="R10" s="3719">
        <v>0</v>
      </c>
      <c r="S10" s="3719" t="s">
        <v>3496</v>
      </c>
    </row>
    <row r="11" spans="1:19">
      <c r="A11" s="3719" t="s">
        <v>3495</v>
      </c>
      <c r="B11" s="3719" t="s">
        <v>3328</v>
      </c>
      <c r="C11" s="3719" t="s">
        <v>3340</v>
      </c>
      <c r="D11" s="3719" t="s">
        <v>3494</v>
      </c>
      <c r="E11" s="3719">
        <v>37913.919999999998</v>
      </c>
      <c r="F11" s="3719">
        <v>56870</v>
      </c>
      <c r="G11" s="3719" t="s">
        <v>3325</v>
      </c>
      <c r="H11" s="3719" t="s">
        <v>3463</v>
      </c>
      <c r="I11" s="3719" t="s">
        <v>3323</v>
      </c>
      <c r="J11" s="3719" t="s">
        <v>3338</v>
      </c>
      <c r="K11" s="3719" t="s">
        <v>3321</v>
      </c>
      <c r="L11" s="3719" t="s">
        <v>3493</v>
      </c>
      <c r="M11" s="3719" t="s">
        <v>3319</v>
      </c>
      <c r="N11" s="3719" t="s">
        <v>3401</v>
      </c>
      <c r="O11" s="3719">
        <v>19905</v>
      </c>
      <c r="P11" s="3719">
        <v>350</v>
      </c>
      <c r="Q11" s="3719">
        <v>3500</v>
      </c>
      <c r="R11" s="3719">
        <v>0</v>
      </c>
      <c r="S11" s="3719" t="s">
        <v>3418</v>
      </c>
    </row>
    <row r="12" spans="1:19">
      <c r="A12" s="3719" t="s">
        <v>3492</v>
      </c>
      <c r="B12" s="3719" t="s">
        <v>3328</v>
      </c>
      <c r="C12" s="3719" t="s">
        <v>3340</v>
      </c>
      <c r="D12" s="3719" t="s">
        <v>3491</v>
      </c>
      <c r="E12" s="3719">
        <v>42404.35</v>
      </c>
      <c r="F12" s="3719">
        <v>63606</v>
      </c>
      <c r="G12" s="3719" t="s">
        <v>3325</v>
      </c>
      <c r="H12" s="3719" t="s">
        <v>3463</v>
      </c>
      <c r="I12" s="3719" t="s">
        <v>3323</v>
      </c>
      <c r="J12" s="3719" t="s">
        <v>3338</v>
      </c>
      <c r="K12" s="3719" t="s">
        <v>3321</v>
      </c>
      <c r="L12" s="3719" t="s">
        <v>3486</v>
      </c>
      <c r="M12" s="3719" t="s">
        <v>3319</v>
      </c>
      <c r="N12" s="3719" t="s">
        <v>3401</v>
      </c>
      <c r="O12" s="3719">
        <v>22263</v>
      </c>
      <c r="P12" s="3719">
        <v>350.01</v>
      </c>
      <c r="Q12" s="3719">
        <v>3500</v>
      </c>
      <c r="R12" s="3719">
        <v>0</v>
      </c>
      <c r="S12" s="3719" t="s">
        <v>3466</v>
      </c>
    </row>
    <row r="13" spans="1:19">
      <c r="A13" s="3719" t="s">
        <v>3490</v>
      </c>
      <c r="B13" s="3719" t="s">
        <v>3328</v>
      </c>
      <c r="C13" s="3719" t="s">
        <v>3340</v>
      </c>
      <c r="D13" s="3719" t="s">
        <v>3489</v>
      </c>
      <c r="E13" s="3719">
        <v>40631.300000000003</v>
      </c>
      <c r="F13" s="3719">
        <v>60946</v>
      </c>
      <c r="G13" s="3719" t="s">
        <v>3325</v>
      </c>
      <c r="H13" s="3719" t="s">
        <v>3463</v>
      </c>
      <c r="I13" s="3719" t="s">
        <v>3323</v>
      </c>
      <c r="J13" s="3719" t="s">
        <v>3338</v>
      </c>
      <c r="K13" s="3719" t="s">
        <v>3321</v>
      </c>
      <c r="L13" s="3719" t="s">
        <v>3486</v>
      </c>
      <c r="M13" s="3719" t="s">
        <v>3319</v>
      </c>
      <c r="N13" s="3719" t="s">
        <v>3401</v>
      </c>
      <c r="O13" s="3719">
        <v>21332</v>
      </c>
      <c r="P13" s="3719">
        <v>350.01</v>
      </c>
      <c r="Q13" s="3719">
        <v>3500</v>
      </c>
      <c r="R13" s="3719">
        <v>0</v>
      </c>
      <c r="S13" s="3719" t="s">
        <v>3466</v>
      </c>
    </row>
    <row r="14" spans="1:19">
      <c r="A14" s="3719" t="s">
        <v>3488</v>
      </c>
      <c r="B14" s="3719" t="s">
        <v>3328</v>
      </c>
      <c r="C14" s="3719" t="s">
        <v>3340</v>
      </c>
      <c r="D14" s="3719" t="s">
        <v>3487</v>
      </c>
      <c r="E14" s="3719">
        <v>31771.66</v>
      </c>
      <c r="F14" s="3719">
        <v>47657</v>
      </c>
      <c r="G14" s="3719" t="s">
        <v>3325</v>
      </c>
      <c r="H14" s="3719" t="s">
        <v>3463</v>
      </c>
      <c r="I14" s="3719" t="s">
        <v>3323</v>
      </c>
      <c r="J14" s="3719" t="s">
        <v>3338</v>
      </c>
      <c r="K14" s="3719" t="s">
        <v>3321</v>
      </c>
      <c r="L14" s="3719" t="s">
        <v>3486</v>
      </c>
      <c r="M14" s="3719" t="s">
        <v>3319</v>
      </c>
      <c r="N14" s="3719" t="s">
        <v>3401</v>
      </c>
      <c r="O14" s="3719">
        <v>16681</v>
      </c>
      <c r="P14" s="3719">
        <v>350.02</v>
      </c>
      <c r="Q14" s="3719">
        <v>3500</v>
      </c>
      <c r="R14" s="3719">
        <v>0</v>
      </c>
      <c r="S14" s="3719" t="s">
        <v>3466</v>
      </c>
    </row>
    <row r="15" spans="1:19">
      <c r="A15" s="3719" t="s">
        <v>3485</v>
      </c>
      <c r="B15" s="3719" t="s">
        <v>3328</v>
      </c>
      <c r="C15" s="3719" t="s">
        <v>3484</v>
      </c>
      <c r="D15" s="3719" t="s">
        <v>3483</v>
      </c>
      <c r="E15" s="3719">
        <v>9467.73</v>
      </c>
      <c r="F15" s="3719">
        <v>14201</v>
      </c>
      <c r="G15" s="3719" t="s">
        <v>3325</v>
      </c>
      <c r="H15" s="3719" t="s">
        <v>3463</v>
      </c>
      <c r="I15" s="3719" t="s">
        <v>3323</v>
      </c>
      <c r="J15" s="3719" t="s">
        <v>3338</v>
      </c>
      <c r="K15" s="3719" t="s">
        <v>3321</v>
      </c>
      <c r="L15" s="3719" t="s">
        <v>3482</v>
      </c>
      <c r="M15" s="3719" t="s">
        <v>3319</v>
      </c>
      <c r="N15" s="3719" t="s">
        <v>3401</v>
      </c>
      <c r="O15" s="3719">
        <v>753</v>
      </c>
      <c r="P15" s="3719">
        <v>53.02</v>
      </c>
      <c r="Q15" s="3719">
        <v>530</v>
      </c>
      <c r="R15" s="3719">
        <v>0</v>
      </c>
      <c r="S15" s="3719" t="s">
        <v>3481</v>
      </c>
    </row>
    <row r="16" spans="1:19">
      <c r="A16" s="3719" t="s">
        <v>3480</v>
      </c>
      <c r="B16" s="3719" t="s">
        <v>3328</v>
      </c>
      <c r="C16" s="3719" t="s">
        <v>3340</v>
      </c>
      <c r="D16" s="3719" t="s">
        <v>3479</v>
      </c>
      <c r="E16" s="3719">
        <v>26700.52</v>
      </c>
      <c r="F16" s="3719">
        <v>45390</v>
      </c>
      <c r="G16" s="3719" t="s">
        <v>3325</v>
      </c>
      <c r="H16" s="3719" t="s">
        <v>3463</v>
      </c>
      <c r="I16" s="3719" t="s">
        <v>3323</v>
      </c>
      <c r="J16" s="3719" t="s">
        <v>3368</v>
      </c>
      <c r="K16" s="3719" t="s">
        <v>3321</v>
      </c>
      <c r="L16" s="3719" t="s">
        <v>3474</v>
      </c>
      <c r="M16" s="3719" t="s">
        <v>3319</v>
      </c>
      <c r="N16" s="3719" t="s">
        <v>3401</v>
      </c>
      <c r="O16" s="3719">
        <v>14018</v>
      </c>
      <c r="P16" s="3719">
        <v>350.01</v>
      </c>
      <c r="Q16" s="3719">
        <v>3088</v>
      </c>
      <c r="R16" s="3719">
        <v>0</v>
      </c>
      <c r="S16" s="3719" t="s">
        <v>3478</v>
      </c>
    </row>
    <row r="17" spans="1:19">
      <c r="A17" s="3719" t="s">
        <v>3477</v>
      </c>
      <c r="B17" s="3719" t="s">
        <v>3328</v>
      </c>
      <c r="C17" s="3719" t="s">
        <v>3340</v>
      </c>
      <c r="D17" s="3719" t="s">
        <v>3476</v>
      </c>
      <c r="E17" s="3719">
        <v>20103.560000000001</v>
      </c>
      <c r="F17" s="3719">
        <v>40207</v>
      </c>
      <c r="G17" s="3719" t="s">
        <v>3325</v>
      </c>
      <c r="H17" s="3719" t="s">
        <v>3463</v>
      </c>
      <c r="I17" s="3719" t="s">
        <v>3323</v>
      </c>
      <c r="J17" s="3719" t="s">
        <v>3475</v>
      </c>
      <c r="K17" s="3719" t="s">
        <v>3321</v>
      </c>
      <c r="L17" s="3719" t="s">
        <v>3474</v>
      </c>
      <c r="M17" s="3719" t="s">
        <v>3319</v>
      </c>
      <c r="N17" s="3719" t="s">
        <v>3401</v>
      </c>
      <c r="O17" s="3719">
        <v>6635</v>
      </c>
      <c r="P17" s="3719">
        <v>220.03</v>
      </c>
      <c r="Q17" s="3719">
        <v>1650</v>
      </c>
      <c r="R17" s="3719">
        <v>0</v>
      </c>
      <c r="S17" s="3719" t="s">
        <v>3473</v>
      </c>
    </row>
    <row r="18" spans="1:19" s="3407" customFormat="1">
      <c r="A18" s="3721" t="s">
        <v>3472</v>
      </c>
      <c r="B18" s="3721" t="s">
        <v>3328</v>
      </c>
      <c r="C18" s="3721" t="s">
        <v>3340</v>
      </c>
      <c r="D18" s="3721" t="s">
        <v>3471</v>
      </c>
      <c r="E18" s="3721">
        <v>34059.19</v>
      </c>
      <c r="F18" s="3721">
        <v>54494</v>
      </c>
      <c r="G18" s="3721" t="s">
        <v>3325</v>
      </c>
      <c r="H18" s="3721" t="s">
        <v>3463</v>
      </c>
      <c r="I18" s="3721" t="s">
        <v>3323</v>
      </c>
      <c r="J18" s="3721" t="s">
        <v>3446</v>
      </c>
      <c r="K18" s="3721" t="s">
        <v>3321</v>
      </c>
      <c r="L18" s="3721" t="s">
        <v>3470</v>
      </c>
      <c r="M18" s="3721" t="s">
        <v>3319</v>
      </c>
      <c r="N18" s="3721" t="s">
        <v>3401</v>
      </c>
      <c r="O18" s="3721">
        <v>12773</v>
      </c>
      <c r="P18" s="3721">
        <v>250.02</v>
      </c>
      <c r="Q18" s="3721">
        <v>2344</v>
      </c>
      <c r="R18" s="3721">
        <v>0</v>
      </c>
      <c r="S18" s="3721" t="s">
        <v>3466</v>
      </c>
    </row>
    <row r="19" spans="1:19">
      <c r="A19" s="3719" t="s">
        <v>3469</v>
      </c>
      <c r="B19" s="3719" t="s">
        <v>3328</v>
      </c>
      <c r="C19" s="3719" t="s">
        <v>3340</v>
      </c>
      <c r="D19" s="3719" t="s">
        <v>3468</v>
      </c>
      <c r="E19" s="3719">
        <v>30908.45</v>
      </c>
      <c r="F19" s="3719">
        <v>49453</v>
      </c>
      <c r="G19" s="3719" t="s">
        <v>3325</v>
      </c>
      <c r="H19" s="3719" t="s">
        <v>3463</v>
      </c>
      <c r="I19" s="3719" t="s">
        <v>3323</v>
      </c>
      <c r="J19" s="3719" t="s">
        <v>3446</v>
      </c>
      <c r="K19" s="3719" t="s">
        <v>3321</v>
      </c>
      <c r="L19" s="3719" t="s">
        <v>3467</v>
      </c>
      <c r="M19" s="3719" t="s">
        <v>3319</v>
      </c>
      <c r="N19" s="3719" t="s">
        <v>3401</v>
      </c>
      <c r="O19" s="3719">
        <v>11591</v>
      </c>
      <c r="P19" s="3719">
        <v>250.01</v>
      </c>
      <c r="Q19" s="3719">
        <v>2344</v>
      </c>
      <c r="R19" s="3719">
        <v>0</v>
      </c>
      <c r="S19" s="3719" t="s">
        <v>3466</v>
      </c>
    </row>
    <row r="20" spans="1:19">
      <c r="A20" s="3719" t="s">
        <v>3465</v>
      </c>
      <c r="B20" s="3719" t="s">
        <v>3328</v>
      </c>
      <c r="C20" s="3719" t="s">
        <v>3346</v>
      </c>
      <c r="D20" s="3719" t="s">
        <v>3464</v>
      </c>
      <c r="E20" s="3719">
        <v>27719.14</v>
      </c>
      <c r="F20" s="3719">
        <v>55438</v>
      </c>
      <c r="G20" s="3719" t="s">
        <v>3325</v>
      </c>
      <c r="H20" s="3719" t="s">
        <v>3463</v>
      </c>
      <c r="I20" s="3719" t="s">
        <v>3323</v>
      </c>
      <c r="J20" s="3719" t="s">
        <v>3383</v>
      </c>
      <c r="K20" s="3719" t="s">
        <v>3321</v>
      </c>
      <c r="L20" s="3719" t="s">
        <v>3462</v>
      </c>
      <c r="M20" s="3719" t="s">
        <v>3319</v>
      </c>
      <c r="N20" s="3719" t="s">
        <v>3401</v>
      </c>
      <c r="O20" s="3719">
        <v>9148</v>
      </c>
      <c r="P20" s="3719">
        <v>220.02</v>
      </c>
      <c r="Q20" s="3719">
        <v>1650</v>
      </c>
      <c r="R20" s="3719">
        <v>0</v>
      </c>
      <c r="S20" s="3719" t="s">
        <v>3461</v>
      </c>
    </row>
    <row r="21" spans="1:19" s="3407" customFormat="1">
      <c r="A21" s="3721" t="s">
        <v>3460</v>
      </c>
      <c r="B21" s="3721" t="s">
        <v>3328</v>
      </c>
      <c r="C21" s="3721" t="s">
        <v>3340</v>
      </c>
      <c r="D21" s="3721" t="s">
        <v>3459</v>
      </c>
      <c r="E21" s="3721">
        <v>12305.97</v>
      </c>
      <c r="F21" s="3721">
        <v>18458</v>
      </c>
      <c r="G21" s="3721" t="s">
        <v>3344</v>
      </c>
      <c r="H21" s="3721" t="s">
        <v>3344</v>
      </c>
      <c r="I21" s="3721" t="s">
        <v>3323</v>
      </c>
      <c r="J21" s="3721" t="s">
        <v>3338</v>
      </c>
      <c r="K21" s="3721" t="s">
        <v>3321</v>
      </c>
      <c r="L21" s="3721" t="s">
        <v>3455</v>
      </c>
      <c r="M21" s="3721" t="s">
        <v>3319</v>
      </c>
      <c r="N21" s="3721" t="s">
        <v>3401</v>
      </c>
      <c r="O21" s="3721">
        <v>4061</v>
      </c>
      <c r="P21" s="3721">
        <v>220</v>
      </c>
      <c r="Q21" s="3721">
        <v>2200</v>
      </c>
      <c r="R21" s="3721">
        <v>0</v>
      </c>
      <c r="S21" s="3721" t="s">
        <v>3458</v>
      </c>
    </row>
    <row r="22" spans="1:19">
      <c r="A22" s="3719" t="s">
        <v>3457</v>
      </c>
      <c r="B22" s="3719" t="s">
        <v>3328</v>
      </c>
      <c r="C22" s="3719" t="s">
        <v>3340</v>
      </c>
      <c r="D22" s="3719" t="s">
        <v>3456</v>
      </c>
      <c r="E22" s="3719">
        <v>15900.21</v>
      </c>
      <c r="F22" s="3719">
        <v>23850</v>
      </c>
      <c r="G22" s="3719" t="s">
        <v>3344</v>
      </c>
      <c r="H22" s="3719" t="s">
        <v>3344</v>
      </c>
      <c r="I22" s="3719" t="s">
        <v>3323</v>
      </c>
      <c r="J22" s="3719" t="s">
        <v>3338</v>
      </c>
      <c r="K22" s="3719" t="s">
        <v>3321</v>
      </c>
      <c r="L22" s="3719" t="s">
        <v>3455</v>
      </c>
      <c r="M22" s="3719" t="s">
        <v>3319</v>
      </c>
      <c r="N22" s="3719" t="s">
        <v>3401</v>
      </c>
      <c r="O22" s="3719">
        <v>5248</v>
      </c>
      <c r="P22" s="3719">
        <v>220.04</v>
      </c>
      <c r="Q22" s="3719">
        <v>2200</v>
      </c>
      <c r="R22" s="3719">
        <v>0</v>
      </c>
      <c r="S22" s="3719" t="s">
        <v>3454</v>
      </c>
    </row>
    <row r="23" spans="1:19">
      <c r="A23" s="3719" t="s">
        <v>3453</v>
      </c>
      <c r="B23" s="3719" t="s">
        <v>3328</v>
      </c>
      <c r="C23" s="3719" t="s">
        <v>3452</v>
      </c>
      <c r="D23" s="3719" t="s">
        <v>3451</v>
      </c>
      <c r="E23" s="3719">
        <v>58103.4</v>
      </c>
      <c r="F23" s="3719">
        <v>87155</v>
      </c>
      <c r="G23" s="3719" t="s">
        <v>3325</v>
      </c>
      <c r="H23" s="3719" t="s">
        <v>3324</v>
      </c>
      <c r="I23" s="3719" t="s">
        <v>3323</v>
      </c>
      <c r="J23" s="3719" t="s">
        <v>3338</v>
      </c>
      <c r="K23" s="3719" t="s">
        <v>3321</v>
      </c>
      <c r="L23" s="3719" t="s">
        <v>3450</v>
      </c>
      <c r="M23" s="3719" t="s">
        <v>3319</v>
      </c>
      <c r="N23" s="3719" t="s">
        <v>3401</v>
      </c>
      <c r="O23" s="3719">
        <v>15688</v>
      </c>
      <c r="P23" s="3719">
        <v>180</v>
      </c>
      <c r="Q23" s="3719">
        <v>1800</v>
      </c>
      <c r="R23" s="3719">
        <v>0</v>
      </c>
      <c r="S23" s="3719" t="s">
        <v>3449</v>
      </c>
    </row>
    <row r="24" spans="1:19">
      <c r="A24" s="3719" t="s">
        <v>3448</v>
      </c>
      <c r="B24" s="3719" t="s">
        <v>3328</v>
      </c>
      <c r="C24" s="3719" t="s">
        <v>3340</v>
      </c>
      <c r="D24" s="3719" t="s">
        <v>3447</v>
      </c>
      <c r="E24" s="3719">
        <v>79515.28</v>
      </c>
      <c r="F24" s="3719">
        <v>127224</v>
      </c>
      <c r="G24" s="3719" t="s">
        <v>3325</v>
      </c>
      <c r="H24" s="3719" t="s">
        <v>3324</v>
      </c>
      <c r="I24" s="3719" t="s">
        <v>3323</v>
      </c>
      <c r="J24" s="3719" t="s">
        <v>3446</v>
      </c>
      <c r="K24" s="3719" t="s">
        <v>3321</v>
      </c>
      <c r="L24" s="3719" t="s">
        <v>3445</v>
      </c>
      <c r="M24" s="3719" t="s">
        <v>3319</v>
      </c>
      <c r="N24" s="3719" t="s">
        <v>3401</v>
      </c>
      <c r="O24" s="3719">
        <v>45324</v>
      </c>
      <c r="P24" s="3719">
        <v>380</v>
      </c>
      <c r="Q24" s="3719">
        <v>3563</v>
      </c>
      <c r="R24" s="3719">
        <v>0</v>
      </c>
      <c r="S24" s="3719" t="s">
        <v>3351</v>
      </c>
    </row>
    <row r="25" spans="1:19">
      <c r="A25" s="3719" t="s">
        <v>3444</v>
      </c>
      <c r="B25" s="3719" t="s">
        <v>3328</v>
      </c>
      <c r="C25" s="3719" t="s">
        <v>3340</v>
      </c>
      <c r="D25" s="3719" t="s">
        <v>3443</v>
      </c>
      <c r="E25" s="3719">
        <v>43030.46</v>
      </c>
      <c r="F25" s="3719">
        <v>86060</v>
      </c>
      <c r="G25" s="3719" t="s">
        <v>3325</v>
      </c>
      <c r="H25" s="3719" t="s">
        <v>3324</v>
      </c>
      <c r="I25" s="3719" t="s">
        <v>3323</v>
      </c>
      <c r="J25" s="3719" t="s">
        <v>3383</v>
      </c>
      <c r="K25" s="3719" t="s">
        <v>3321</v>
      </c>
      <c r="L25" s="3719" t="s">
        <v>3442</v>
      </c>
      <c r="M25" s="3719" t="s">
        <v>3319</v>
      </c>
      <c r="N25" s="3719" t="s">
        <v>3401</v>
      </c>
      <c r="O25" s="3719">
        <v>25819</v>
      </c>
      <c r="P25" s="3719">
        <v>400.01</v>
      </c>
      <c r="Q25" s="3719">
        <v>3000</v>
      </c>
      <c r="R25" s="3719">
        <v>0</v>
      </c>
      <c r="S25" s="3719" t="s">
        <v>3418</v>
      </c>
    </row>
    <row r="26" spans="1:19">
      <c r="A26" s="3719" t="s">
        <v>3441</v>
      </c>
      <c r="B26" s="3719" t="s">
        <v>3328</v>
      </c>
      <c r="C26" s="3719" t="s">
        <v>3435</v>
      </c>
      <c r="D26" s="3719" t="s">
        <v>3440</v>
      </c>
      <c r="E26" s="3719">
        <v>40230</v>
      </c>
      <c r="F26" s="3719">
        <v>68391</v>
      </c>
      <c r="G26" s="3719" t="s">
        <v>3325</v>
      </c>
      <c r="H26" s="3719" t="s">
        <v>3324</v>
      </c>
      <c r="I26" s="3719" t="s">
        <v>3323</v>
      </c>
      <c r="J26" s="3719" t="s">
        <v>3368</v>
      </c>
      <c r="K26" s="3719" t="s">
        <v>3321</v>
      </c>
      <c r="L26" s="3719" t="s">
        <v>3433</v>
      </c>
      <c r="M26" s="3719" t="s">
        <v>3319</v>
      </c>
      <c r="N26" s="3719" t="s">
        <v>3401</v>
      </c>
      <c r="O26" s="3719">
        <v>15690</v>
      </c>
      <c r="P26" s="3719">
        <v>260</v>
      </c>
      <c r="Q26" s="3719">
        <v>2294</v>
      </c>
      <c r="R26" s="3719">
        <v>0</v>
      </c>
      <c r="S26" s="3719" t="s">
        <v>3351</v>
      </c>
    </row>
    <row r="27" spans="1:19">
      <c r="A27" s="3719" t="s">
        <v>3439</v>
      </c>
      <c r="B27" s="3719" t="s">
        <v>3328</v>
      </c>
      <c r="C27" s="3719" t="s">
        <v>3435</v>
      </c>
      <c r="D27" s="3719" t="s">
        <v>3438</v>
      </c>
      <c r="E27" s="3719">
        <v>44974.7</v>
      </c>
      <c r="F27" s="3719">
        <v>76456</v>
      </c>
      <c r="G27" s="3719" t="s">
        <v>3325</v>
      </c>
      <c r="H27" s="3719" t="s">
        <v>3324</v>
      </c>
      <c r="I27" s="3719" t="s">
        <v>3323</v>
      </c>
      <c r="J27" s="3719" t="s">
        <v>3368</v>
      </c>
      <c r="K27" s="3719" t="s">
        <v>3321</v>
      </c>
      <c r="L27" s="3719" t="s">
        <v>3433</v>
      </c>
      <c r="M27" s="3719" t="s">
        <v>3319</v>
      </c>
      <c r="N27" s="3719" t="s">
        <v>3401</v>
      </c>
      <c r="O27" s="3719">
        <v>17541</v>
      </c>
      <c r="P27" s="3719">
        <v>260.01</v>
      </c>
      <c r="Q27" s="3719">
        <v>2294</v>
      </c>
      <c r="R27" s="3719">
        <v>0</v>
      </c>
      <c r="S27" s="3719" t="s">
        <v>3437</v>
      </c>
    </row>
    <row r="28" spans="1:19">
      <c r="A28" s="3719" t="s">
        <v>3436</v>
      </c>
      <c r="B28" s="3719" t="s">
        <v>3328</v>
      </c>
      <c r="C28" s="3719" t="s">
        <v>3435</v>
      </c>
      <c r="D28" s="3719" t="s">
        <v>3434</v>
      </c>
      <c r="E28" s="3719">
        <v>47197.3</v>
      </c>
      <c r="F28" s="3719">
        <v>80235</v>
      </c>
      <c r="G28" s="3719" t="s">
        <v>3325</v>
      </c>
      <c r="H28" s="3719" t="s">
        <v>3324</v>
      </c>
      <c r="I28" s="3719" t="s">
        <v>3323</v>
      </c>
      <c r="J28" s="3719" t="s">
        <v>3368</v>
      </c>
      <c r="K28" s="3719" t="s">
        <v>3321</v>
      </c>
      <c r="L28" s="3719" t="s">
        <v>3433</v>
      </c>
      <c r="M28" s="3719" t="s">
        <v>3319</v>
      </c>
      <c r="N28" s="3719" t="s">
        <v>3401</v>
      </c>
      <c r="O28" s="3719">
        <v>18407</v>
      </c>
      <c r="P28" s="3719">
        <v>260</v>
      </c>
      <c r="Q28" s="3719">
        <v>2294</v>
      </c>
      <c r="R28" s="3719">
        <v>0</v>
      </c>
      <c r="S28" s="3719" t="s">
        <v>3351</v>
      </c>
    </row>
    <row r="29" spans="1:19">
      <c r="A29" s="3719" t="s">
        <v>3432</v>
      </c>
      <c r="B29" s="3719" t="s">
        <v>3328</v>
      </c>
      <c r="C29" s="3719" t="s">
        <v>3340</v>
      </c>
      <c r="D29" s="3719" t="s">
        <v>3431</v>
      </c>
      <c r="E29" s="3719">
        <v>27921.54</v>
      </c>
      <c r="F29" s="3719">
        <v>47466</v>
      </c>
      <c r="G29" s="3719" t="s">
        <v>3325</v>
      </c>
      <c r="H29" s="3719" t="s">
        <v>3324</v>
      </c>
      <c r="I29" s="3719" t="s">
        <v>3323</v>
      </c>
      <c r="J29" s="3719" t="s">
        <v>3368</v>
      </c>
      <c r="K29" s="3719" t="s">
        <v>3321</v>
      </c>
      <c r="L29" s="3719" t="s">
        <v>3415</v>
      </c>
      <c r="M29" s="3719" t="s">
        <v>3319</v>
      </c>
      <c r="N29" s="3719" t="s">
        <v>3401</v>
      </c>
      <c r="O29" s="3719">
        <v>16753</v>
      </c>
      <c r="P29" s="3719">
        <v>400</v>
      </c>
      <c r="Q29" s="3719">
        <v>3529</v>
      </c>
      <c r="R29" s="3719">
        <v>0</v>
      </c>
      <c r="S29" s="3719" t="s">
        <v>3351</v>
      </c>
    </row>
    <row r="30" spans="1:19" s="3406" customFormat="1">
      <c r="A30" s="3720" t="s">
        <v>3430</v>
      </c>
      <c r="B30" s="3720" t="s">
        <v>3328</v>
      </c>
      <c r="C30" s="3720" t="s">
        <v>3429</v>
      </c>
      <c r="D30" s="3720" t="s">
        <v>3428</v>
      </c>
      <c r="E30" s="3720">
        <v>22772.01</v>
      </c>
      <c r="F30" s="3720">
        <v>40989</v>
      </c>
      <c r="G30" s="3720" t="s">
        <v>3325</v>
      </c>
      <c r="H30" s="3720" t="s">
        <v>3324</v>
      </c>
      <c r="I30" s="3720" t="s">
        <v>3323</v>
      </c>
      <c r="J30" s="3720" t="s">
        <v>3353</v>
      </c>
      <c r="K30" s="3720" t="s">
        <v>3321</v>
      </c>
      <c r="L30" s="3720" t="s">
        <v>3415</v>
      </c>
      <c r="M30" s="3720" t="s">
        <v>3319</v>
      </c>
      <c r="N30" s="3720" t="s">
        <v>3401</v>
      </c>
      <c r="O30" s="3720">
        <v>5125</v>
      </c>
      <c r="P30" s="3720">
        <v>150.04</v>
      </c>
      <c r="Q30" s="3720">
        <v>1250</v>
      </c>
      <c r="R30" s="3720">
        <v>0</v>
      </c>
      <c r="S30" s="3720" t="s">
        <v>3342</v>
      </c>
    </row>
    <row r="31" spans="1:19">
      <c r="A31" s="3719" t="s">
        <v>3427</v>
      </c>
      <c r="B31" s="3719" t="s">
        <v>3328</v>
      </c>
      <c r="C31" s="3719" t="s">
        <v>3340</v>
      </c>
      <c r="D31" s="3719" t="s">
        <v>3426</v>
      </c>
      <c r="E31" s="3719">
        <v>38448.82</v>
      </c>
      <c r="F31" s="3719">
        <v>69207</v>
      </c>
      <c r="G31" s="3719" t="s">
        <v>3325</v>
      </c>
      <c r="H31" s="3719" t="s">
        <v>3324</v>
      </c>
      <c r="I31" s="3719" t="s">
        <v>3323</v>
      </c>
      <c r="J31" s="3719" t="s">
        <v>3353</v>
      </c>
      <c r="K31" s="3719" t="s">
        <v>3321</v>
      </c>
      <c r="L31" s="3719" t="s">
        <v>3415</v>
      </c>
      <c r="M31" s="3719" t="s">
        <v>3319</v>
      </c>
      <c r="N31" s="3719" t="s">
        <v>3401</v>
      </c>
      <c r="O31" s="3719">
        <v>23070</v>
      </c>
      <c r="P31" s="3719">
        <v>400.01</v>
      </c>
      <c r="Q31" s="3719">
        <v>3333</v>
      </c>
      <c r="R31" s="3719">
        <v>0</v>
      </c>
      <c r="S31" s="3719" t="s">
        <v>3342</v>
      </c>
    </row>
    <row r="32" spans="1:19">
      <c r="A32" s="3719" t="s">
        <v>3425</v>
      </c>
      <c r="B32" s="3719" t="s">
        <v>3328</v>
      </c>
      <c r="C32" s="3719" t="s">
        <v>3340</v>
      </c>
      <c r="D32" s="3719" t="s">
        <v>3424</v>
      </c>
      <c r="E32" s="3719">
        <v>32271.89</v>
      </c>
      <c r="F32" s="3719">
        <v>61316</v>
      </c>
      <c r="G32" s="3719" t="s">
        <v>3325</v>
      </c>
      <c r="H32" s="3719" t="s">
        <v>3324</v>
      </c>
      <c r="I32" s="3719" t="s">
        <v>3323</v>
      </c>
      <c r="J32" s="3719" t="s">
        <v>3423</v>
      </c>
      <c r="K32" s="3719" t="s">
        <v>3321</v>
      </c>
      <c r="L32" s="3719" t="s">
        <v>3415</v>
      </c>
      <c r="M32" s="3719" t="s">
        <v>3319</v>
      </c>
      <c r="N32" s="3719" t="s">
        <v>3401</v>
      </c>
      <c r="O32" s="3719">
        <v>19364</v>
      </c>
      <c r="P32" s="3719">
        <v>400.02</v>
      </c>
      <c r="Q32" s="3719">
        <v>3158</v>
      </c>
      <c r="R32" s="3719">
        <v>0</v>
      </c>
      <c r="S32" s="3719" t="s">
        <v>3351</v>
      </c>
    </row>
    <row r="33" spans="1:19">
      <c r="A33" s="3719" t="s">
        <v>3422</v>
      </c>
      <c r="B33" s="3719" t="s">
        <v>3328</v>
      </c>
      <c r="C33" s="3719" t="s">
        <v>3340</v>
      </c>
      <c r="D33" s="3719" t="s">
        <v>3421</v>
      </c>
      <c r="E33" s="3719">
        <v>45708.93</v>
      </c>
      <c r="F33" s="3719">
        <v>91417</v>
      </c>
      <c r="G33" s="3719" t="s">
        <v>3325</v>
      </c>
      <c r="H33" s="3719" t="s">
        <v>3324</v>
      </c>
      <c r="I33" s="3719" t="s">
        <v>3323</v>
      </c>
      <c r="J33" s="3719" t="s">
        <v>3383</v>
      </c>
      <c r="K33" s="3719" t="s">
        <v>3321</v>
      </c>
      <c r="L33" s="3719" t="s">
        <v>3415</v>
      </c>
      <c r="M33" s="3719" t="s">
        <v>3319</v>
      </c>
      <c r="N33" s="3719" t="s">
        <v>3401</v>
      </c>
      <c r="O33" s="3719">
        <v>27426</v>
      </c>
      <c r="P33" s="3719">
        <v>400.01</v>
      </c>
      <c r="Q33" s="3719">
        <v>3000</v>
      </c>
      <c r="R33" s="3719">
        <v>0</v>
      </c>
      <c r="S33" s="3719" t="s">
        <v>3342</v>
      </c>
    </row>
    <row r="34" spans="1:19">
      <c r="A34" s="3719" t="s">
        <v>3420</v>
      </c>
      <c r="B34" s="3719" t="s">
        <v>3328</v>
      </c>
      <c r="C34" s="3719" t="s">
        <v>3340</v>
      </c>
      <c r="D34" s="3719" t="s">
        <v>3419</v>
      </c>
      <c r="E34" s="3719">
        <v>33453.980000000003</v>
      </c>
      <c r="F34" s="3719">
        <v>56871</v>
      </c>
      <c r="G34" s="3719" t="s">
        <v>3325</v>
      </c>
      <c r="H34" s="3719" t="s">
        <v>3324</v>
      </c>
      <c r="I34" s="3719" t="s">
        <v>3323</v>
      </c>
      <c r="J34" s="3719" t="s">
        <v>3368</v>
      </c>
      <c r="K34" s="3719" t="s">
        <v>3321</v>
      </c>
      <c r="L34" s="3719" t="s">
        <v>3415</v>
      </c>
      <c r="M34" s="3719" t="s">
        <v>3319</v>
      </c>
      <c r="N34" s="3719" t="s">
        <v>3401</v>
      </c>
      <c r="O34" s="3719">
        <v>20073</v>
      </c>
      <c r="P34" s="3719">
        <v>400.01</v>
      </c>
      <c r="Q34" s="3719">
        <v>3530</v>
      </c>
      <c r="R34" s="3719">
        <v>0</v>
      </c>
      <c r="S34" s="3719" t="s">
        <v>3418</v>
      </c>
    </row>
    <row r="35" spans="1:19">
      <c r="A35" s="3719" t="s">
        <v>3417</v>
      </c>
      <c r="B35" s="3719" t="s">
        <v>3328</v>
      </c>
      <c r="C35" s="3719" t="s">
        <v>3340</v>
      </c>
      <c r="D35" s="3719" t="s">
        <v>3416</v>
      </c>
      <c r="E35" s="3719">
        <v>33515.68</v>
      </c>
      <c r="F35" s="3719">
        <v>60328</v>
      </c>
      <c r="G35" s="3719" t="s">
        <v>3325</v>
      </c>
      <c r="H35" s="3719" t="s">
        <v>3324</v>
      </c>
      <c r="I35" s="3719" t="s">
        <v>3323</v>
      </c>
      <c r="J35" s="3719" t="s">
        <v>3353</v>
      </c>
      <c r="K35" s="3719" t="s">
        <v>3321</v>
      </c>
      <c r="L35" s="3719" t="s">
        <v>3415</v>
      </c>
      <c r="M35" s="3719" t="s">
        <v>3319</v>
      </c>
      <c r="N35" s="3719" t="s">
        <v>3401</v>
      </c>
      <c r="O35" s="3719">
        <v>22278</v>
      </c>
      <c r="P35" s="3719">
        <v>443.14</v>
      </c>
      <c r="Q35" s="3719">
        <v>3693</v>
      </c>
      <c r="R35" s="3719">
        <v>3.05</v>
      </c>
      <c r="S35" s="3719" t="s">
        <v>3351</v>
      </c>
    </row>
    <row r="36" spans="1:19">
      <c r="A36" s="3719" t="s">
        <v>3414</v>
      </c>
      <c r="B36" s="3719" t="s">
        <v>3328</v>
      </c>
      <c r="C36" s="3719" t="s">
        <v>3376</v>
      </c>
      <c r="D36" s="3719" t="s">
        <v>3413</v>
      </c>
      <c r="E36" s="3719">
        <v>15173.82</v>
      </c>
      <c r="F36" s="3719">
        <v>22760</v>
      </c>
      <c r="G36" s="3719" t="s">
        <v>3325</v>
      </c>
      <c r="H36" s="3719" t="s">
        <v>3324</v>
      </c>
      <c r="I36" s="3719" t="s">
        <v>3323</v>
      </c>
      <c r="J36" s="3719" t="s">
        <v>3338</v>
      </c>
      <c r="K36" s="3719" t="s">
        <v>3321</v>
      </c>
      <c r="L36" s="3719" t="s">
        <v>3402</v>
      </c>
      <c r="M36" s="3719" t="s">
        <v>3319</v>
      </c>
      <c r="N36" s="3719" t="s">
        <v>3401</v>
      </c>
      <c r="O36" s="3719">
        <v>6475</v>
      </c>
      <c r="P36" s="3719">
        <v>284.48</v>
      </c>
      <c r="Q36" s="3719">
        <v>2845</v>
      </c>
      <c r="R36" s="3719">
        <v>23.69</v>
      </c>
      <c r="S36" s="3719" t="s">
        <v>3412</v>
      </c>
    </row>
    <row r="37" spans="1:19">
      <c r="A37" s="3719" t="s">
        <v>3411</v>
      </c>
      <c r="B37" s="3719" t="s">
        <v>3328</v>
      </c>
      <c r="C37" s="3719" t="s">
        <v>3340</v>
      </c>
      <c r="D37" s="3719" t="s">
        <v>3410</v>
      </c>
      <c r="E37" s="3719">
        <v>4084.38</v>
      </c>
      <c r="F37" s="3719">
        <v>5309</v>
      </c>
      <c r="G37" s="3719" t="s">
        <v>3325</v>
      </c>
      <c r="H37" s="3719" t="s">
        <v>3324</v>
      </c>
      <c r="I37" s="3719" t="s">
        <v>3323</v>
      </c>
      <c r="J37" s="3719" t="s">
        <v>3348</v>
      </c>
      <c r="K37" s="3719" t="s">
        <v>3321</v>
      </c>
      <c r="L37" s="3719" t="s">
        <v>3402</v>
      </c>
      <c r="M37" s="3719" t="s">
        <v>3319</v>
      </c>
      <c r="N37" s="3719" t="s">
        <v>3401</v>
      </c>
      <c r="O37" s="3719">
        <v>1224</v>
      </c>
      <c r="P37" s="3719">
        <v>199.79</v>
      </c>
      <c r="Q37" s="3719">
        <v>2306</v>
      </c>
      <c r="R37" s="3719">
        <v>10.87</v>
      </c>
      <c r="S37" s="3719" t="s">
        <v>3336</v>
      </c>
    </row>
    <row r="38" spans="1:19">
      <c r="A38" s="3719" t="s">
        <v>3409</v>
      </c>
      <c r="B38" s="3719" t="s">
        <v>3328</v>
      </c>
      <c r="C38" s="3719" t="s">
        <v>3340</v>
      </c>
      <c r="D38" s="3719" t="s">
        <v>3408</v>
      </c>
      <c r="E38" s="3719">
        <v>281.07</v>
      </c>
      <c r="F38" s="3719">
        <v>477</v>
      </c>
      <c r="G38" s="3719" t="s">
        <v>3325</v>
      </c>
      <c r="H38" s="3719" t="s">
        <v>3324</v>
      </c>
      <c r="I38" s="3719" t="s">
        <v>3323</v>
      </c>
      <c r="J38" s="3719" t="s">
        <v>3407</v>
      </c>
      <c r="K38" s="3719" t="s">
        <v>3321</v>
      </c>
      <c r="L38" s="3719" t="s">
        <v>3402</v>
      </c>
      <c r="M38" s="3719" t="s">
        <v>3319</v>
      </c>
      <c r="N38" s="3719" t="s">
        <v>3401</v>
      </c>
      <c r="O38" s="3719">
        <v>245</v>
      </c>
      <c r="P38" s="3719">
        <v>581.11</v>
      </c>
      <c r="Q38" s="3719">
        <v>5136</v>
      </c>
      <c r="R38" s="3719">
        <v>81.48</v>
      </c>
      <c r="S38" s="3719" t="s">
        <v>3406</v>
      </c>
    </row>
    <row r="39" spans="1:19">
      <c r="A39" s="3719" t="s">
        <v>3405</v>
      </c>
      <c r="B39" s="3719" t="s">
        <v>3328</v>
      </c>
      <c r="C39" s="3719" t="s">
        <v>3340</v>
      </c>
      <c r="D39" s="3719" t="s">
        <v>3404</v>
      </c>
      <c r="E39" s="3719">
        <v>294.26</v>
      </c>
      <c r="F39" s="3719">
        <v>529</v>
      </c>
      <c r="G39" s="3719" t="s">
        <v>3325</v>
      </c>
      <c r="H39" s="3719" t="s">
        <v>3324</v>
      </c>
      <c r="I39" s="3719" t="s">
        <v>3323</v>
      </c>
      <c r="J39" s="3719" t="s">
        <v>3403</v>
      </c>
      <c r="K39" s="3719" t="s">
        <v>3321</v>
      </c>
      <c r="L39" s="3719" t="s">
        <v>3402</v>
      </c>
      <c r="M39" s="3719" t="s">
        <v>3319</v>
      </c>
      <c r="N39" s="3719" t="s">
        <v>3401</v>
      </c>
      <c r="O39" s="3719">
        <v>243</v>
      </c>
      <c r="P39" s="3719">
        <v>550.53</v>
      </c>
      <c r="Q39" s="3719">
        <v>4594</v>
      </c>
      <c r="R39" s="3719">
        <v>71.13</v>
      </c>
      <c r="S39" s="3719" t="s">
        <v>3400</v>
      </c>
    </row>
    <row r="40" spans="1:19">
      <c r="A40" s="3719" t="s">
        <v>3399</v>
      </c>
      <c r="B40" s="3719" t="s">
        <v>3328</v>
      </c>
      <c r="C40" s="3719" t="s">
        <v>3376</v>
      </c>
      <c r="D40" s="3719" t="s">
        <v>3398</v>
      </c>
      <c r="E40" s="3719">
        <v>24402.1</v>
      </c>
      <c r="F40" s="3719">
        <v>48804.2</v>
      </c>
      <c r="G40" s="3719" t="s">
        <v>3344</v>
      </c>
      <c r="H40" s="3719" t="s">
        <v>3324</v>
      </c>
      <c r="I40" s="3719" t="s">
        <v>3323</v>
      </c>
      <c r="J40" s="3719" t="s">
        <v>3383</v>
      </c>
      <c r="K40" s="3719" t="s">
        <v>3321</v>
      </c>
      <c r="L40" s="3719" t="s">
        <v>3388</v>
      </c>
      <c r="M40" s="3719" t="s">
        <v>3319</v>
      </c>
      <c r="N40" s="3719" t="s">
        <v>3318</v>
      </c>
      <c r="O40" s="3719">
        <v>12812</v>
      </c>
      <c r="P40" s="3719">
        <v>350.02</v>
      </c>
      <c r="Q40" s="3719">
        <v>2625</v>
      </c>
      <c r="R40" s="3719">
        <v>0</v>
      </c>
      <c r="S40" s="3719" t="s">
        <v>3395</v>
      </c>
    </row>
    <row r="41" spans="1:19">
      <c r="A41" s="3719" t="s">
        <v>3397</v>
      </c>
      <c r="B41" s="3719" t="s">
        <v>3328</v>
      </c>
      <c r="C41" s="3719" t="s">
        <v>3376</v>
      </c>
      <c r="D41" s="3719" t="s">
        <v>3396</v>
      </c>
      <c r="E41" s="3719">
        <v>31461.3</v>
      </c>
      <c r="F41" s="3719">
        <v>62922.6</v>
      </c>
      <c r="G41" s="3719" t="s">
        <v>3344</v>
      </c>
      <c r="H41" s="3719" t="s">
        <v>3324</v>
      </c>
      <c r="I41" s="3719" t="s">
        <v>3323</v>
      </c>
      <c r="J41" s="3719" t="s">
        <v>3383</v>
      </c>
      <c r="K41" s="3719" t="s">
        <v>3321</v>
      </c>
      <c r="L41" s="3719" t="s">
        <v>3388</v>
      </c>
      <c r="M41" s="3719" t="s">
        <v>3319</v>
      </c>
      <c r="N41" s="3719" t="s">
        <v>3318</v>
      </c>
      <c r="O41" s="3719">
        <v>16518</v>
      </c>
      <c r="P41" s="3719">
        <v>350.02</v>
      </c>
      <c r="Q41" s="3719">
        <v>2625</v>
      </c>
      <c r="R41" s="3719">
        <v>0</v>
      </c>
      <c r="S41" s="3719" t="s">
        <v>3395</v>
      </c>
    </row>
    <row r="42" spans="1:19">
      <c r="A42" s="3719" t="s">
        <v>3394</v>
      </c>
      <c r="B42" s="3719" t="s">
        <v>3328</v>
      </c>
      <c r="C42" s="3719" t="s">
        <v>3346</v>
      </c>
      <c r="D42" s="3719" t="s">
        <v>3393</v>
      </c>
      <c r="E42" s="3719">
        <v>43869.2</v>
      </c>
      <c r="F42" s="3719">
        <v>87738.4</v>
      </c>
      <c r="G42" s="3719" t="s">
        <v>3344</v>
      </c>
      <c r="H42" s="3719" t="s">
        <v>3324</v>
      </c>
      <c r="I42" s="3719" t="s">
        <v>3323</v>
      </c>
      <c r="J42" s="3719" t="s">
        <v>3383</v>
      </c>
      <c r="K42" s="3719" t="s">
        <v>3321</v>
      </c>
      <c r="L42" s="3719" t="s">
        <v>3388</v>
      </c>
      <c r="M42" s="3719" t="s">
        <v>3319</v>
      </c>
      <c r="N42" s="3719" t="s">
        <v>3318</v>
      </c>
      <c r="O42" s="3719">
        <v>25006</v>
      </c>
      <c r="P42" s="3719">
        <v>380.01</v>
      </c>
      <c r="Q42" s="3719">
        <v>2850</v>
      </c>
      <c r="R42" s="3719">
        <v>0</v>
      </c>
      <c r="S42" s="3719" t="s">
        <v>3351</v>
      </c>
    </row>
    <row r="43" spans="1:19">
      <c r="A43" s="3719" t="s">
        <v>3392</v>
      </c>
      <c r="B43" s="3719" t="s">
        <v>3328</v>
      </c>
      <c r="C43" s="3719" t="s">
        <v>3346</v>
      </c>
      <c r="D43" s="3719" t="s">
        <v>3391</v>
      </c>
      <c r="E43" s="3719">
        <v>27016.2</v>
      </c>
      <c r="F43" s="3719">
        <v>54032.4</v>
      </c>
      <c r="G43" s="3719" t="s">
        <v>3344</v>
      </c>
      <c r="H43" s="3719" t="s">
        <v>3324</v>
      </c>
      <c r="I43" s="3719" t="s">
        <v>3323</v>
      </c>
      <c r="J43" s="3719" t="s">
        <v>3383</v>
      </c>
      <c r="K43" s="3719" t="s">
        <v>3321</v>
      </c>
      <c r="L43" s="3719" t="s">
        <v>3388</v>
      </c>
      <c r="M43" s="3719" t="s">
        <v>3319</v>
      </c>
      <c r="N43" s="3719" t="s">
        <v>3318</v>
      </c>
      <c r="O43" s="3719">
        <v>15400</v>
      </c>
      <c r="P43" s="3719">
        <v>380.02</v>
      </c>
      <c r="Q43" s="3719">
        <v>2850</v>
      </c>
      <c r="R43" s="3719">
        <v>0</v>
      </c>
      <c r="S43" s="3719" t="s">
        <v>3351</v>
      </c>
    </row>
    <row r="44" spans="1:19">
      <c r="A44" s="3719" t="s">
        <v>3390</v>
      </c>
      <c r="B44" s="3719" t="s">
        <v>3328</v>
      </c>
      <c r="C44" s="3719" t="s">
        <v>3346</v>
      </c>
      <c r="D44" s="3719" t="s">
        <v>3389</v>
      </c>
      <c r="E44" s="3719">
        <v>26172.6</v>
      </c>
      <c r="F44" s="3719">
        <v>52345.2</v>
      </c>
      <c r="G44" s="3719" t="s">
        <v>3344</v>
      </c>
      <c r="H44" s="3719" t="s">
        <v>3324</v>
      </c>
      <c r="I44" s="3719" t="s">
        <v>3323</v>
      </c>
      <c r="J44" s="3719" t="s">
        <v>3383</v>
      </c>
      <c r="K44" s="3719" t="s">
        <v>3321</v>
      </c>
      <c r="L44" s="3719" t="s">
        <v>3388</v>
      </c>
      <c r="M44" s="3719" t="s">
        <v>3319</v>
      </c>
      <c r="N44" s="3719" t="s">
        <v>3318</v>
      </c>
      <c r="O44" s="3719">
        <v>14919</v>
      </c>
      <c r="P44" s="3719">
        <v>380.02</v>
      </c>
      <c r="Q44" s="3719">
        <v>2850</v>
      </c>
      <c r="R44" s="3719">
        <v>0</v>
      </c>
      <c r="S44" s="3719" t="s">
        <v>3342</v>
      </c>
    </row>
    <row r="45" spans="1:19">
      <c r="A45" s="3719" t="s">
        <v>3387</v>
      </c>
      <c r="B45" s="3719" t="s">
        <v>3328</v>
      </c>
      <c r="C45" s="3719" t="s">
        <v>3376</v>
      </c>
      <c r="D45" s="3719" t="s">
        <v>3386</v>
      </c>
      <c r="E45" s="3719">
        <v>27178.400000000001</v>
      </c>
      <c r="F45" s="3719">
        <v>54356.800000000003</v>
      </c>
      <c r="G45" s="3719" t="s">
        <v>3344</v>
      </c>
      <c r="H45" s="3719" t="s">
        <v>3324</v>
      </c>
      <c r="I45" s="3719" t="s">
        <v>3323</v>
      </c>
      <c r="J45" s="3719" t="s">
        <v>3383</v>
      </c>
      <c r="K45" s="3719" t="s">
        <v>3321</v>
      </c>
      <c r="L45" s="3719" t="s">
        <v>3374</v>
      </c>
      <c r="M45" s="3719" t="s">
        <v>3319</v>
      </c>
      <c r="N45" s="3719" t="s">
        <v>3318</v>
      </c>
      <c r="O45" s="3719">
        <v>14881</v>
      </c>
      <c r="P45" s="3719">
        <v>365.02</v>
      </c>
      <c r="Q45" s="3719">
        <v>2738</v>
      </c>
      <c r="R45" s="3719">
        <v>0</v>
      </c>
      <c r="S45" s="3719" t="s">
        <v>3351</v>
      </c>
    </row>
    <row r="46" spans="1:19">
      <c r="A46" s="3719" t="s">
        <v>3385</v>
      </c>
      <c r="B46" s="3719" t="s">
        <v>3328</v>
      </c>
      <c r="C46" s="3719" t="s">
        <v>3376</v>
      </c>
      <c r="D46" s="3719" t="s">
        <v>3384</v>
      </c>
      <c r="E46" s="3719">
        <v>30955.1</v>
      </c>
      <c r="F46" s="3719">
        <v>61910.2</v>
      </c>
      <c r="G46" s="3719" t="s">
        <v>3344</v>
      </c>
      <c r="H46" s="3719" t="s">
        <v>3324</v>
      </c>
      <c r="I46" s="3719" t="s">
        <v>3323</v>
      </c>
      <c r="J46" s="3719" t="s">
        <v>3383</v>
      </c>
      <c r="K46" s="3719" t="s">
        <v>3321</v>
      </c>
      <c r="L46" s="3719" t="s">
        <v>3374</v>
      </c>
      <c r="M46" s="3719" t="s">
        <v>3319</v>
      </c>
      <c r="N46" s="3719" t="s">
        <v>3318</v>
      </c>
      <c r="O46" s="3719">
        <v>16948</v>
      </c>
      <c r="P46" s="3719">
        <v>365</v>
      </c>
      <c r="Q46" s="3719">
        <v>2738</v>
      </c>
      <c r="R46" s="3719">
        <v>0</v>
      </c>
      <c r="S46" s="3719" t="s">
        <v>3351</v>
      </c>
    </row>
    <row r="47" spans="1:19">
      <c r="A47" s="3719" t="s">
        <v>3382</v>
      </c>
      <c r="B47" s="3719" t="s">
        <v>3328</v>
      </c>
      <c r="C47" s="3719" t="s">
        <v>3381</v>
      </c>
      <c r="D47" s="3719" t="s">
        <v>3380</v>
      </c>
      <c r="E47" s="3719">
        <v>13045.1</v>
      </c>
      <c r="F47" s="3719">
        <v>19567.650000000001</v>
      </c>
      <c r="G47" s="3719" t="s">
        <v>3344</v>
      </c>
      <c r="H47" s="3719" t="s">
        <v>3324</v>
      </c>
      <c r="I47" s="3719" t="s">
        <v>3323</v>
      </c>
      <c r="J47" s="3719" t="s">
        <v>3338</v>
      </c>
      <c r="K47" s="3719" t="s">
        <v>3321</v>
      </c>
      <c r="L47" s="3719" t="s">
        <v>3379</v>
      </c>
      <c r="M47" s="3719" t="s">
        <v>3319</v>
      </c>
      <c r="N47" s="3719" t="s">
        <v>3318</v>
      </c>
      <c r="O47" s="3719">
        <v>1227</v>
      </c>
      <c r="P47" s="3719">
        <v>62.71</v>
      </c>
      <c r="Q47" s="3719">
        <v>627</v>
      </c>
      <c r="R47" s="3719">
        <v>13.93</v>
      </c>
      <c r="S47" s="3719" t="s">
        <v>3378</v>
      </c>
    </row>
    <row r="48" spans="1:19">
      <c r="A48" s="3719" t="s">
        <v>3377</v>
      </c>
      <c r="B48" s="3719" t="s">
        <v>3328</v>
      </c>
      <c r="C48" s="3719" t="s">
        <v>3376</v>
      </c>
      <c r="D48" s="3719" t="s">
        <v>3375</v>
      </c>
      <c r="E48" s="3719">
        <v>12094</v>
      </c>
      <c r="F48" s="3719">
        <v>21769.200000000001</v>
      </c>
      <c r="G48" s="3719" t="s">
        <v>3344</v>
      </c>
      <c r="H48" s="3719" t="s">
        <v>3324</v>
      </c>
      <c r="I48" s="3719" t="s">
        <v>3323</v>
      </c>
      <c r="J48" s="3719" t="s">
        <v>3353</v>
      </c>
      <c r="K48" s="3719" t="s">
        <v>3321</v>
      </c>
      <c r="L48" s="3719" t="s">
        <v>3374</v>
      </c>
      <c r="M48" s="3719" t="s">
        <v>3319</v>
      </c>
      <c r="N48" s="3719" t="s">
        <v>3318</v>
      </c>
      <c r="O48" s="3719">
        <v>6622</v>
      </c>
      <c r="P48" s="3719">
        <v>365.03</v>
      </c>
      <c r="Q48" s="3719">
        <v>3042</v>
      </c>
      <c r="R48" s="3719">
        <v>0</v>
      </c>
      <c r="S48" s="3719" t="s">
        <v>3351</v>
      </c>
    </row>
    <row r="49" spans="1:19">
      <c r="A49" s="3719" t="s">
        <v>3373</v>
      </c>
      <c r="B49" s="3719" t="s">
        <v>3328</v>
      </c>
      <c r="C49" s="3719" t="s">
        <v>3340</v>
      </c>
      <c r="D49" s="3719" t="s">
        <v>3372</v>
      </c>
      <c r="E49" s="3719">
        <v>34696.449999999997</v>
      </c>
      <c r="F49" s="3719">
        <v>62453.61</v>
      </c>
      <c r="G49" s="3719" t="s">
        <v>3344</v>
      </c>
      <c r="H49" s="3719" t="s">
        <v>3324</v>
      </c>
      <c r="I49" s="3719" t="s">
        <v>3323</v>
      </c>
      <c r="J49" s="3719" t="s">
        <v>3353</v>
      </c>
      <c r="K49" s="3719" t="s">
        <v>3321</v>
      </c>
      <c r="L49" s="3719" t="s">
        <v>3352</v>
      </c>
      <c r="M49" s="3719" t="s">
        <v>3319</v>
      </c>
      <c r="N49" s="3719" t="s">
        <v>3318</v>
      </c>
      <c r="O49" s="3719">
        <v>18216</v>
      </c>
      <c r="P49" s="3719">
        <v>350.01</v>
      </c>
      <c r="Q49" s="3719">
        <v>2917</v>
      </c>
      <c r="R49" s="3719">
        <v>0</v>
      </c>
      <c r="S49" s="3719" t="s">
        <v>3371</v>
      </c>
    </row>
    <row r="50" spans="1:19">
      <c r="A50" s="3719" t="s">
        <v>3370</v>
      </c>
      <c r="B50" s="3719" t="s">
        <v>3328</v>
      </c>
      <c r="C50" s="3719" t="s">
        <v>3346</v>
      </c>
      <c r="D50" s="3719" t="s">
        <v>3369</v>
      </c>
      <c r="E50" s="3719">
        <v>16376.1</v>
      </c>
      <c r="F50" s="3719">
        <v>27839.37</v>
      </c>
      <c r="G50" s="3719" t="s">
        <v>3344</v>
      </c>
      <c r="H50" s="3719" t="s">
        <v>3324</v>
      </c>
      <c r="I50" s="3719" t="s">
        <v>3323</v>
      </c>
      <c r="J50" s="3719" t="s">
        <v>3368</v>
      </c>
      <c r="K50" s="3719" t="s">
        <v>3321</v>
      </c>
      <c r="L50" s="3719" t="s">
        <v>3362</v>
      </c>
      <c r="M50" s="3719" t="s">
        <v>3319</v>
      </c>
      <c r="N50" s="3719" t="s">
        <v>3318</v>
      </c>
      <c r="O50" s="3719">
        <v>8598</v>
      </c>
      <c r="P50" s="3719">
        <v>350.02</v>
      </c>
      <c r="Q50" s="3719">
        <v>3088</v>
      </c>
      <c r="R50" s="3719">
        <v>0</v>
      </c>
      <c r="S50" s="3719" t="s">
        <v>3365</v>
      </c>
    </row>
    <row r="51" spans="1:19">
      <c r="A51" s="3719" t="s">
        <v>3367</v>
      </c>
      <c r="B51" s="3719" t="s">
        <v>3328</v>
      </c>
      <c r="C51" s="3719" t="s">
        <v>3346</v>
      </c>
      <c r="D51" s="3719" t="s">
        <v>3366</v>
      </c>
      <c r="E51" s="3719">
        <v>22910.9</v>
      </c>
      <c r="F51" s="3719">
        <v>34366.35</v>
      </c>
      <c r="G51" s="3719" t="s">
        <v>3344</v>
      </c>
      <c r="H51" s="3719" t="s">
        <v>3324</v>
      </c>
      <c r="I51" s="3719" t="s">
        <v>3323</v>
      </c>
      <c r="J51" s="3719" t="s">
        <v>3338</v>
      </c>
      <c r="K51" s="3719" t="s">
        <v>3321</v>
      </c>
      <c r="L51" s="3719" t="s">
        <v>3362</v>
      </c>
      <c r="M51" s="3719" t="s">
        <v>3319</v>
      </c>
      <c r="N51" s="3719" t="s">
        <v>3318</v>
      </c>
      <c r="O51" s="3719">
        <v>12029</v>
      </c>
      <c r="P51" s="3719">
        <v>350.02</v>
      </c>
      <c r="Q51" s="3719">
        <v>3500</v>
      </c>
      <c r="R51" s="3719">
        <v>0</v>
      </c>
      <c r="S51" s="3719" t="s">
        <v>3365</v>
      </c>
    </row>
    <row r="52" spans="1:19">
      <c r="A52" s="3404" t="s">
        <v>3364</v>
      </c>
      <c r="B52" s="3404" t="s">
        <v>3328</v>
      </c>
      <c r="C52" s="3404" t="s">
        <v>3346</v>
      </c>
      <c r="D52" s="3404" t="s">
        <v>3363</v>
      </c>
      <c r="E52" s="3404">
        <v>23277</v>
      </c>
      <c r="F52" s="3404">
        <v>34915.5</v>
      </c>
      <c r="G52" s="3404" t="s">
        <v>3344</v>
      </c>
      <c r="H52" s="3404" t="s">
        <v>3324</v>
      </c>
      <c r="I52" s="3404" t="s">
        <v>3323</v>
      </c>
      <c r="J52" s="3404" t="s">
        <v>3338</v>
      </c>
      <c r="K52" s="3404" t="s">
        <v>3321</v>
      </c>
      <c r="L52" s="3404" t="s">
        <v>3362</v>
      </c>
      <c r="M52" s="3404" t="s">
        <v>3319</v>
      </c>
      <c r="N52" s="3404" t="s">
        <v>3318</v>
      </c>
      <c r="O52" s="3404">
        <v>12221</v>
      </c>
      <c r="P52" s="3404">
        <v>350.02</v>
      </c>
      <c r="Q52" s="3404">
        <v>3500</v>
      </c>
      <c r="R52" s="3404">
        <v>0</v>
      </c>
      <c r="S52" s="3404" t="s">
        <v>3361</v>
      </c>
    </row>
    <row r="53" spans="1:19">
      <c r="A53" s="3404" t="s">
        <v>3360</v>
      </c>
      <c r="B53" s="3404" t="s">
        <v>3328</v>
      </c>
      <c r="C53" s="3404" t="s">
        <v>3340</v>
      </c>
      <c r="D53" s="3404" t="s">
        <v>3359</v>
      </c>
      <c r="E53" s="3404">
        <v>34021.72</v>
      </c>
      <c r="F53" s="3404">
        <v>61239.1</v>
      </c>
      <c r="G53" s="3404" t="s">
        <v>3344</v>
      </c>
      <c r="H53" s="3404" t="s">
        <v>3324</v>
      </c>
      <c r="I53" s="3404" t="s">
        <v>3323</v>
      </c>
      <c r="J53" s="3404" t="s">
        <v>3353</v>
      </c>
      <c r="K53" s="3404" t="s">
        <v>3321</v>
      </c>
      <c r="L53" s="3404" t="s">
        <v>3352</v>
      </c>
      <c r="M53" s="3404" t="s">
        <v>3319</v>
      </c>
      <c r="N53" s="3404" t="s">
        <v>3318</v>
      </c>
      <c r="O53" s="3404">
        <v>17862</v>
      </c>
      <c r="P53" s="3404">
        <v>350.01</v>
      </c>
      <c r="Q53" s="3404">
        <v>2917</v>
      </c>
      <c r="R53" s="3404">
        <v>0</v>
      </c>
      <c r="S53" s="3404" t="s">
        <v>3351</v>
      </c>
    </row>
    <row r="54" spans="1:19">
      <c r="A54" s="3404" t="s">
        <v>3358</v>
      </c>
      <c r="B54" s="3404" t="s">
        <v>3328</v>
      </c>
      <c r="C54" s="3404" t="s">
        <v>3340</v>
      </c>
      <c r="D54" s="3404" t="s">
        <v>3357</v>
      </c>
      <c r="E54" s="3404">
        <v>47482.68</v>
      </c>
      <c r="F54" s="3404">
        <v>85468.82</v>
      </c>
      <c r="G54" s="3404" t="s">
        <v>3344</v>
      </c>
      <c r="H54" s="3404" t="s">
        <v>3324</v>
      </c>
      <c r="I54" s="3404" t="s">
        <v>3323</v>
      </c>
      <c r="J54" s="3404" t="s">
        <v>3353</v>
      </c>
      <c r="K54" s="3404" t="s">
        <v>3321</v>
      </c>
      <c r="L54" s="3404" t="s">
        <v>3352</v>
      </c>
      <c r="M54" s="3404" t="s">
        <v>3319</v>
      </c>
      <c r="N54" s="3404" t="s">
        <v>3318</v>
      </c>
      <c r="O54" s="3404">
        <v>24929</v>
      </c>
      <c r="P54" s="3404">
        <v>350.01</v>
      </c>
      <c r="Q54" s="3404">
        <v>2917</v>
      </c>
      <c r="R54" s="3404">
        <v>0</v>
      </c>
      <c r="S54" s="3404" t="s">
        <v>3356</v>
      </c>
    </row>
    <row r="55" spans="1:19">
      <c r="A55" s="3404" t="s">
        <v>3355</v>
      </c>
      <c r="B55" s="3404" t="s">
        <v>3328</v>
      </c>
      <c r="C55" s="3404" t="s">
        <v>3340</v>
      </c>
      <c r="D55" s="3404" t="s">
        <v>3354</v>
      </c>
      <c r="E55" s="3404">
        <v>21711.68</v>
      </c>
      <c r="F55" s="3404">
        <v>39081.019999999997</v>
      </c>
      <c r="G55" s="3404" t="s">
        <v>3325</v>
      </c>
      <c r="H55" s="3404" t="s">
        <v>3324</v>
      </c>
      <c r="I55" s="3404" t="s">
        <v>3323</v>
      </c>
      <c r="J55" s="3404" t="s">
        <v>3353</v>
      </c>
      <c r="K55" s="3404" t="s">
        <v>3321</v>
      </c>
      <c r="L55" s="3404" t="s">
        <v>3352</v>
      </c>
      <c r="M55" s="3404" t="s">
        <v>3319</v>
      </c>
      <c r="N55" s="3404" t="s">
        <v>3318</v>
      </c>
      <c r="O55" s="3404">
        <v>11399</v>
      </c>
      <c r="P55" s="3404">
        <v>350.01</v>
      </c>
      <c r="Q55" s="3404">
        <v>2917</v>
      </c>
      <c r="R55" s="3404">
        <v>0</v>
      </c>
      <c r="S55" s="3404" t="s">
        <v>3351</v>
      </c>
    </row>
    <row r="56" spans="1:19">
      <c r="A56" s="3404" t="s">
        <v>3350</v>
      </c>
      <c r="B56" s="3404" t="s">
        <v>3328</v>
      </c>
      <c r="C56" s="3404" t="s">
        <v>3346</v>
      </c>
      <c r="D56" s="3404" t="s">
        <v>3349</v>
      </c>
      <c r="E56" s="3404">
        <v>16334.4</v>
      </c>
      <c r="F56" s="3404">
        <v>21234.720000000001</v>
      </c>
      <c r="G56" s="3404" t="s">
        <v>3344</v>
      </c>
      <c r="H56" s="3404" t="s">
        <v>3324</v>
      </c>
      <c r="I56" s="3404" t="s">
        <v>3323</v>
      </c>
      <c r="J56" s="3404" t="s">
        <v>3348</v>
      </c>
      <c r="K56" s="3404" t="s">
        <v>3321</v>
      </c>
      <c r="L56" s="3404" t="s">
        <v>3343</v>
      </c>
      <c r="M56" s="3404" t="s">
        <v>3319</v>
      </c>
      <c r="N56" s="3404" t="s">
        <v>3318</v>
      </c>
      <c r="O56" s="3404">
        <v>7351</v>
      </c>
      <c r="P56" s="3404">
        <v>300.02</v>
      </c>
      <c r="Q56" s="3404">
        <v>3462</v>
      </c>
      <c r="R56" s="3404">
        <v>0</v>
      </c>
      <c r="S56" s="3404" t="s">
        <v>3342</v>
      </c>
    </row>
    <row r="57" spans="1:19">
      <c r="A57" s="3404" t="s">
        <v>3347</v>
      </c>
      <c r="B57" s="3404" t="s">
        <v>3328</v>
      </c>
      <c r="C57" s="3404" t="s">
        <v>3346</v>
      </c>
      <c r="D57" s="3404" t="s">
        <v>3345</v>
      </c>
      <c r="E57" s="3404">
        <v>32575.7</v>
      </c>
      <c r="F57" s="3404">
        <v>48863.55</v>
      </c>
      <c r="G57" s="3404" t="s">
        <v>3344</v>
      </c>
      <c r="H57" s="3404" t="s">
        <v>3324</v>
      </c>
      <c r="I57" s="3404" t="s">
        <v>3323</v>
      </c>
      <c r="J57" s="3404" t="s">
        <v>3338</v>
      </c>
      <c r="K57" s="3404" t="s">
        <v>3321</v>
      </c>
      <c r="L57" s="3404" t="s">
        <v>3343</v>
      </c>
      <c r="M57" s="3404" t="s">
        <v>3319</v>
      </c>
      <c r="N57" s="3404" t="s">
        <v>3318</v>
      </c>
      <c r="O57" s="3404">
        <v>14660</v>
      </c>
      <c r="P57" s="3404">
        <v>300.02</v>
      </c>
      <c r="Q57" s="3404">
        <v>3000</v>
      </c>
      <c r="R57" s="3404">
        <v>0</v>
      </c>
      <c r="S57" s="3404" t="s">
        <v>3342</v>
      </c>
    </row>
    <row r="58" spans="1:19">
      <c r="A58" s="3404" t="s">
        <v>3341</v>
      </c>
      <c r="B58" s="3404" t="s">
        <v>3328</v>
      </c>
      <c r="C58" s="3404" t="s">
        <v>3340</v>
      </c>
      <c r="D58" s="3404" t="s">
        <v>3339</v>
      </c>
      <c r="E58" s="3404">
        <v>38584.5</v>
      </c>
      <c r="F58" s="3404">
        <v>57876.75</v>
      </c>
      <c r="G58" s="3404" t="s">
        <v>3325</v>
      </c>
      <c r="H58" s="3404" t="s">
        <v>3324</v>
      </c>
      <c r="I58" s="3404" t="s">
        <v>3323</v>
      </c>
      <c r="J58" s="3404" t="s">
        <v>3338</v>
      </c>
      <c r="K58" s="3404" t="s">
        <v>3321</v>
      </c>
      <c r="L58" s="3404" t="s">
        <v>3337</v>
      </c>
      <c r="M58" s="3404" t="s">
        <v>3319</v>
      </c>
      <c r="N58" s="3404" t="s">
        <v>3318</v>
      </c>
      <c r="O58" s="3404">
        <v>17364</v>
      </c>
      <c r="P58" s="3404">
        <v>300.02</v>
      </c>
      <c r="Q58" s="3404">
        <v>3000</v>
      </c>
      <c r="R58" s="3404">
        <v>0</v>
      </c>
      <c r="S58" s="3404" t="s">
        <v>3336</v>
      </c>
    </row>
    <row r="59" spans="1:19">
      <c r="A59" s="3404" t="s">
        <v>3335</v>
      </c>
      <c r="B59" s="3404" t="s">
        <v>3328</v>
      </c>
      <c r="C59" s="3404" t="s">
        <v>3327</v>
      </c>
      <c r="D59" s="3404" t="s">
        <v>3334</v>
      </c>
      <c r="E59" s="3404">
        <v>35519.199999999997</v>
      </c>
      <c r="F59" s="3404">
        <v>56830.720000000001</v>
      </c>
      <c r="G59" s="3404" t="s">
        <v>3325</v>
      </c>
      <c r="H59" s="3404" t="s">
        <v>3324</v>
      </c>
      <c r="I59" s="3404" t="s">
        <v>3323</v>
      </c>
      <c r="J59" s="3404" t="s">
        <v>3333</v>
      </c>
      <c r="K59" s="3404" t="s">
        <v>3321</v>
      </c>
      <c r="L59" s="3404" t="s">
        <v>3320</v>
      </c>
      <c r="M59" s="3404" t="s">
        <v>3319</v>
      </c>
      <c r="N59" s="3404" t="s">
        <v>3318</v>
      </c>
      <c r="O59" s="3404">
        <v>1673</v>
      </c>
      <c r="P59" s="3404">
        <v>31.4</v>
      </c>
      <c r="Q59" s="3404">
        <v>294</v>
      </c>
      <c r="R59" s="3404">
        <v>0</v>
      </c>
      <c r="S59" s="3404" t="s">
        <v>3317</v>
      </c>
    </row>
    <row r="60" spans="1:19">
      <c r="A60" s="3404" t="s">
        <v>3332</v>
      </c>
      <c r="B60" s="3404" t="s">
        <v>3328</v>
      </c>
      <c r="C60" s="3404" t="s">
        <v>3327</v>
      </c>
      <c r="D60" s="3404" t="s">
        <v>3331</v>
      </c>
      <c r="E60" s="3404">
        <v>55132</v>
      </c>
      <c r="F60" s="3404">
        <v>82698</v>
      </c>
      <c r="G60" s="3404" t="s">
        <v>3325</v>
      </c>
      <c r="H60" s="3404" t="s">
        <v>3324</v>
      </c>
      <c r="I60" s="3404" t="s">
        <v>3323</v>
      </c>
      <c r="J60" s="3404" t="s">
        <v>3330</v>
      </c>
      <c r="K60" s="3404" t="s">
        <v>3321</v>
      </c>
      <c r="L60" s="3404" t="s">
        <v>3320</v>
      </c>
      <c r="M60" s="3404" t="s">
        <v>3319</v>
      </c>
      <c r="N60" s="3404" t="s">
        <v>3318</v>
      </c>
      <c r="O60" s="3404">
        <v>2459</v>
      </c>
      <c r="P60" s="3404">
        <v>29.73</v>
      </c>
      <c r="Q60" s="3404">
        <v>297</v>
      </c>
      <c r="R60" s="3404">
        <v>0</v>
      </c>
      <c r="S60" s="3404" t="s">
        <v>3317</v>
      </c>
    </row>
    <row r="61" spans="1:19">
      <c r="A61" s="3404" t="s">
        <v>3329</v>
      </c>
      <c r="B61" s="3404" t="s">
        <v>3328</v>
      </c>
      <c r="C61" s="3404" t="s">
        <v>3327</v>
      </c>
      <c r="D61" s="3404" t="s">
        <v>3326</v>
      </c>
      <c r="E61" s="3404">
        <v>69953.7</v>
      </c>
      <c r="F61" s="3404">
        <v>83944.44</v>
      </c>
      <c r="G61" s="3404" t="s">
        <v>3325</v>
      </c>
      <c r="H61" s="3404" t="s">
        <v>3324</v>
      </c>
      <c r="I61" s="3404" t="s">
        <v>3323</v>
      </c>
      <c r="J61" s="3404" t="s">
        <v>3322</v>
      </c>
      <c r="K61" s="3404" t="s">
        <v>3321</v>
      </c>
      <c r="L61" s="3404" t="s">
        <v>3320</v>
      </c>
      <c r="M61" s="3404" t="s">
        <v>3319</v>
      </c>
      <c r="N61" s="3404" t="s">
        <v>3318</v>
      </c>
      <c r="O61" s="3404">
        <v>2988</v>
      </c>
      <c r="P61" s="3404">
        <v>28.48</v>
      </c>
      <c r="Q61" s="3404">
        <v>356</v>
      </c>
      <c r="R61" s="3404">
        <v>0</v>
      </c>
      <c r="S61" s="3404" t="s">
        <v>3317</v>
      </c>
    </row>
  </sheetData>
  <mergeCells count="969">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3"/>
    <mergeCell ref="K3"/>
    <mergeCell ref="L3"/>
    <mergeCell ref="O4"/>
    <mergeCell ref="O3"/>
    <mergeCell ref="M4"/>
    <mergeCell ref="N4"/>
    <mergeCell ref="J4"/>
    <mergeCell ref="K4"/>
    <mergeCell ref="L4"/>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A6"/>
    <mergeCell ref="B6"/>
    <mergeCell ref="C6"/>
    <mergeCell ref="D6"/>
    <mergeCell ref="E6"/>
    <mergeCell ref="F6"/>
    <mergeCell ref="A5"/>
    <mergeCell ref="B5"/>
    <mergeCell ref="C5"/>
    <mergeCell ref="D5"/>
    <mergeCell ref="E5"/>
    <mergeCell ref="F5"/>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A7"/>
    <mergeCell ref="B7"/>
    <mergeCell ref="C7"/>
    <mergeCell ref="D7"/>
    <mergeCell ref="E7"/>
    <mergeCell ref="F7"/>
    <mergeCell ref="G8"/>
    <mergeCell ref="H8"/>
    <mergeCell ref="I8"/>
    <mergeCell ref="J8"/>
    <mergeCell ref="K8"/>
    <mergeCell ref="L8"/>
    <mergeCell ref="A8"/>
    <mergeCell ref="B8"/>
    <mergeCell ref="C8"/>
    <mergeCell ref="D8"/>
    <mergeCell ref="E8"/>
    <mergeCell ref="F8"/>
    <mergeCell ref="G7"/>
    <mergeCell ref="H7"/>
    <mergeCell ref="I7"/>
    <mergeCell ref="J7"/>
    <mergeCell ref="A10"/>
    <mergeCell ref="B10"/>
    <mergeCell ref="C10"/>
    <mergeCell ref="D10"/>
    <mergeCell ref="E10"/>
    <mergeCell ref="F10"/>
    <mergeCell ref="A9"/>
    <mergeCell ref="B9"/>
    <mergeCell ref="C9"/>
    <mergeCell ref="D9"/>
    <mergeCell ref="E9"/>
    <mergeCell ref="F9"/>
    <mergeCell ref="G10"/>
    <mergeCell ref="H10"/>
    <mergeCell ref="I10"/>
    <mergeCell ref="G9"/>
    <mergeCell ref="H9"/>
    <mergeCell ref="I9"/>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O12"/>
    <mergeCell ref="O11"/>
    <mergeCell ref="M12"/>
    <mergeCell ref="N12"/>
    <mergeCell ref="S11"/>
    <mergeCell ref="O9"/>
    <mergeCell ref="P9"/>
    <mergeCell ref="Q9"/>
    <mergeCell ref="R9"/>
    <mergeCell ref="M10"/>
    <mergeCell ref="N10"/>
    <mergeCell ref="S10"/>
    <mergeCell ref="R10"/>
    <mergeCell ref="P11"/>
    <mergeCell ref="Q11"/>
    <mergeCell ref="R11"/>
    <mergeCell ref="S9"/>
    <mergeCell ref="S12"/>
    <mergeCell ref="R12"/>
    <mergeCell ref="A11"/>
    <mergeCell ref="B11"/>
    <mergeCell ref="C11"/>
    <mergeCell ref="D11"/>
    <mergeCell ref="E11"/>
    <mergeCell ref="F11"/>
    <mergeCell ref="G12"/>
    <mergeCell ref="H12"/>
    <mergeCell ref="I12"/>
    <mergeCell ref="J12"/>
    <mergeCell ref="K12"/>
    <mergeCell ref="L12"/>
    <mergeCell ref="A12"/>
    <mergeCell ref="B12"/>
    <mergeCell ref="C12"/>
    <mergeCell ref="D12"/>
    <mergeCell ref="E12"/>
    <mergeCell ref="F12"/>
    <mergeCell ref="G11"/>
    <mergeCell ref="H11"/>
    <mergeCell ref="I11"/>
    <mergeCell ref="J11"/>
    <mergeCell ref="A14"/>
    <mergeCell ref="B14"/>
    <mergeCell ref="C14"/>
    <mergeCell ref="D14"/>
    <mergeCell ref="E14"/>
    <mergeCell ref="F14"/>
    <mergeCell ref="A13"/>
    <mergeCell ref="B13"/>
    <mergeCell ref="C13"/>
    <mergeCell ref="D13"/>
    <mergeCell ref="E13"/>
    <mergeCell ref="F13"/>
    <mergeCell ref="G14"/>
    <mergeCell ref="H14"/>
    <mergeCell ref="I14"/>
    <mergeCell ref="G13"/>
    <mergeCell ref="H13"/>
    <mergeCell ref="I13"/>
    <mergeCell ref="P16"/>
    <mergeCell ref="Q16"/>
    <mergeCell ref="M15"/>
    <mergeCell ref="N15"/>
    <mergeCell ref="J13"/>
    <mergeCell ref="K13"/>
    <mergeCell ref="L13"/>
    <mergeCell ref="O14"/>
    <mergeCell ref="P14"/>
    <mergeCell ref="Q14"/>
    <mergeCell ref="M13"/>
    <mergeCell ref="N13"/>
    <mergeCell ref="J14"/>
    <mergeCell ref="K14"/>
    <mergeCell ref="L14"/>
    <mergeCell ref="K15"/>
    <mergeCell ref="L15"/>
    <mergeCell ref="O16"/>
    <mergeCell ref="O15"/>
    <mergeCell ref="M16"/>
    <mergeCell ref="N16"/>
    <mergeCell ref="S15"/>
    <mergeCell ref="O13"/>
    <mergeCell ref="P13"/>
    <mergeCell ref="Q13"/>
    <mergeCell ref="R13"/>
    <mergeCell ref="M14"/>
    <mergeCell ref="N14"/>
    <mergeCell ref="S14"/>
    <mergeCell ref="R14"/>
    <mergeCell ref="P15"/>
    <mergeCell ref="Q15"/>
    <mergeCell ref="R15"/>
    <mergeCell ref="S13"/>
    <mergeCell ref="S16"/>
    <mergeCell ref="R16"/>
    <mergeCell ref="A15"/>
    <mergeCell ref="B15"/>
    <mergeCell ref="C15"/>
    <mergeCell ref="D15"/>
    <mergeCell ref="E15"/>
    <mergeCell ref="F15"/>
    <mergeCell ref="G16"/>
    <mergeCell ref="H16"/>
    <mergeCell ref="I16"/>
    <mergeCell ref="J16"/>
    <mergeCell ref="K16"/>
    <mergeCell ref="L16"/>
    <mergeCell ref="A16"/>
    <mergeCell ref="B16"/>
    <mergeCell ref="C16"/>
    <mergeCell ref="D16"/>
    <mergeCell ref="E16"/>
    <mergeCell ref="F16"/>
    <mergeCell ref="G15"/>
    <mergeCell ref="H15"/>
    <mergeCell ref="I15"/>
    <mergeCell ref="J15"/>
    <mergeCell ref="A18"/>
    <mergeCell ref="B18"/>
    <mergeCell ref="C18"/>
    <mergeCell ref="D18"/>
    <mergeCell ref="E18"/>
    <mergeCell ref="F18"/>
    <mergeCell ref="A17"/>
    <mergeCell ref="B17"/>
    <mergeCell ref="C17"/>
    <mergeCell ref="D17"/>
    <mergeCell ref="E17"/>
    <mergeCell ref="F17"/>
    <mergeCell ref="G18"/>
    <mergeCell ref="H18"/>
    <mergeCell ref="I18"/>
    <mergeCell ref="G17"/>
    <mergeCell ref="H17"/>
    <mergeCell ref="I17"/>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O20"/>
    <mergeCell ref="O19"/>
    <mergeCell ref="M20"/>
    <mergeCell ref="N20"/>
    <mergeCell ref="S19"/>
    <mergeCell ref="O17"/>
    <mergeCell ref="P17"/>
    <mergeCell ref="Q17"/>
    <mergeCell ref="R17"/>
    <mergeCell ref="M18"/>
    <mergeCell ref="N18"/>
    <mergeCell ref="S18"/>
    <mergeCell ref="R18"/>
    <mergeCell ref="P19"/>
    <mergeCell ref="Q19"/>
    <mergeCell ref="R19"/>
    <mergeCell ref="S17"/>
    <mergeCell ref="S20"/>
    <mergeCell ref="R20"/>
    <mergeCell ref="A19"/>
    <mergeCell ref="B19"/>
    <mergeCell ref="C19"/>
    <mergeCell ref="D19"/>
    <mergeCell ref="E19"/>
    <mergeCell ref="F19"/>
    <mergeCell ref="G20"/>
    <mergeCell ref="H20"/>
    <mergeCell ref="I20"/>
    <mergeCell ref="J20"/>
    <mergeCell ref="K20"/>
    <mergeCell ref="L20"/>
    <mergeCell ref="A20"/>
    <mergeCell ref="B20"/>
    <mergeCell ref="C20"/>
    <mergeCell ref="D20"/>
    <mergeCell ref="E20"/>
    <mergeCell ref="F20"/>
    <mergeCell ref="G19"/>
    <mergeCell ref="H19"/>
    <mergeCell ref="I19"/>
    <mergeCell ref="J19"/>
    <mergeCell ref="A22"/>
    <mergeCell ref="B22"/>
    <mergeCell ref="C22"/>
    <mergeCell ref="D22"/>
    <mergeCell ref="E22"/>
    <mergeCell ref="F22"/>
    <mergeCell ref="A21"/>
    <mergeCell ref="B21"/>
    <mergeCell ref="C21"/>
    <mergeCell ref="D21"/>
    <mergeCell ref="E21"/>
    <mergeCell ref="F21"/>
    <mergeCell ref="G22"/>
    <mergeCell ref="H22"/>
    <mergeCell ref="I22"/>
    <mergeCell ref="G21"/>
    <mergeCell ref="H21"/>
    <mergeCell ref="I21"/>
    <mergeCell ref="P24"/>
    <mergeCell ref="Q24"/>
    <mergeCell ref="M23"/>
    <mergeCell ref="N23"/>
    <mergeCell ref="J21"/>
    <mergeCell ref="K21"/>
    <mergeCell ref="L21"/>
    <mergeCell ref="O22"/>
    <mergeCell ref="P22"/>
    <mergeCell ref="Q22"/>
    <mergeCell ref="M21"/>
    <mergeCell ref="N21"/>
    <mergeCell ref="J22"/>
    <mergeCell ref="K22"/>
    <mergeCell ref="L22"/>
    <mergeCell ref="K23"/>
    <mergeCell ref="L23"/>
    <mergeCell ref="O24"/>
    <mergeCell ref="O23"/>
    <mergeCell ref="M24"/>
    <mergeCell ref="N24"/>
    <mergeCell ref="S23"/>
    <mergeCell ref="O21"/>
    <mergeCell ref="P21"/>
    <mergeCell ref="Q21"/>
    <mergeCell ref="R21"/>
    <mergeCell ref="M22"/>
    <mergeCell ref="N22"/>
    <mergeCell ref="S22"/>
    <mergeCell ref="R22"/>
    <mergeCell ref="P23"/>
    <mergeCell ref="Q23"/>
    <mergeCell ref="R23"/>
    <mergeCell ref="S21"/>
    <mergeCell ref="S24"/>
    <mergeCell ref="R24"/>
    <mergeCell ref="A23"/>
    <mergeCell ref="B23"/>
    <mergeCell ref="C23"/>
    <mergeCell ref="D23"/>
    <mergeCell ref="E23"/>
    <mergeCell ref="F23"/>
    <mergeCell ref="G24"/>
    <mergeCell ref="H24"/>
    <mergeCell ref="I24"/>
    <mergeCell ref="J24"/>
    <mergeCell ref="K24"/>
    <mergeCell ref="L24"/>
    <mergeCell ref="A24"/>
    <mergeCell ref="B24"/>
    <mergeCell ref="C24"/>
    <mergeCell ref="D24"/>
    <mergeCell ref="E24"/>
    <mergeCell ref="F24"/>
    <mergeCell ref="G23"/>
    <mergeCell ref="H23"/>
    <mergeCell ref="I23"/>
    <mergeCell ref="J23"/>
    <mergeCell ref="A26"/>
    <mergeCell ref="B26"/>
    <mergeCell ref="C26"/>
    <mergeCell ref="D26"/>
    <mergeCell ref="E26"/>
    <mergeCell ref="F26"/>
    <mergeCell ref="A25"/>
    <mergeCell ref="B25"/>
    <mergeCell ref="C25"/>
    <mergeCell ref="D25"/>
    <mergeCell ref="E25"/>
    <mergeCell ref="F25"/>
    <mergeCell ref="G26"/>
    <mergeCell ref="H26"/>
    <mergeCell ref="I26"/>
    <mergeCell ref="G25"/>
    <mergeCell ref="H25"/>
    <mergeCell ref="I25"/>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O28"/>
    <mergeCell ref="O27"/>
    <mergeCell ref="M28"/>
    <mergeCell ref="N28"/>
    <mergeCell ref="S27"/>
    <mergeCell ref="O25"/>
    <mergeCell ref="P25"/>
    <mergeCell ref="Q25"/>
    <mergeCell ref="R25"/>
    <mergeCell ref="M26"/>
    <mergeCell ref="N26"/>
    <mergeCell ref="S26"/>
    <mergeCell ref="R26"/>
    <mergeCell ref="P27"/>
    <mergeCell ref="Q27"/>
    <mergeCell ref="R27"/>
    <mergeCell ref="S25"/>
    <mergeCell ref="S28"/>
    <mergeCell ref="R28"/>
    <mergeCell ref="A27"/>
    <mergeCell ref="B27"/>
    <mergeCell ref="C27"/>
    <mergeCell ref="D27"/>
    <mergeCell ref="E27"/>
    <mergeCell ref="F27"/>
    <mergeCell ref="G28"/>
    <mergeCell ref="H28"/>
    <mergeCell ref="I28"/>
    <mergeCell ref="J28"/>
    <mergeCell ref="K28"/>
    <mergeCell ref="L28"/>
    <mergeCell ref="A28"/>
    <mergeCell ref="B28"/>
    <mergeCell ref="C28"/>
    <mergeCell ref="D28"/>
    <mergeCell ref="E28"/>
    <mergeCell ref="F28"/>
    <mergeCell ref="G27"/>
    <mergeCell ref="H27"/>
    <mergeCell ref="I27"/>
    <mergeCell ref="J27"/>
    <mergeCell ref="A30"/>
    <mergeCell ref="B30"/>
    <mergeCell ref="C30"/>
    <mergeCell ref="D30"/>
    <mergeCell ref="E30"/>
    <mergeCell ref="F30"/>
    <mergeCell ref="A29"/>
    <mergeCell ref="B29"/>
    <mergeCell ref="C29"/>
    <mergeCell ref="D29"/>
    <mergeCell ref="E29"/>
    <mergeCell ref="F29"/>
    <mergeCell ref="G30"/>
    <mergeCell ref="H30"/>
    <mergeCell ref="I30"/>
    <mergeCell ref="G29"/>
    <mergeCell ref="H29"/>
    <mergeCell ref="I29"/>
    <mergeCell ref="P32"/>
    <mergeCell ref="Q32"/>
    <mergeCell ref="M31"/>
    <mergeCell ref="N31"/>
    <mergeCell ref="J29"/>
    <mergeCell ref="K29"/>
    <mergeCell ref="L29"/>
    <mergeCell ref="O30"/>
    <mergeCell ref="P30"/>
    <mergeCell ref="Q30"/>
    <mergeCell ref="M29"/>
    <mergeCell ref="N29"/>
    <mergeCell ref="J30"/>
    <mergeCell ref="K30"/>
    <mergeCell ref="L30"/>
    <mergeCell ref="K31"/>
    <mergeCell ref="L31"/>
    <mergeCell ref="O32"/>
    <mergeCell ref="O31"/>
    <mergeCell ref="M32"/>
    <mergeCell ref="N32"/>
    <mergeCell ref="S31"/>
    <mergeCell ref="O29"/>
    <mergeCell ref="P29"/>
    <mergeCell ref="Q29"/>
    <mergeCell ref="R29"/>
    <mergeCell ref="M30"/>
    <mergeCell ref="N30"/>
    <mergeCell ref="S30"/>
    <mergeCell ref="R30"/>
    <mergeCell ref="P31"/>
    <mergeCell ref="Q31"/>
    <mergeCell ref="R31"/>
    <mergeCell ref="S29"/>
    <mergeCell ref="S32"/>
    <mergeCell ref="R32"/>
    <mergeCell ref="A31"/>
    <mergeCell ref="B31"/>
    <mergeCell ref="C31"/>
    <mergeCell ref="D31"/>
    <mergeCell ref="E31"/>
    <mergeCell ref="F31"/>
    <mergeCell ref="G32"/>
    <mergeCell ref="H32"/>
    <mergeCell ref="I32"/>
    <mergeCell ref="J32"/>
    <mergeCell ref="K32"/>
    <mergeCell ref="L32"/>
    <mergeCell ref="A32"/>
    <mergeCell ref="B32"/>
    <mergeCell ref="C32"/>
    <mergeCell ref="D32"/>
    <mergeCell ref="E32"/>
    <mergeCell ref="F32"/>
    <mergeCell ref="G31"/>
    <mergeCell ref="H31"/>
    <mergeCell ref="I31"/>
    <mergeCell ref="J31"/>
    <mergeCell ref="A34"/>
    <mergeCell ref="B34"/>
    <mergeCell ref="C34"/>
    <mergeCell ref="D34"/>
    <mergeCell ref="E34"/>
    <mergeCell ref="F34"/>
    <mergeCell ref="A33"/>
    <mergeCell ref="B33"/>
    <mergeCell ref="C33"/>
    <mergeCell ref="D33"/>
    <mergeCell ref="E33"/>
    <mergeCell ref="F33"/>
    <mergeCell ref="G34"/>
    <mergeCell ref="H34"/>
    <mergeCell ref="I34"/>
    <mergeCell ref="G33"/>
    <mergeCell ref="H33"/>
    <mergeCell ref="I33"/>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O36"/>
    <mergeCell ref="O35"/>
    <mergeCell ref="M36"/>
    <mergeCell ref="N36"/>
    <mergeCell ref="S35"/>
    <mergeCell ref="O33"/>
    <mergeCell ref="P33"/>
    <mergeCell ref="Q33"/>
    <mergeCell ref="R33"/>
    <mergeCell ref="M34"/>
    <mergeCell ref="N34"/>
    <mergeCell ref="S34"/>
    <mergeCell ref="R34"/>
    <mergeCell ref="P35"/>
    <mergeCell ref="Q35"/>
    <mergeCell ref="R35"/>
    <mergeCell ref="S33"/>
    <mergeCell ref="S36"/>
    <mergeCell ref="R36"/>
    <mergeCell ref="A35"/>
    <mergeCell ref="B35"/>
    <mergeCell ref="C35"/>
    <mergeCell ref="D35"/>
    <mergeCell ref="E35"/>
    <mergeCell ref="F35"/>
    <mergeCell ref="G36"/>
    <mergeCell ref="H36"/>
    <mergeCell ref="I36"/>
    <mergeCell ref="J36"/>
    <mergeCell ref="K36"/>
    <mergeCell ref="L36"/>
    <mergeCell ref="A36"/>
    <mergeCell ref="B36"/>
    <mergeCell ref="C36"/>
    <mergeCell ref="D36"/>
    <mergeCell ref="E36"/>
    <mergeCell ref="F36"/>
    <mergeCell ref="G35"/>
    <mergeCell ref="H35"/>
    <mergeCell ref="I35"/>
    <mergeCell ref="J35"/>
    <mergeCell ref="A38"/>
    <mergeCell ref="B38"/>
    <mergeCell ref="C38"/>
    <mergeCell ref="D38"/>
    <mergeCell ref="E38"/>
    <mergeCell ref="F38"/>
    <mergeCell ref="A37"/>
    <mergeCell ref="B37"/>
    <mergeCell ref="C37"/>
    <mergeCell ref="D37"/>
    <mergeCell ref="E37"/>
    <mergeCell ref="F37"/>
    <mergeCell ref="G38"/>
    <mergeCell ref="H38"/>
    <mergeCell ref="I38"/>
    <mergeCell ref="G37"/>
    <mergeCell ref="H37"/>
    <mergeCell ref="I37"/>
    <mergeCell ref="P40"/>
    <mergeCell ref="Q40"/>
    <mergeCell ref="M39"/>
    <mergeCell ref="N39"/>
    <mergeCell ref="J37"/>
    <mergeCell ref="K37"/>
    <mergeCell ref="L37"/>
    <mergeCell ref="O38"/>
    <mergeCell ref="P38"/>
    <mergeCell ref="Q38"/>
    <mergeCell ref="M37"/>
    <mergeCell ref="N37"/>
    <mergeCell ref="J38"/>
    <mergeCell ref="K38"/>
    <mergeCell ref="L38"/>
    <mergeCell ref="K39"/>
    <mergeCell ref="L39"/>
    <mergeCell ref="O40"/>
    <mergeCell ref="O39"/>
    <mergeCell ref="M40"/>
    <mergeCell ref="N40"/>
    <mergeCell ref="S39"/>
    <mergeCell ref="O37"/>
    <mergeCell ref="P37"/>
    <mergeCell ref="Q37"/>
    <mergeCell ref="R37"/>
    <mergeCell ref="M38"/>
    <mergeCell ref="N38"/>
    <mergeCell ref="S38"/>
    <mergeCell ref="R38"/>
    <mergeCell ref="P39"/>
    <mergeCell ref="Q39"/>
    <mergeCell ref="R39"/>
    <mergeCell ref="S37"/>
    <mergeCell ref="S40"/>
    <mergeCell ref="R40"/>
    <mergeCell ref="A39"/>
    <mergeCell ref="B39"/>
    <mergeCell ref="C39"/>
    <mergeCell ref="D39"/>
    <mergeCell ref="E39"/>
    <mergeCell ref="F39"/>
    <mergeCell ref="G40"/>
    <mergeCell ref="H40"/>
    <mergeCell ref="I40"/>
    <mergeCell ref="J40"/>
    <mergeCell ref="K40"/>
    <mergeCell ref="L40"/>
    <mergeCell ref="A40"/>
    <mergeCell ref="B40"/>
    <mergeCell ref="C40"/>
    <mergeCell ref="D40"/>
    <mergeCell ref="E40"/>
    <mergeCell ref="F40"/>
    <mergeCell ref="G39"/>
    <mergeCell ref="H39"/>
    <mergeCell ref="I39"/>
    <mergeCell ref="J39"/>
    <mergeCell ref="A42"/>
    <mergeCell ref="B42"/>
    <mergeCell ref="C42"/>
    <mergeCell ref="D42"/>
    <mergeCell ref="E42"/>
    <mergeCell ref="F42"/>
    <mergeCell ref="A41"/>
    <mergeCell ref="B41"/>
    <mergeCell ref="C41"/>
    <mergeCell ref="D41"/>
    <mergeCell ref="E41"/>
    <mergeCell ref="F41"/>
    <mergeCell ref="G42"/>
    <mergeCell ref="H42"/>
    <mergeCell ref="I42"/>
    <mergeCell ref="G41"/>
    <mergeCell ref="H41"/>
    <mergeCell ref="I41"/>
    <mergeCell ref="P44"/>
    <mergeCell ref="Q44"/>
    <mergeCell ref="M43"/>
    <mergeCell ref="N43"/>
    <mergeCell ref="J41"/>
    <mergeCell ref="K41"/>
    <mergeCell ref="L41"/>
    <mergeCell ref="O42"/>
    <mergeCell ref="P42"/>
    <mergeCell ref="Q42"/>
    <mergeCell ref="M41"/>
    <mergeCell ref="N41"/>
    <mergeCell ref="J42"/>
    <mergeCell ref="K42"/>
    <mergeCell ref="L42"/>
    <mergeCell ref="K43"/>
    <mergeCell ref="L43"/>
    <mergeCell ref="O44"/>
    <mergeCell ref="O43"/>
    <mergeCell ref="M44"/>
    <mergeCell ref="N44"/>
    <mergeCell ref="S43"/>
    <mergeCell ref="O41"/>
    <mergeCell ref="P41"/>
    <mergeCell ref="Q41"/>
    <mergeCell ref="R41"/>
    <mergeCell ref="M42"/>
    <mergeCell ref="N42"/>
    <mergeCell ref="S42"/>
    <mergeCell ref="R42"/>
    <mergeCell ref="P43"/>
    <mergeCell ref="Q43"/>
    <mergeCell ref="R43"/>
    <mergeCell ref="S41"/>
    <mergeCell ref="S44"/>
    <mergeCell ref="R44"/>
    <mergeCell ref="A43"/>
    <mergeCell ref="B43"/>
    <mergeCell ref="C43"/>
    <mergeCell ref="D43"/>
    <mergeCell ref="E43"/>
    <mergeCell ref="F43"/>
    <mergeCell ref="G44"/>
    <mergeCell ref="H44"/>
    <mergeCell ref="I44"/>
    <mergeCell ref="J44"/>
    <mergeCell ref="K44"/>
    <mergeCell ref="L44"/>
    <mergeCell ref="A44"/>
    <mergeCell ref="B44"/>
    <mergeCell ref="C44"/>
    <mergeCell ref="D44"/>
    <mergeCell ref="E44"/>
    <mergeCell ref="F44"/>
    <mergeCell ref="G43"/>
    <mergeCell ref="H43"/>
    <mergeCell ref="I43"/>
    <mergeCell ref="J43"/>
    <mergeCell ref="A46"/>
    <mergeCell ref="B46"/>
    <mergeCell ref="C46"/>
    <mergeCell ref="D46"/>
    <mergeCell ref="E46"/>
    <mergeCell ref="F46"/>
    <mergeCell ref="A45"/>
    <mergeCell ref="B45"/>
    <mergeCell ref="C45"/>
    <mergeCell ref="D45"/>
    <mergeCell ref="E45"/>
    <mergeCell ref="F45"/>
    <mergeCell ref="G46"/>
    <mergeCell ref="H46"/>
    <mergeCell ref="I46"/>
    <mergeCell ref="G45"/>
    <mergeCell ref="H45"/>
    <mergeCell ref="I45"/>
    <mergeCell ref="P48"/>
    <mergeCell ref="Q48"/>
    <mergeCell ref="M47"/>
    <mergeCell ref="N47"/>
    <mergeCell ref="J45"/>
    <mergeCell ref="K45"/>
    <mergeCell ref="L45"/>
    <mergeCell ref="O46"/>
    <mergeCell ref="P46"/>
    <mergeCell ref="Q46"/>
    <mergeCell ref="M45"/>
    <mergeCell ref="N45"/>
    <mergeCell ref="J46"/>
    <mergeCell ref="K46"/>
    <mergeCell ref="L46"/>
    <mergeCell ref="S47"/>
    <mergeCell ref="O45"/>
    <mergeCell ref="P45"/>
    <mergeCell ref="Q45"/>
    <mergeCell ref="R45"/>
    <mergeCell ref="M46"/>
    <mergeCell ref="N46"/>
    <mergeCell ref="S46"/>
    <mergeCell ref="R46"/>
    <mergeCell ref="P47"/>
    <mergeCell ref="Q47"/>
    <mergeCell ref="R47"/>
    <mergeCell ref="S45"/>
    <mergeCell ref="E48"/>
    <mergeCell ref="F48"/>
    <mergeCell ref="G47"/>
    <mergeCell ref="H47"/>
    <mergeCell ref="I47"/>
    <mergeCell ref="J47"/>
    <mergeCell ref="K47"/>
    <mergeCell ref="L47"/>
    <mergeCell ref="O48"/>
    <mergeCell ref="O47"/>
    <mergeCell ref="M48"/>
    <mergeCell ref="N48"/>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A50"/>
    <mergeCell ref="B50"/>
    <mergeCell ref="C50"/>
    <mergeCell ref="D50"/>
    <mergeCell ref="E50"/>
    <mergeCell ref="F50"/>
    <mergeCell ref="A49"/>
    <mergeCell ref="B49"/>
    <mergeCell ref="C49"/>
    <mergeCell ref="D49"/>
    <mergeCell ref="E49"/>
    <mergeCell ref="F49"/>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R50"/>
    <mergeCell ref="J51"/>
    <mergeCell ref="K51"/>
    <mergeCell ref="L51"/>
    <mergeCell ref="O51"/>
    <mergeCell ref="P51"/>
    <mergeCell ref="Q51"/>
    <mergeCell ref="M51"/>
    <mergeCell ref="N51"/>
    <mergeCell ref="S51"/>
    <mergeCell ref="A51"/>
    <mergeCell ref="B51"/>
    <mergeCell ref="C51"/>
    <mergeCell ref="D51"/>
    <mergeCell ref="E51"/>
    <mergeCell ref="F51"/>
    <mergeCell ref="G51"/>
    <mergeCell ref="H51"/>
    <mergeCell ref="I51"/>
    <mergeCell ref="R51"/>
  </mergeCells>
  <phoneticPr fontId="22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20" sqref="L2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4B359-E850-45CC-8704-E883C99C1D94}">
  <dimension ref="A30:A60"/>
  <sheetViews>
    <sheetView workbookViewId="0">
      <selection activeCell="M3" sqref="M3"/>
    </sheetView>
  </sheetViews>
  <sheetFormatPr defaultRowHeight="13.5"/>
  <sheetData>
    <row r="30" s="3401" customFormat="1"/>
    <row r="60" s="3401" customFormat="1"/>
  </sheetData>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96" t="s">
        <v>471</v>
      </c>
      <c r="D4" s="3597"/>
      <c r="E4" s="3631" t="s">
        <v>472</v>
      </c>
      <c r="F4" s="3632"/>
      <c r="G4" s="3596" t="s">
        <v>473</v>
      </c>
      <c r="H4" s="3597"/>
      <c r="I4" s="3596" t="s">
        <v>474</v>
      </c>
      <c r="J4" s="3597"/>
      <c r="K4" s="465" t="s">
        <v>475</v>
      </c>
      <c r="L4" s="1741"/>
      <c r="M4" s="1742"/>
      <c r="N4" s="1742"/>
      <c r="O4" s="1742"/>
      <c r="P4" s="3598" t="s">
        <v>476</v>
      </c>
      <c r="Q4" s="3599"/>
      <c r="R4" s="3604" t="s">
        <v>472</v>
      </c>
      <c r="S4" s="3605"/>
      <c r="T4" s="3604" t="s">
        <v>473</v>
      </c>
      <c r="U4" s="3605"/>
      <c r="V4" s="3591" t="s">
        <v>474</v>
      </c>
      <c r="W4" s="3591"/>
      <c r="X4" s="1302"/>
      <c r="Y4" s="3604" t="s">
        <v>476</v>
      </c>
      <c r="Z4" s="3605"/>
      <c r="AA4" s="3593" t="s">
        <v>472</v>
      </c>
      <c r="AB4" s="3591" t="s">
        <v>473</v>
      </c>
      <c r="AC4" s="3593" t="s">
        <v>474</v>
      </c>
    </row>
    <row r="5" spans="1:29" ht="15">
      <c r="A5" s="466"/>
      <c r="B5" s="467"/>
      <c r="C5" s="3612" t="s">
        <v>2182</v>
      </c>
      <c r="D5" s="3613"/>
      <c r="E5" s="3633" t="s">
        <v>2183</v>
      </c>
      <c r="F5" s="3634"/>
      <c r="G5" s="3612" t="s">
        <v>2184</v>
      </c>
      <c r="H5" s="3613"/>
      <c r="I5" s="3612" t="s">
        <v>2185</v>
      </c>
      <c r="J5" s="3613"/>
      <c r="K5" s="465"/>
      <c r="L5" s="1741"/>
      <c r="M5" s="1742"/>
      <c r="N5" s="1742"/>
      <c r="O5" s="1742"/>
      <c r="P5" s="3600"/>
      <c r="Q5" s="3601"/>
      <c r="R5" s="3606"/>
      <c r="S5" s="3607"/>
      <c r="T5" s="3606"/>
      <c r="U5" s="3607"/>
      <c r="V5" s="3591"/>
      <c r="W5" s="3591"/>
      <c r="X5" s="1302"/>
      <c r="Y5" s="3606"/>
      <c r="Z5" s="3607"/>
      <c r="AA5" s="3594"/>
      <c r="AB5" s="3591"/>
      <c r="AC5" s="3594"/>
    </row>
    <row r="6" spans="1:29" ht="15.75" thickBot="1">
      <c r="A6" s="468"/>
      <c r="B6" s="469"/>
      <c r="C6" s="3610" t="s">
        <v>2186</v>
      </c>
      <c r="D6" s="3611"/>
      <c r="E6" s="3629" t="s">
        <v>2186</v>
      </c>
      <c r="F6" s="3630"/>
      <c r="G6" s="3610" t="s">
        <v>2186</v>
      </c>
      <c r="H6" s="3611"/>
      <c r="I6" s="3610" t="s">
        <v>2186</v>
      </c>
      <c r="J6" s="3611"/>
      <c r="K6" s="465" t="s">
        <v>477</v>
      </c>
      <c r="L6" s="1741"/>
      <c r="M6" s="1742"/>
      <c r="N6" s="1742"/>
      <c r="O6" s="1742"/>
      <c r="P6" s="3602"/>
      <c r="Q6" s="3603"/>
      <c r="R6" s="3606"/>
      <c r="S6" s="3607"/>
      <c r="T6" s="3608"/>
      <c r="U6" s="3609"/>
      <c r="V6" s="3591"/>
      <c r="W6" s="3591"/>
      <c r="X6" s="1302"/>
      <c r="Y6" s="3608"/>
      <c r="Z6" s="3609"/>
      <c r="AA6" s="3595"/>
      <c r="AB6" s="3591"/>
      <c r="AC6" s="3595"/>
    </row>
    <row r="7" spans="1:29" s="1059" customFormat="1" ht="15.75" thickBot="1">
      <c r="A7" s="2209"/>
      <c r="B7" s="2216" t="s">
        <v>478</v>
      </c>
      <c r="C7" s="470">
        <f>'数据-取费表'!B2</f>
        <v>45817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20" t="s">
        <v>479</v>
      </c>
      <c r="Q7" s="3622"/>
      <c r="R7" s="1303" t="s">
        <v>5</v>
      </c>
      <c r="S7" s="1304">
        <f t="shared" ref="S7:S15" si="0">F7</f>
        <v>0</v>
      </c>
      <c r="T7" s="1303" t="s">
        <v>5</v>
      </c>
      <c r="U7" s="1304">
        <f t="shared" ref="U7:U15" si="1">H7</f>
        <v>0</v>
      </c>
      <c r="V7" s="1303" t="s">
        <v>5</v>
      </c>
      <c r="W7" s="1304">
        <f t="shared" ref="W7:W15" si="2">J7</f>
        <v>0</v>
      </c>
      <c r="X7" s="1305"/>
      <c r="Y7" s="3620" t="s">
        <v>479</v>
      </c>
      <c r="Z7" s="3621"/>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20" t="s">
        <v>482</v>
      </c>
      <c r="Q8" s="3621"/>
      <c r="R8" s="1303" t="s">
        <v>5</v>
      </c>
      <c r="S8" s="1304">
        <f t="shared" si="0"/>
        <v>0</v>
      </c>
      <c r="T8" s="1303" t="s">
        <v>5</v>
      </c>
      <c r="U8" s="1304">
        <f t="shared" si="1"/>
        <v>0</v>
      </c>
      <c r="V8" s="1303" t="s">
        <v>5</v>
      </c>
      <c r="W8" s="1304">
        <f t="shared" si="2"/>
        <v>0</v>
      </c>
      <c r="X8" s="1305"/>
      <c r="Y8" s="3620" t="s">
        <v>482</v>
      </c>
      <c r="Z8" s="3621"/>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590"/>
      <c r="Q11" s="817" t="str">
        <f t="shared" si="6"/>
        <v>容积率</v>
      </c>
      <c r="R11" s="1303" t="s">
        <v>5</v>
      </c>
      <c r="S11" s="1304" t="e">
        <f t="shared" si="0"/>
        <v>#N/A</v>
      </c>
      <c r="T11" s="1303" t="s">
        <v>5</v>
      </c>
      <c r="U11" s="1304" t="e">
        <f t="shared" si="1"/>
        <v>#N/A</v>
      </c>
      <c r="V11" s="1303" t="s">
        <v>5</v>
      </c>
      <c r="W11" s="1304" t="e">
        <f t="shared" si="2"/>
        <v>#N/A</v>
      </c>
      <c r="X11" s="1305"/>
      <c r="Y11" s="3534"/>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4"/>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4"/>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90"/>
      <c r="Q14" s="817">
        <f t="shared" si="6"/>
        <v>111</v>
      </c>
      <c r="R14" s="1303" t="s">
        <v>5</v>
      </c>
      <c r="S14" s="1304">
        <f t="shared" si="0"/>
        <v>100</v>
      </c>
      <c r="T14" s="1303" t="s">
        <v>5</v>
      </c>
      <c r="U14" s="1304">
        <f t="shared" si="1"/>
        <v>100</v>
      </c>
      <c r="V14" s="1303" t="s">
        <v>5</v>
      </c>
      <c r="W14" s="1304">
        <f t="shared" si="2"/>
        <v>100</v>
      </c>
      <c r="X14" s="1305"/>
      <c r="Y14" s="3534"/>
      <c r="Z14" s="996">
        <f t="shared" si="7"/>
        <v>111</v>
      </c>
      <c r="AA14" s="996">
        <f t="shared" si="3"/>
        <v>1</v>
      </c>
      <c r="AB14" s="996">
        <f t="shared" si="4"/>
        <v>1</v>
      </c>
      <c r="AC14" s="996">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23" t="s">
        <v>489</v>
      </c>
      <c r="Q15" s="1306" t="str">
        <f t="shared" si="6"/>
        <v>商业繁华度</v>
      </c>
      <c r="R15" s="1307" t="s">
        <v>5</v>
      </c>
      <c r="S15" s="1308">
        <f t="shared" si="0"/>
        <v>100</v>
      </c>
      <c r="T15" s="1307" t="s">
        <v>5</v>
      </c>
      <c r="U15" s="1308">
        <f t="shared" si="1"/>
        <v>100</v>
      </c>
      <c r="V15" s="1307" t="s">
        <v>5</v>
      </c>
      <c r="W15" s="1308">
        <f t="shared" si="2"/>
        <v>100</v>
      </c>
      <c r="X15" s="1302"/>
      <c r="Y15" s="3623"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4"/>
      <c r="Q16" s="1306"/>
      <c r="R16" s="1307"/>
      <c r="S16" s="1308"/>
      <c r="T16" s="1307"/>
      <c r="U16" s="1308"/>
      <c r="V16" s="1307"/>
      <c r="W16" s="1308"/>
      <c r="X16" s="1302"/>
      <c r="Y16" s="3624"/>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24"/>
      <c r="Q17" s="1306" t="str">
        <f>B17</f>
        <v>交通便捷度</v>
      </c>
      <c r="R17" s="1307" t="s">
        <v>5</v>
      </c>
      <c r="S17" s="1308">
        <f>F17</f>
        <v>100</v>
      </c>
      <c r="T17" s="1307" t="s">
        <v>5</v>
      </c>
      <c r="U17" s="1308">
        <f>H17</f>
        <v>100</v>
      </c>
      <c r="V17" s="1307" t="s">
        <v>5</v>
      </c>
      <c r="W17" s="1308">
        <f>J17</f>
        <v>100</v>
      </c>
      <c r="X17" s="1302"/>
      <c r="Y17" s="362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4"/>
      <c r="Q18" s="1306"/>
      <c r="R18" s="1307"/>
      <c r="S18" s="1308"/>
      <c r="T18" s="1307"/>
      <c r="U18" s="1308"/>
      <c r="V18" s="1307"/>
      <c r="W18" s="1308"/>
      <c r="X18" s="1302"/>
      <c r="Y18" s="3624"/>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24"/>
      <c r="Q19" s="1306" t="str">
        <f>B19</f>
        <v>公共配套设施</v>
      </c>
      <c r="R19" s="1307" t="s">
        <v>5</v>
      </c>
      <c r="S19" s="1308">
        <f>F19</f>
        <v>100</v>
      </c>
      <c r="T19" s="1307" t="s">
        <v>5</v>
      </c>
      <c r="U19" s="1308">
        <f>H19</f>
        <v>100</v>
      </c>
      <c r="V19" s="1307" t="s">
        <v>5</v>
      </c>
      <c r="W19" s="1308">
        <f>J19</f>
        <v>100</v>
      </c>
      <c r="X19" s="1302"/>
      <c r="Y19" s="3624"/>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24"/>
      <c r="Q20" s="1306"/>
      <c r="R20" s="1307"/>
      <c r="S20" s="1308"/>
      <c r="T20" s="1307"/>
      <c r="U20" s="1308"/>
      <c r="V20" s="1307"/>
      <c r="W20" s="1308"/>
      <c r="X20" s="1302"/>
      <c r="Y20" s="3624"/>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24"/>
      <c r="Q21" s="1306" t="str">
        <f>B21</f>
        <v>基础设施水平</v>
      </c>
      <c r="R21" s="1307" t="s">
        <v>5</v>
      </c>
      <c r="S21" s="1308">
        <f>F21</f>
        <v>100</v>
      </c>
      <c r="T21" s="1307" t="s">
        <v>5</v>
      </c>
      <c r="U21" s="1308">
        <f>H21</f>
        <v>100</v>
      </c>
      <c r="V21" s="1307" t="s">
        <v>5</v>
      </c>
      <c r="W21" s="1308">
        <f>J21</f>
        <v>100</v>
      </c>
      <c r="X21" s="1302"/>
      <c r="Y21" s="3624"/>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24"/>
      <c r="Q22" s="1306"/>
      <c r="R22" s="1307"/>
      <c r="S22" s="1308"/>
      <c r="T22" s="1307"/>
      <c r="U22" s="1308"/>
      <c r="V22" s="1307"/>
      <c r="W22" s="1308"/>
      <c r="X22" s="1302"/>
      <c r="Y22" s="3624"/>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24"/>
      <c r="Q23" s="1306" t="str">
        <f>B23</f>
        <v>自然及人文环境</v>
      </c>
      <c r="R23" s="1307" t="s">
        <v>5</v>
      </c>
      <c r="S23" s="1308">
        <f>F23</f>
        <v>100</v>
      </c>
      <c r="T23" s="1307" t="s">
        <v>5</v>
      </c>
      <c r="U23" s="1308">
        <f>H23</f>
        <v>100</v>
      </c>
      <c r="V23" s="1307" t="s">
        <v>5</v>
      </c>
      <c r="W23" s="1308">
        <f>J23</f>
        <v>100</v>
      </c>
      <c r="X23" s="1302"/>
      <c r="Y23" s="3624"/>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24"/>
      <c r="Q24" s="1306"/>
      <c r="R24" s="1307"/>
      <c r="S24" s="1308"/>
      <c r="T24" s="1307"/>
      <c r="U24" s="1308"/>
      <c r="V24" s="1307"/>
      <c r="W24" s="1308"/>
      <c r="X24" s="1302"/>
      <c r="Y24" s="3624"/>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24"/>
      <c r="Q25" s="1306" t="str">
        <f t="shared" ref="Q25:Q46" si="8">B25</f>
        <v>临街状况</v>
      </c>
      <c r="R25" s="1307" t="s">
        <v>5</v>
      </c>
      <c r="S25" s="1308">
        <f>F25</f>
        <v>100</v>
      </c>
      <c r="T25" s="1307" t="s">
        <v>5</v>
      </c>
      <c r="U25" s="1308">
        <f>H25</f>
        <v>100</v>
      </c>
      <c r="V25" s="1307" t="s">
        <v>5</v>
      </c>
      <c r="W25" s="1308">
        <f>J25</f>
        <v>100</v>
      </c>
      <c r="X25" s="1302"/>
      <c r="Y25" s="3624"/>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24"/>
      <c r="Q26" s="1306" t="str">
        <f t="shared" si="8"/>
        <v>平面位置/可视性</v>
      </c>
      <c r="R26" s="1307" t="s">
        <v>5</v>
      </c>
      <c r="S26" s="1308">
        <f>F26</f>
        <v>100</v>
      </c>
      <c r="T26" s="1307" t="s">
        <v>5</v>
      </c>
      <c r="U26" s="1308">
        <f>H26</f>
        <v>100</v>
      </c>
      <c r="V26" s="1307" t="s">
        <v>5</v>
      </c>
      <c r="W26" s="1308">
        <f>J26</f>
        <v>100</v>
      </c>
      <c r="X26" s="1302"/>
      <c r="Y26" s="3624"/>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24"/>
      <c r="Q27" s="817" t="str">
        <f t="shared" si="8"/>
        <v>人流量</v>
      </c>
      <c r="R27" s="1303" t="s">
        <v>5</v>
      </c>
      <c r="S27" s="1304">
        <f>F27</f>
        <v>100</v>
      </c>
      <c r="T27" s="1303" t="s">
        <v>5</v>
      </c>
      <c r="U27" s="1304">
        <f>H27</f>
        <v>100</v>
      </c>
      <c r="V27" s="1303" t="s">
        <v>5</v>
      </c>
      <c r="W27" s="1304">
        <f>J27</f>
        <v>100</v>
      </c>
      <c r="X27" s="1305"/>
      <c r="Y27" s="3624"/>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24"/>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24"/>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24"/>
      <c r="Q29" s="1306">
        <f t="shared" si="8"/>
        <v>111</v>
      </c>
      <c r="R29" s="1307" t="s">
        <v>5</v>
      </c>
      <c r="S29" s="1308">
        <f t="shared" si="9"/>
        <v>100</v>
      </c>
      <c r="T29" s="1307" t="s">
        <v>5</v>
      </c>
      <c r="U29" s="1308">
        <f t="shared" si="10"/>
        <v>100</v>
      </c>
      <c r="V29" s="1307" t="s">
        <v>5</v>
      </c>
      <c r="W29" s="1308">
        <f t="shared" si="11"/>
        <v>100</v>
      </c>
      <c r="X29" s="1302"/>
      <c r="Y29" s="3624"/>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24"/>
      <c r="Q30" s="1306">
        <f t="shared" si="8"/>
        <v>111</v>
      </c>
      <c r="R30" s="1307" t="s">
        <v>5</v>
      </c>
      <c r="S30" s="1308">
        <f t="shared" si="9"/>
        <v>100</v>
      </c>
      <c r="T30" s="1307" t="s">
        <v>5</v>
      </c>
      <c r="U30" s="1308">
        <f t="shared" si="10"/>
        <v>100</v>
      </c>
      <c r="V30" s="1307" t="s">
        <v>5</v>
      </c>
      <c r="W30" s="1308">
        <f t="shared" si="11"/>
        <v>100</v>
      </c>
      <c r="X30" s="1302"/>
      <c r="Y30" s="3624"/>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24"/>
      <c r="Q31" s="1306">
        <f t="shared" si="8"/>
        <v>111</v>
      </c>
      <c r="R31" s="1307" t="s">
        <v>5</v>
      </c>
      <c r="S31" s="1308">
        <f t="shared" si="9"/>
        <v>100</v>
      </c>
      <c r="T31" s="1307" t="s">
        <v>5</v>
      </c>
      <c r="U31" s="1308">
        <f t="shared" si="10"/>
        <v>100</v>
      </c>
      <c r="V31" s="1307" t="s">
        <v>5</v>
      </c>
      <c r="W31" s="1308">
        <f t="shared" si="11"/>
        <v>100</v>
      </c>
      <c r="X31" s="1302"/>
      <c r="Y31" s="3624"/>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25" t="s">
        <v>499</v>
      </c>
      <c r="Q32" s="1306" t="str">
        <f t="shared" si="8"/>
        <v>商业类型</v>
      </c>
      <c r="R32" s="1307" t="s">
        <v>5</v>
      </c>
      <c r="S32" s="1308">
        <f t="shared" si="9"/>
        <v>100</v>
      </c>
      <c r="T32" s="1307" t="s">
        <v>5</v>
      </c>
      <c r="U32" s="1308">
        <f t="shared" si="10"/>
        <v>100</v>
      </c>
      <c r="V32" s="1307" t="s">
        <v>5</v>
      </c>
      <c r="W32" s="1308">
        <f t="shared" si="11"/>
        <v>100</v>
      </c>
      <c r="X32" s="1302"/>
      <c r="Y32" s="3626"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26"/>
      <c r="Q33" s="818" t="str">
        <f t="shared" si="8"/>
        <v>项目建筑规模</v>
      </c>
      <c r="R33" s="1310" t="s">
        <v>5</v>
      </c>
      <c r="S33" s="1311" t="e">
        <f t="shared" si="9"/>
        <v>#N/A</v>
      </c>
      <c r="T33" s="1310" t="s">
        <v>5</v>
      </c>
      <c r="U33" s="1311" t="e">
        <f t="shared" si="10"/>
        <v>#N/A</v>
      </c>
      <c r="V33" s="1310" t="s">
        <v>5</v>
      </c>
      <c r="W33" s="1311" t="e">
        <f t="shared" si="11"/>
        <v>#N/A</v>
      </c>
      <c r="X33" s="1312"/>
      <c r="Y33" s="3626"/>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26"/>
      <c r="Q34" s="1306" t="str">
        <f t="shared" si="8"/>
        <v>建筑结构</v>
      </c>
      <c r="R34" s="1307" t="s">
        <v>5</v>
      </c>
      <c r="S34" s="1308">
        <f t="shared" si="9"/>
        <v>100</v>
      </c>
      <c r="T34" s="1307" t="s">
        <v>5</v>
      </c>
      <c r="U34" s="1308">
        <f t="shared" si="10"/>
        <v>100</v>
      </c>
      <c r="V34" s="1307" t="s">
        <v>5</v>
      </c>
      <c r="W34" s="1308">
        <f t="shared" si="11"/>
        <v>100</v>
      </c>
      <c r="X34" s="1302"/>
      <c r="Y34" s="3626"/>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26"/>
      <c r="Q35" s="1306" t="str">
        <f t="shared" si="8"/>
        <v>公共部分装修</v>
      </c>
      <c r="R35" s="1307" t="s">
        <v>5</v>
      </c>
      <c r="S35" s="1308">
        <f t="shared" si="9"/>
        <v>100</v>
      </c>
      <c r="T35" s="1307" t="s">
        <v>5</v>
      </c>
      <c r="U35" s="1308">
        <f t="shared" si="10"/>
        <v>100</v>
      </c>
      <c r="V35" s="1307" t="s">
        <v>5</v>
      </c>
      <c r="W35" s="1308">
        <f t="shared" si="11"/>
        <v>100</v>
      </c>
      <c r="X35" s="1302"/>
      <c r="Y35" s="3626"/>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26"/>
      <c r="Q36" s="1306" t="str">
        <f t="shared" si="8"/>
        <v>成新度</v>
      </c>
      <c r="R36" s="1307" t="s">
        <v>5</v>
      </c>
      <c r="S36" s="1308" t="e">
        <f t="shared" si="9"/>
        <v>#N/A</v>
      </c>
      <c r="T36" s="1307" t="s">
        <v>5</v>
      </c>
      <c r="U36" s="1308" t="e">
        <f t="shared" si="10"/>
        <v>#N/A</v>
      </c>
      <c r="V36" s="1307" t="s">
        <v>5</v>
      </c>
      <c r="W36" s="1308" t="e">
        <f t="shared" si="11"/>
        <v>#N/A</v>
      </c>
      <c r="X36" s="1302"/>
      <c r="Y36" s="3626"/>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26"/>
      <c r="Q37" s="817" t="str">
        <f t="shared" si="8"/>
        <v>市政基础设施</v>
      </c>
      <c r="R37" s="1303" t="s">
        <v>5</v>
      </c>
      <c r="S37" s="1304">
        <f t="shared" si="9"/>
        <v>100</v>
      </c>
      <c r="T37" s="1303" t="s">
        <v>5</v>
      </c>
      <c r="U37" s="1304">
        <f t="shared" si="10"/>
        <v>100</v>
      </c>
      <c r="V37" s="1303" t="s">
        <v>5</v>
      </c>
      <c r="W37" s="1304">
        <f t="shared" si="11"/>
        <v>100</v>
      </c>
      <c r="X37" s="1305"/>
      <c r="Y37" s="3626"/>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26" t="s">
        <v>706</v>
      </c>
      <c r="Q38" s="1306" t="str">
        <f t="shared" si="8"/>
        <v>业态</v>
      </c>
      <c r="R38" s="1307" t="s">
        <v>5</v>
      </c>
      <c r="S38" s="1308">
        <f t="shared" si="9"/>
        <v>100</v>
      </c>
      <c r="T38" s="1307" t="s">
        <v>5</v>
      </c>
      <c r="U38" s="1308">
        <f t="shared" si="10"/>
        <v>100</v>
      </c>
      <c r="V38" s="1307" t="s">
        <v>5</v>
      </c>
      <c r="W38" s="1308">
        <f t="shared" si="11"/>
        <v>100</v>
      </c>
      <c r="X38" s="1302"/>
      <c r="Y38" s="3626"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26"/>
      <c r="Q39" s="1306" t="str">
        <f t="shared" si="8"/>
        <v>层高</v>
      </c>
      <c r="R39" s="1307" t="s">
        <v>5</v>
      </c>
      <c r="S39" s="1308">
        <f t="shared" si="9"/>
        <v>100</v>
      </c>
      <c r="T39" s="1307" t="s">
        <v>5</v>
      </c>
      <c r="U39" s="1308">
        <f t="shared" si="10"/>
        <v>100</v>
      </c>
      <c r="V39" s="1307" t="s">
        <v>5</v>
      </c>
      <c r="W39" s="1308">
        <f t="shared" si="11"/>
        <v>100</v>
      </c>
      <c r="X39" s="1302"/>
      <c r="Y39" s="3626"/>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26"/>
      <c r="Q40" s="1306" t="str">
        <f t="shared" si="8"/>
        <v>单套建筑面积</v>
      </c>
      <c r="R40" s="1307" t="s">
        <v>5</v>
      </c>
      <c r="S40" s="1308">
        <f t="shared" si="9"/>
        <v>100</v>
      </c>
      <c r="T40" s="1307" t="s">
        <v>5</v>
      </c>
      <c r="U40" s="1308">
        <f t="shared" si="10"/>
        <v>100</v>
      </c>
      <c r="V40" s="1307" t="s">
        <v>5</v>
      </c>
      <c r="W40" s="1308">
        <f t="shared" si="11"/>
        <v>100</v>
      </c>
      <c r="X40" s="1302"/>
      <c r="Y40" s="3626"/>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26"/>
      <c r="Q41" s="818" t="str">
        <f t="shared" si="8"/>
        <v>进深比</v>
      </c>
      <c r="R41" s="1310" t="s">
        <v>5</v>
      </c>
      <c r="S41" s="1311">
        <f t="shared" si="9"/>
        <v>100</v>
      </c>
      <c r="T41" s="1310" t="s">
        <v>5</v>
      </c>
      <c r="U41" s="1311">
        <f t="shared" si="10"/>
        <v>100</v>
      </c>
      <c r="V41" s="1310" t="s">
        <v>5</v>
      </c>
      <c r="W41" s="1311">
        <f t="shared" si="11"/>
        <v>100</v>
      </c>
      <c r="X41" s="1312"/>
      <c r="Y41" s="3626"/>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26"/>
      <c r="Q42" s="1306" t="str">
        <f t="shared" si="8"/>
        <v>内部装修</v>
      </c>
      <c r="R42" s="1307" t="s">
        <v>5</v>
      </c>
      <c r="S42" s="1308">
        <f t="shared" si="9"/>
        <v>100</v>
      </c>
      <c r="T42" s="1307" t="s">
        <v>5</v>
      </c>
      <c r="U42" s="1308">
        <f t="shared" si="10"/>
        <v>100</v>
      </c>
      <c r="V42" s="1307" t="s">
        <v>5</v>
      </c>
      <c r="W42" s="1308">
        <f t="shared" si="11"/>
        <v>100</v>
      </c>
      <c r="X42" s="1302"/>
      <c r="Y42" s="3626"/>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26"/>
      <c r="Q43" s="1306" t="str">
        <f t="shared" si="8"/>
        <v>内部装修维护情况</v>
      </c>
      <c r="R43" s="1307" t="s">
        <v>5</v>
      </c>
      <c r="S43" s="1308">
        <f t="shared" si="9"/>
        <v>100</v>
      </c>
      <c r="T43" s="1307" t="s">
        <v>5</v>
      </c>
      <c r="U43" s="1308">
        <f t="shared" si="10"/>
        <v>100</v>
      </c>
      <c r="V43" s="1307" t="s">
        <v>5</v>
      </c>
      <c r="W43" s="1308">
        <f t="shared" si="11"/>
        <v>100</v>
      </c>
      <c r="X43" s="1302"/>
      <c r="Y43" s="3626"/>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26"/>
      <c r="Q44" s="817">
        <f t="shared" si="8"/>
        <v>111</v>
      </c>
      <c r="R44" s="1303" t="s">
        <v>5</v>
      </c>
      <c r="S44" s="1304">
        <f t="shared" si="9"/>
        <v>100</v>
      </c>
      <c r="T44" s="1303" t="s">
        <v>5</v>
      </c>
      <c r="U44" s="1304">
        <f t="shared" si="10"/>
        <v>100</v>
      </c>
      <c r="V44" s="1303" t="s">
        <v>5</v>
      </c>
      <c r="W44" s="1304">
        <f t="shared" si="11"/>
        <v>100</v>
      </c>
      <c r="X44" s="1305"/>
      <c r="Y44" s="3626"/>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26"/>
      <c r="Q45" s="1306">
        <f t="shared" si="8"/>
        <v>111</v>
      </c>
      <c r="R45" s="1307" t="s">
        <v>5</v>
      </c>
      <c r="S45" s="1308">
        <f t="shared" si="9"/>
        <v>100</v>
      </c>
      <c r="T45" s="1307" t="s">
        <v>5</v>
      </c>
      <c r="U45" s="1308">
        <f t="shared" si="10"/>
        <v>100</v>
      </c>
      <c r="V45" s="1307" t="s">
        <v>5</v>
      </c>
      <c r="W45" s="1308">
        <f t="shared" si="11"/>
        <v>100</v>
      </c>
      <c r="X45" s="1302"/>
      <c r="Y45" s="3626"/>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16"/>
      <c r="Q46" s="1306">
        <f t="shared" si="8"/>
        <v>111</v>
      </c>
      <c r="R46" s="1307" t="s">
        <v>5</v>
      </c>
      <c r="S46" s="1308">
        <f t="shared" si="9"/>
        <v>100</v>
      </c>
      <c r="T46" s="1307" t="s">
        <v>5</v>
      </c>
      <c r="U46" s="1308">
        <f t="shared" si="10"/>
        <v>100</v>
      </c>
      <c r="V46" s="1307" t="s">
        <v>5</v>
      </c>
      <c r="W46" s="1308">
        <f t="shared" si="11"/>
        <v>100</v>
      </c>
      <c r="X46" s="1302"/>
      <c r="Y46" s="3716"/>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590" t="str">
        <f>A47</f>
        <v>成交单价（元/平方米）</v>
      </c>
      <c r="Q47" s="3590"/>
      <c r="R47" s="3591">
        <f>E47</f>
        <v>0</v>
      </c>
      <c r="S47" s="3591"/>
      <c r="T47" s="3591">
        <f>G47</f>
        <v>0</v>
      </c>
      <c r="U47" s="3591"/>
      <c r="V47" s="3591">
        <f>I47</f>
        <v>0</v>
      </c>
      <c r="W47" s="3591"/>
      <c r="X47" s="799"/>
      <c r="Y47" s="1314"/>
      <c r="Z47" s="799"/>
      <c r="AA47" s="799"/>
      <c r="AB47" s="799"/>
      <c r="AC47" s="799"/>
    </row>
    <row r="48" spans="1:29" ht="15.75" thickBot="1">
      <c r="A48" s="564" t="s">
        <v>2042</v>
      </c>
      <c r="B48" s="812"/>
      <c r="C48" s="2082" t="e">
        <f>R49</f>
        <v>#DIV/0!</v>
      </c>
      <c r="D48" s="2550" t="s">
        <v>2251</v>
      </c>
      <c r="E48" s="2083" t="e">
        <f>R48</f>
        <v>#DIV/0!</v>
      </c>
      <c r="F48" s="2551"/>
      <c r="G48" s="2082" t="e">
        <f>T48</f>
        <v>#DIV/0!</v>
      </c>
      <c r="H48" s="2551"/>
      <c r="I48" s="2083" t="e">
        <f>V48</f>
        <v>#DIV/0!</v>
      </c>
      <c r="J48" s="2551"/>
      <c r="K48" s="2558">
        <f>F48+H48+J48</f>
        <v>0</v>
      </c>
      <c r="L48" s="1751"/>
      <c r="M48" s="1742"/>
      <c r="N48" s="1742"/>
      <c r="O48" s="1742"/>
      <c r="P48" s="3590" t="str">
        <f>A48</f>
        <v>比较价格（元/平方米）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799"/>
      <c r="Y48" s="799"/>
      <c r="Z48" s="799"/>
      <c r="AA48" s="799"/>
      <c r="AB48" s="799"/>
      <c r="AC48" s="799"/>
    </row>
    <row r="49" spans="1:29" ht="15.75" thickBot="1">
      <c r="A49" s="568" t="s">
        <v>2188</v>
      </c>
      <c r="B49" s="569"/>
      <c r="C49" s="469" t="e">
        <f>R49</f>
        <v>#DIV/0!</v>
      </c>
      <c r="D49" s="469"/>
      <c r="E49" s="469"/>
      <c r="F49" s="469"/>
      <c r="G49" s="469"/>
      <c r="H49" s="469"/>
      <c r="I49" s="469"/>
      <c r="J49" s="469"/>
      <c r="K49" s="1336"/>
      <c r="L49" s="1751"/>
      <c r="M49" s="1742"/>
      <c r="N49" s="1742"/>
      <c r="O49" s="1742"/>
      <c r="P49" s="3627" t="str">
        <f>A49</f>
        <v>估价对象XX用房的比较价格（楼面单价，元/平方米）</v>
      </c>
      <c r="Q49" s="3628"/>
      <c r="R49" s="3715" t="e">
        <f>IF(F1="售价",ROUND(IF(D48="简单平均",AVERAGE(R48:V48),R48*F48+T48*H48+V48*J48),0),ROUND(IF(D48="简单平均",AVERAGE(R48:V48),R48*F48+T48*H48+V48*J48),1))</f>
        <v>#DIV/0!</v>
      </c>
      <c r="S49" s="3715"/>
      <c r="T49" s="3715"/>
      <c r="U49" s="3715"/>
      <c r="V49" s="3715"/>
      <c r="W49" s="3715"/>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22772.01平方米。根据《建设工程规划许可证》[]、《出让合同》[]，估价对象规划建筑面积为40989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根据《国有土地使用证》[]，估价对象（分摊）出让国有建设用地使用权面积为22772.01平方米。根据《建设工程规划许可证》[]、《出让合同》[]，估价对象规划建筑面积为40989平方米。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596" t="s">
        <v>471</v>
      </c>
      <c r="D4" s="3597"/>
      <c r="E4" s="3631" t="s">
        <v>472</v>
      </c>
      <c r="F4" s="3632"/>
      <c r="G4" s="3596" t="s">
        <v>473</v>
      </c>
      <c r="H4" s="3597"/>
      <c r="I4" s="3596" t="s">
        <v>474</v>
      </c>
      <c r="J4" s="3597"/>
      <c r="K4" s="465" t="s">
        <v>475</v>
      </c>
      <c r="L4" s="1741"/>
      <c r="M4" s="1742"/>
      <c r="N4" s="1742"/>
      <c r="O4" s="1742"/>
      <c r="P4" s="3724" t="s">
        <v>476</v>
      </c>
      <c r="Q4" s="3599"/>
      <c r="R4" s="3604" t="s">
        <v>472</v>
      </c>
      <c r="S4" s="3605"/>
      <c r="T4" s="3604" t="s">
        <v>473</v>
      </c>
      <c r="U4" s="3605"/>
      <c r="V4" s="3591" t="s">
        <v>474</v>
      </c>
      <c r="W4" s="3591"/>
      <c r="X4" s="1302"/>
      <c r="Y4" s="3604" t="s">
        <v>476</v>
      </c>
      <c r="Z4" s="3605"/>
      <c r="AA4" s="3593" t="s">
        <v>472</v>
      </c>
      <c r="AB4" s="3593" t="s">
        <v>473</v>
      </c>
      <c r="AC4" s="3593" t="s">
        <v>474</v>
      </c>
    </row>
    <row r="5" spans="1:29" ht="15">
      <c r="A5" s="466"/>
      <c r="B5" s="467"/>
      <c r="C5" s="3612" t="s">
        <v>2182</v>
      </c>
      <c r="D5" s="3613"/>
      <c r="E5" s="3633" t="s">
        <v>2183</v>
      </c>
      <c r="F5" s="3634"/>
      <c r="G5" s="3612" t="s">
        <v>2184</v>
      </c>
      <c r="H5" s="3613"/>
      <c r="I5" s="3612" t="s">
        <v>2185</v>
      </c>
      <c r="J5" s="3613"/>
      <c r="K5" s="465"/>
      <c r="L5" s="1741"/>
      <c r="M5" s="1742"/>
      <c r="N5" s="1742"/>
      <c r="O5" s="1742"/>
      <c r="P5" s="3725"/>
      <c r="Q5" s="3601"/>
      <c r="R5" s="3606"/>
      <c r="S5" s="3607"/>
      <c r="T5" s="3606"/>
      <c r="U5" s="3607"/>
      <c r="V5" s="3591"/>
      <c r="W5" s="3591"/>
      <c r="X5" s="1302"/>
      <c r="Y5" s="3606"/>
      <c r="Z5" s="3607"/>
      <c r="AA5" s="3594"/>
      <c r="AB5" s="3594"/>
      <c r="AC5" s="3594"/>
    </row>
    <row r="6" spans="1:29" ht="15.75" thickBot="1">
      <c r="A6" s="468"/>
      <c r="B6" s="469"/>
      <c r="C6" s="3610" t="s">
        <v>2186</v>
      </c>
      <c r="D6" s="3611"/>
      <c r="E6" s="3629" t="s">
        <v>2186</v>
      </c>
      <c r="F6" s="3630"/>
      <c r="G6" s="3610" t="s">
        <v>2186</v>
      </c>
      <c r="H6" s="3611"/>
      <c r="I6" s="3610" t="s">
        <v>2186</v>
      </c>
      <c r="J6" s="3611"/>
      <c r="K6" s="465" t="s">
        <v>477</v>
      </c>
      <c r="L6" s="1741"/>
      <c r="M6" s="1742"/>
      <c r="N6" s="1742"/>
      <c r="O6" s="1742"/>
      <c r="P6" s="3726"/>
      <c r="Q6" s="3603"/>
      <c r="R6" s="3606"/>
      <c r="S6" s="3607"/>
      <c r="T6" s="3608"/>
      <c r="U6" s="3609"/>
      <c r="V6" s="3591"/>
      <c r="W6" s="3591"/>
      <c r="X6" s="1302"/>
      <c r="Y6" s="3608"/>
      <c r="Z6" s="3609"/>
      <c r="AA6" s="3595"/>
      <c r="AB6" s="3595"/>
      <c r="AC6" s="3595"/>
    </row>
    <row r="7" spans="1:29" s="1059" customFormat="1" ht="15.75" thickBot="1">
      <c r="A7" s="2209"/>
      <c r="B7" s="2216" t="s">
        <v>478</v>
      </c>
      <c r="C7" s="470">
        <f>'数据-取费表'!B2</f>
        <v>45817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22" t="s">
        <v>479</v>
      </c>
      <c r="Q7" s="3622"/>
      <c r="R7" s="1303" t="s">
        <v>5</v>
      </c>
      <c r="S7" s="1304">
        <f t="shared" ref="S7:S15" si="0">F7</f>
        <v>0</v>
      </c>
      <c r="T7" s="1303" t="s">
        <v>5</v>
      </c>
      <c r="U7" s="1304">
        <f t="shared" ref="U7:U15" si="1">H7</f>
        <v>0</v>
      </c>
      <c r="V7" s="1303" t="s">
        <v>5</v>
      </c>
      <c r="W7" s="1304">
        <f t="shared" ref="W7:W15" si="2">J7</f>
        <v>0</v>
      </c>
      <c r="X7" s="1305"/>
      <c r="Y7" s="3620" t="s">
        <v>479</v>
      </c>
      <c r="Z7" s="3621"/>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22" t="s">
        <v>482</v>
      </c>
      <c r="Q8" s="3621"/>
      <c r="R8" s="1303" t="s">
        <v>5</v>
      </c>
      <c r="S8" s="1304">
        <f t="shared" si="0"/>
        <v>0</v>
      </c>
      <c r="T8" s="1303" t="s">
        <v>5</v>
      </c>
      <c r="U8" s="1304">
        <f t="shared" si="1"/>
        <v>0</v>
      </c>
      <c r="V8" s="1303" t="s">
        <v>5</v>
      </c>
      <c r="W8" s="1304">
        <f t="shared" si="2"/>
        <v>0</v>
      </c>
      <c r="X8" s="1305"/>
      <c r="Y8" s="3620" t="s">
        <v>482</v>
      </c>
      <c r="Z8" s="3621"/>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90" t="s">
        <v>484</v>
      </c>
      <c r="Q9" s="817" t="str">
        <f t="shared" ref="Q9:Q15" si="6">B9</f>
        <v>用途</v>
      </c>
      <c r="R9" s="1303" t="s">
        <v>5</v>
      </c>
      <c r="S9" s="1304">
        <f t="shared" si="0"/>
        <v>100</v>
      </c>
      <c r="T9" s="1303" t="s">
        <v>5</v>
      </c>
      <c r="U9" s="1304">
        <f t="shared" si="1"/>
        <v>100</v>
      </c>
      <c r="V9" s="1303" t="s">
        <v>5</v>
      </c>
      <c r="W9" s="1304">
        <f t="shared" si="2"/>
        <v>100</v>
      </c>
      <c r="X9" s="1305"/>
      <c r="Y9" s="353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90"/>
      <c r="Q11" s="817" t="str">
        <f t="shared" si="6"/>
        <v>容积率</v>
      </c>
      <c r="R11" s="1303" t="s">
        <v>5</v>
      </c>
      <c r="S11" s="1304" t="e">
        <f t="shared" si="0"/>
        <v>#N/A</v>
      </c>
      <c r="T11" s="1303" t="s">
        <v>5</v>
      </c>
      <c r="U11" s="1304" t="e">
        <f t="shared" si="1"/>
        <v>#N/A</v>
      </c>
      <c r="V11" s="1303" t="s">
        <v>5</v>
      </c>
      <c r="W11" s="1304" t="e">
        <f t="shared" si="2"/>
        <v>#N/A</v>
      </c>
      <c r="X11" s="1305"/>
      <c r="Y11" s="3534"/>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90"/>
      <c r="Q12" s="817">
        <f t="shared" si="6"/>
        <v>111</v>
      </c>
      <c r="R12" s="1303" t="s">
        <v>5</v>
      </c>
      <c r="S12" s="1304">
        <f t="shared" si="0"/>
        <v>100</v>
      </c>
      <c r="T12" s="1303" t="s">
        <v>5</v>
      </c>
      <c r="U12" s="1304">
        <f t="shared" si="1"/>
        <v>100</v>
      </c>
      <c r="V12" s="1303" t="s">
        <v>5</v>
      </c>
      <c r="W12" s="1304">
        <f t="shared" si="2"/>
        <v>100</v>
      </c>
      <c r="X12" s="1305"/>
      <c r="Y12" s="3534"/>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90"/>
      <c r="Q13" s="817">
        <f t="shared" si="6"/>
        <v>111</v>
      </c>
      <c r="R13" s="1303" t="s">
        <v>5</v>
      </c>
      <c r="S13" s="1304">
        <f t="shared" si="0"/>
        <v>100</v>
      </c>
      <c r="T13" s="1303" t="s">
        <v>5</v>
      </c>
      <c r="U13" s="1304">
        <f t="shared" si="1"/>
        <v>100</v>
      </c>
      <c r="V13" s="1303" t="s">
        <v>5</v>
      </c>
      <c r="W13" s="1304">
        <f t="shared" si="2"/>
        <v>100</v>
      </c>
      <c r="X13" s="1305"/>
      <c r="Y13" s="3534"/>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90"/>
      <c r="Q14" s="817">
        <f t="shared" si="6"/>
        <v>111</v>
      </c>
      <c r="R14" s="1303" t="s">
        <v>5</v>
      </c>
      <c r="S14" s="1304">
        <f t="shared" si="0"/>
        <v>100</v>
      </c>
      <c r="T14" s="1303" t="s">
        <v>5</v>
      </c>
      <c r="U14" s="1304">
        <f t="shared" si="1"/>
        <v>100</v>
      </c>
      <c r="V14" s="1303" t="s">
        <v>5</v>
      </c>
      <c r="W14" s="1304">
        <f t="shared" si="2"/>
        <v>100</v>
      </c>
      <c r="X14" s="1305"/>
      <c r="Y14" s="3534"/>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23" t="s">
        <v>489</v>
      </c>
      <c r="Q15" s="1306" t="str">
        <f t="shared" si="6"/>
        <v>办公集聚程度</v>
      </c>
      <c r="R15" s="1307" t="s">
        <v>5</v>
      </c>
      <c r="S15" s="1308">
        <f t="shared" si="0"/>
        <v>100</v>
      </c>
      <c r="T15" s="1307" t="s">
        <v>5</v>
      </c>
      <c r="U15" s="1308">
        <f t="shared" si="1"/>
        <v>100</v>
      </c>
      <c r="V15" s="1307" t="s">
        <v>5</v>
      </c>
      <c r="W15" s="1308">
        <f t="shared" si="2"/>
        <v>100</v>
      </c>
      <c r="X15" s="1302"/>
      <c r="Y15" s="3623"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24"/>
      <c r="Q16" s="1306"/>
      <c r="R16" s="1307"/>
      <c r="S16" s="1308"/>
      <c r="T16" s="1307"/>
      <c r="U16" s="1308"/>
      <c r="V16" s="1307"/>
      <c r="W16" s="1308"/>
      <c r="X16" s="1302"/>
      <c r="Y16" s="3624"/>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24"/>
      <c r="Q17" s="1306" t="str">
        <f>B17</f>
        <v>交通便捷度</v>
      </c>
      <c r="R17" s="1307" t="s">
        <v>5</v>
      </c>
      <c r="S17" s="1308">
        <f>F17</f>
        <v>100</v>
      </c>
      <c r="T17" s="1307" t="s">
        <v>5</v>
      </c>
      <c r="U17" s="1308">
        <f>H17</f>
        <v>100</v>
      </c>
      <c r="V17" s="1307" t="s">
        <v>5</v>
      </c>
      <c r="W17" s="1308">
        <f>J17</f>
        <v>100</v>
      </c>
      <c r="X17" s="1302"/>
      <c r="Y17" s="3624"/>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24"/>
      <c r="Q18" s="1306"/>
      <c r="R18" s="1307"/>
      <c r="S18" s="1308"/>
      <c r="T18" s="1307"/>
      <c r="U18" s="1308"/>
      <c r="V18" s="1307"/>
      <c r="W18" s="1308"/>
      <c r="X18" s="1302"/>
      <c r="Y18" s="3624"/>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24"/>
      <c r="Q19" s="1306" t="str">
        <f>B19</f>
        <v>公共配套设施</v>
      </c>
      <c r="R19" s="1307" t="s">
        <v>5</v>
      </c>
      <c r="S19" s="1308">
        <f>F19</f>
        <v>100</v>
      </c>
      <c r="T19" s="1307" t="s">
        <v>5</v>
      </c>
      <c r="U19" s="1308">
        <f>H19</f>
        <v>100</v>
      </c>
      <c r="V19" s="1307" t="s">
        <v>5</v>
      </c>
      <c r="W19" s="1308">
        <f>J19</f>
        <v>100</v>
      </c>
      <c r="X19" s="1302"/>
      <c r="Y19" s="3624"/>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24"/>
      <c r="Q20" s="1306"/>
      <c r="R20" s="1307"/>
      <c r="S20" s="1308"/>
      <c r="T20" s="1307"/>
      <c r="U20" s="1308"/>
      <c r="V20" s="1307"/>
      <c r="W20" s="1308"/>
      <c r="X20" s="1302"/>
      <c r="Y20" s="3624"/>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24"/>
      <c r="Q21" s="1306" t="str">
        <f>B21</f>
        <v>基础设施水平</v>
      </c>
      <c r="R21" s="1307" t="s">
        <v>5</v>
      </c>
      <c r="S21" s="1308">
        <f>F21</f>
        <v>100</v>
      </c>
      <c r="T21" s="1307" t="s">
        <v>5</v>
      </c>
      <c r="U21" s="1308">
        <f>H21</f>
        <v>100</v>
      </c>
      <c r="V21" s="1307" t="s">
        <v>5</v>
      </c>
      <c r="W21" s="1308">
        <f>J21</f>
        <v>100</v>
      </c>
      <c r="X21" s="1302"/>
      <c r="Y21" s="3624"/>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24"/>
      <c r="Q22" s="1306"/>
      <c r="R22" s="1307"/>
      <c r="S22" s="1308"/>
      <c r="T22" s="1307"/>
      <c r="U22" s="1308"/>
      <c r="V22" s="1307"/>
      <c r="W22" s="1308"/>
      <c r="X22" s="1302"/>
      <c r="Y22" s="3624"/>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24"/>
      <c r="Q23" s="1306" t="str">
        <f>B23</f>
        <v>环境质量</v>
      </c>
      <c r="R23" s="1307" t="s">
        <v>5</v>
      </c>
      <c r="S23" s="1308">
        <f>F23</f>
        <v>100</v>
      </c>
      <c r="T23" s="1307" t="s">
        <v>5</v>
      </c>
      <c r="U23" s="1308">
        <f>H23</f>
        <v>100</v>
      </c>
      <c r="V23" s="1307" t="s">
        <v>5</v>
      </c>
      <c r="W23" s="1308">
        <f>J23</f>
        <v>100</v>
      </c>
      <c r="X23" s="1302"/>
      <c r="Y23" s="3624"/>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24"/>
      <c r="Q24" s="1306"/>
      <c r="R24" s="1307"/>
      <c r="S24" s="1308"/>
      <c r="T24" s="1307"/>
      <c r="U24" s="1308"/>
      <c r="V24" s="1307"/>
      <c r="W24" s="1308"/>
      <c r="X24" s="1302"/>
      <c r="Y24" s="3624"/>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24"/>
      <c r="Q25" s="1306" t="str">
        <f>B25</f>
        <v>毗邻道路的类型与等级</v>
      </c>
      <c r="R25" s="1307" t="s">
        <v>5</v>
      </c>
      <c r="S25" s="1308">
        <f>F25</f>
        <v>100</v>
      </c>
      <c r="T25" s="1307" t="s">
        <v>5</v>
      </c>
      <c r="U25" s="1308">
        <f>H25</f>
        <v>100</v>
      </c>
      <c r="V25" s="1307" t="s">
        <v>5</v>
      </c>
      <c r="W25" s="1308">
        <f>J25</f>
        <v>100</v>
      </c>
      <c r="X25" s="1302"/>
      <c r="Y25" s="3624"/>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24"/>
      <c r="Q26" s="1306"/>
      <c r="R26" s="1307"/>
      <c r="S26" s="1308"/>
      <c r="T26" s="1307"/>
      <c r="U26" s="1308"/>
      <c r="V26" s="1307"/>
      <c r="W26" s="1308"/>
      <c r="X26" s="1302"/>
      <c r="Y26" s="3624"/>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24"/>
      <c r="Q27" s="1306" t="str">
        <f t="shared" ref="Q27:Q47" si="8">B27</f>
        <v>楼层</v>
      </c>
      <c r="R27" s="1307" t="s">
        <v>5</v>
      </c>
      <c r="S27" s="1308">
        <f>F27</f>
        <v>100</v>
      </c>
      <c r="T27" s="1307" t="s">
        <v>5</v>
      </c>
      <c r="U27" s="1308">
        <f>H27</f>
        <v>100</v>
      </c>
      <c r="V27" s="1307" t="s">
        <v>5</v>
      </c>
      <c r="W27" s="1308">
        <f>J27</f>
        <v>100</v>
      </c>
      <c r="X27" s="1302"/>
      <c r="Y27" s="3624"/>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24"/>
      <c r="Q28" s="817" t="str">
        <f t="shared" si="8"/>
        <v>朝向</v>
      </c>
      <c r="R28" s="1303" t="s">
        <v>5</v>
      </c>
      <c r="S28" s="1304">
        <f>F28</f>
        <v>100</v>
      </c>
      <c r="T28" s="1303" t="s">
        <v>5</v>
      </c>
      <c r="U28" s="1304">
        <f>H28</f>
        <v>100</v>
      </c>
      <c r="V28" s="1303" t="s">
        <v>5</v>
      </c>
      <c r="W28" s="1304">
        <f>J28</f>
        <v>100</v>
      </c>
      <c r="X28" s="1305"/>
      <c r="Y28" s="3624"/>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24"/>
      <c r="Q29" s="1306">
        <f t="shared" si="8"/>
        <v>111</v>
      </c>
      <c r="R29" s="1307" t="s">
        <v>5</v>
      </c>
      <c r="S29" s="1308">
        <f t="shared" ref="S29:S47" si="9">F29</f>
        <v>100</v>
      </c>
      <c r="T29" s="1307" t="s">
        <v>5</v>
      </c>
      <c r="U29" s="1308">
        <f t="shared" ref="U29:U47" si="10">H29</f>
        <v>100</v>
      </c>
      <c r="V29" s="1307" t="s">
        <v>5</v>
      </c>
      <c r="W29" s="1308">
        <f t="shared" ref="W29:W47" si="11">J29</f>
        <v>100</v>
      </c>
      <c r="X29" s="1302"/>
      <c r="Y29" s="3624"/>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24"/>
      <c r="Q30" s="1306">
        <f t="shared" si="8"/>
        <v>111</v>
      </c>
      <c r="R30" s="1307" t="s">
        <v>5</v>
      </c>
      <c r="S30" s="1308">
        <f t="shared" si="9"/>
        <v>100</v>
      </c>
      <c r="T30" s="1307" t="s">
        <v>5</v>
      </c>
      <c r="U30" s="1308">
        <f t="shared" si="10"/>
        <v>100</v>
      </c>
      <c r="V30" s="1307" t="s">
        <v>5</v>
      </c>
      <c r="W30" s="1308">
        <f t="shared" si="11"/>
        <v>100</v>
      </c>
      <c r="X30" s="1302"/>
      <c r="Y30" s="3624"/>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24"/>
      <c r="Q31" s="1306">
        <f t="shared" si="8"/>
        <v>111</v>
      </c>
      <c r="R31" s="1307" t="s">
        <v>5</v>
      </c>
      <c r="S31" s="1308">
        <f t="shared" si="9"/>
        <v>100</v>
      </c>
      <c r="T31" s="1307" t="s">
        <v>5</v>
      </c>
      <c r="U31" s="1308">
        <f t="shared" si="10"/>
        <v>100</v>
      </c>
      <c r="V31" s="1307" t="s">
        <v>5</v>
      </c>
      <c r="W31" s="1308">
        <f t="shared" si="11"/>
        <v>100</v>
      </c>
      <c r="X31" s="1302"/>
      <c r="Y31" s="3624"/>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24"/>
      <c r="Q32" s="1306">
        <f t="shared" si="8"/>
        <v>111</v>
      </c>
      <c r="R32" s="1307" t="s">
        <v>5</v>
      </c>
      <c r="S32" s="1308">
        <f t="shared" si="9"/>
        <v>100</v>
      </c>
      <c r="T32" s="1307" t="s">
        <v>5</v>
      </c>
      <c r="U32" s="1308">
        <f t="shared" si="10"/>
        <v>100</v>
      </c>
      <c r="V32" s="1307" t="s">
        <v>5</v>
      </c>
      <c r="W32" s="1308">
        <f t="shared" si="11"/>
        <v>100</v>
      </c>
      <c r="X32" s="1302"/>
      <c r="Y32" s="3624"/>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25" t="s">
        <v>499</v>
      </c>
      <c r="Q33" s="1306" t="str">
        <f t="shared" si="8"/>
        <v>建筑类型</v>
      </c>
      <c r="R33" s="1307" t="s">
        <v>5</v>
      </c>
      <c r="S33" s="1308">
        <f t="shared" si="9"/>
        <v>100</v>
      </c>
      <c r="T33" s="1307" t="s">
        <v>5</v>
      </c>
      <c r="U33" s="1308">
        <f t="shared" si="10"/>
        <v>100</v>
      </c>
      <c r="V33" s="1307" t="s">
        <v>5</v>
      </c>
      <c r="W33" s="1308">
        <f t="shared" si="11"/>
        <v>100</v>
      </c>
      <c r="X33" s="1302"/>
      <c r="Y33" s="3626"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26"/>
      <c r="Q34" s="818" t="str">
        <f t="shared" si="8"/>
        <v>项目建筑规模</v>
      </c>
      <c r="R34" s="1310" t="s">
        <v>5</v>
      </c>
      <c r="S34" s="1311" t="e">
        <f t="shared" si="9"/>
        <v>#N/A</v>
      </c>
      <c r="T34" s="1310" t="s">
        <v>5</v>
      </c>
      <c r="U34" s="1311" t="e">
        <f t="shared" si="10"/>
        <v>#N/A</v>
      </c>
      <c r="V34" s="1310" t="s">
        <v>5</v>
      </c>
      <c r="W34" s="1311" t="e">
        <f t="shared" si="11"/>
        <v>#N/A</v>
      </c>
      <c r="X34" s="1312"/>
      <c r="Y34" s="3626"/>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26"/>
      <c r="Q35" s="1306" t="str">
        <f t="shared" si="8"/>
        <v>建筑结构</v>
      </c>
      <c r="R35" s="1307" t="s">
        <v>5</v>
      </c>
      <c r="S35" s="1308">
        <f t="shared" si="9"/>
        <v>100</v>
      </c>
      <c r="T35" s="1307" t="s">
        <v>5</v>
      </c>
      <c r="U35" s="1308">
        <f t="shared" si="10"/>
        <v>100</v>
      </c>
      <c r="V35" s="1307" t="s">
        <v>5</v>
      </c>
      <c r="W35" s="1308">
        <f t="shared" si="11"/>
        <v>100</v>
      </c>
      <c r="X35" s="1302"/>
      <c r="Y35" s="3626"/>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26"/>
      <c r="Q36" s="1306" t="str">
        <f t="shared" si="8"/>
        <v>公共部分装修</v>
      </c>
      <c r="R36" s="1307" t="s">
        <v>5</v>
      </c>
      <c r="S36" s="1308">
        <f t="shared" si="9"/>
        <v>100</v>
      </c>
      <c r="T36" s="1307" t="s">
        <v>5</v>
      </c>
      <c r="U36" s="1308">
        <f t="shared" si="10"/>
        <v>100</v>
      </c>
      <c r="V36" s="1307" t="s">
        <v>5</v>
      </c>
      <c r="W36" s="1308">
        <f t="shared" si="11"/>
        <v>100</v>
      </c>
      <c r="X36" s="1302"/>
      <c r="Y36" s="3626"/>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26"/>
      <c r="Q37" s="1306" t="str">
        <f t="shared" si="8"/>
        <v>成新度</v>
      </c>
      <c r="R37" s="1307" t="s">
        <v>5</v>
      </c>
      <c r="S37" s="1308" t="e">
        <f t="shared" si="9"/>
        <v>#N/A</v>
      </c>
      <c r="T37" s="1307" t="s">
        <v>5</v>
      </c>
      <c r="U37" s="1308" t="e">
        <f t="shared" si="10"/>
        <v>#N/A</v>
      </c>
      <c r="V37" s="1307" t="s">
        <v>5</v>
      </c>
      <c r="W37" s="1308" t="e">
        <f t="shared" si="11"/>
        <v>#N/A</v>
      </c>
      <c r="X37" s="1302"/>
      <c r="Y37" s="3626"/>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26"/>
      <c r="Q38" s="817" t="str">
        <f t="shared" si="8"/>
        <v>写字楼等级</v>
      </c>
      <c r="R38" s="1303" t="s">
        <v>5</v>
      </c>
      <c r="S38" s="1304">
        <f t="shared" si="9"/>
        <v>100</v>
      </c>
      <c r="T38" s="1303" t="s">
        <v>5</v>
      </c>
      <c r="U38" s="1304">
        <f t="shared" si="10"/>
        <v>100</v>
      </c>
      <c r="V38" s="1303" t="s">
        <v>5</v>
      </c>
      <c r="W38" s="1304">
        <f t="shared" si="11"/>
        <v>100</v>
      </c>
      <c r="X38" s="1305"/>
      <c r="Y38" s="3626"/>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26" t="s">
        <v>499</v>
      </c>
      <c r="Q39" s="1306" t="str">
        <f t="shared" si="8"/>
        <v>物业管理</v>
      </c>
      <c r="R39" s="1307" t="s">
        <v>5</v>
      </c>
      <c r="S39" s="1308">
        <f t="shared" si="9"/>
        <v>100</v>
      </c>
      <c r="T39" s="1307" t="s">
        <v>5</v>
      </c>
      <c r="U39" s="1308">
        <f t="shared" si="10"/>
        <v>100</v>
      </c>
      <c r="V39" s="1307" t="s">
        <v>5</v>
      </c>
      <c r="W39" s="1308">
        <f t="shared" si="11"/>
        <v>100</v>
      </c>
      <c r="X39" s="1302"/>
      <c r="Y39" s="3626"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26"/>
      <c r="Q40" s="1306" t="str">
        <f t="shared" si="8"/>
        <v>市政基础设施</v>
      </c>
      <c r="R40" s="1307" t="s">
        <v>5</v>
      </c>
      <c r="S40" s="1308">
        <f t="shared" si="9"/>
        <v>100</v>
      </c>
      <c r="T40" s="1307" t="s">
        <v>5</v>
      </c>
      <c r="U40" s="1308">
        <f t="shared" si="10"/>
        <v>100</v>
      </c>
      <c r="V40" s="1307" t="s">
        <v>5</v>
      </c>
      <c r="W40" s="1308">
        <f t="shared" si="11"/>
        <v>100</v>
      </c>
      <c r="X40" s="1302"/>
      <c r="Y40" s="3626"/>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26"/>
      <c r="Q41" s="1306" t="str">
        <f t="shared" si="8"/>
        <v>层高</v>
      </c>
      <c r="R41" s="1307" t="s">
        <v>5</v>
      </c>
      <c r="S41" s="1308">
        <f t="shared" si="9"/>
        <v>100</v>
      </c>
      <c r="T41" s="1307" t="s">
        <v>5</v>
      </c>
      <c r="U41" s="1308">
        <f t="shared" si="10"/>
        <v>100</v>
      </c>
      <c r="V41" s="1307" t="s">
        <v>5</v>
      </c>
      <c r="W41" s="1308">
        <f t="shared" si="11"/>
        <v>100</v>
      </c>
      <c r="X41" s="1302"/>
      <c r="Y41" s="3626"/>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26"/>
      <c r="Q42" s="818" t="str">
        <f t="shared" si="8"/>
        <v>单套建筑面积</v>
      </c>
      <c r="R42" s="1310" t="s">
        <v>5</v>
      </c>
      <c r="S42" s="1311">
        <f t="shared" si="9"/>
        <v>100</v>
      </c>
      <c r="T42" s="1310" t="s">
        <v>5</v>
      </c>
      <c r="U42" s="1311">
        <f t="shared" si="10"/>
        <v>100</v>
      </c>
      <c r="V42" s="1310" t="s">
        <v>5</v>
      </c>
      <c r="W42" s="1311">
        <f t="shared" si="11"/>
        <v>100</v>
      </c>
      <c r="X42" s="1312"/>
      <c r="Y42" s="3626"/>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26"/>
      <c r="Q43" s="1306" t="str">
        <f t="shared" si="8"/>
        <v>内部装修</v>
      </c>
      <c r="R43" s="1307" t="s">
        <v>5</v>
      </c>
      <c r="S43" s="1308">
        <f t="shared" si="9"/>
        <v>100</v>
      </c>
      <c r="T43" s="1307" t="s">
        <v>5</v>
      </c>
      <c r="U43" s="1308">
        <f t="shared" si="10"/>
        <v>100</v>
      </c>
      <c r="V43" s="1307" t="s">
        <v>5</v>
      </c>
      <c r="W43" s="1308">
        <f t="shared" si="11"/>
        <v>100</v>
      </c>
      <c r="X43" s="1302"/>
      <c r="Y43" s="3626"/>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26"/>
      <c r="Q44" s="1306" t="str">
        <f t="shared" si="8"/>
        <v>内部装修维护情况</v>
      </c>
      <c r="R44" s="1307" t="s">
        <v>5</v>
      </c>
      <c r="S44" s="1308">
        <f t="shared" si="9"/>
        <v>100</v>
      </c>
      <c r="T44" s="1307" t="s">
        <v>5</v>
      </c>
      <c r="U44" s="1308">
        <f t="shared" si="10"/>
        <v>100</v>
      </c>
      <c r="V44" s="1307" t="s">
        <v>5</v>
      </c>
      <c r="W44" s="1308">
        <f t="shared" si="11"/>
        <v>100</v>
      </c>
      <c r="X44" s="1302"/>
      <c r="Y44" s="3626"/>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26"/>
      <c r="Q45" s="817">
        <f t="shared" si="8"/>
        <v>111</v>
      </c>
      <c r="R45" s="1303" t="s">
        <v>5</v>
      </c>
      <c r="S45" s="1304">
        <f t="shared" si="9"/>
        <v>100</v>
      </c>
      <c r="T45" s="1303" t="s">
        <v>5</v>
      </c>
      <c r="U45" s="1304">
        <f t="shared" si="10"/>
        <v>100</v>
      </c>
      <c r="V45" s="1303" t="s">
        <v>5</v>
      </c>
      <c r="W45" s="1304">
        <f t="shared" si="11"/>
        <v>100</v>
      </c>
      <c r="X45" s="1305"/>
      <c r="Y45" s="3626"/>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26"/>
      <c r="Q46" s="1306">
        <f t="shared" si="8"/>
        <v>111</v>
      </c>
      <c r="R46" s="1307" t="s">
        <v>5</v>
      </c>
      <c r="S46" s="1308">
        <f t="shared" si="9"/>
        <v>100</v>
      </c>
      <c r="T46" s="1307" t="s">
        <v>5</v>
      </c>
      <c r="U46" s="1308">
        <f t="shared" si="10"/>
        <v>100</v>
      </c>
      <c r="V46" s="1307" t="s">
        <v>5</v>
      </c>
      <c r="W46" s="1308">
        <f t="shared" si="11"/>
        <v>100</v>
      </c>
      <c r="X46" s="1302"/>
      <c r="Y46" s="3626"/>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16"/>
      <c r="Q47" s="1306">
        <f t="shared" si="8"/>
        <v>111</v>
      </c>
      <c r="R47" s="1307" t="s">
        <v>5</v>
      </c>
      <c r="S47" s="1308">
        <f t="shared" si="9"/>
        <v>100</v>
      </c>
      <c r="T47" s="1307" t="s">
        <v>5</v>
      </c>
      <c r="U47" s="1308">
        <f t="shared" si="10"/>
        <v>100</v>
      </c>
      <c r="V47" s="1307" t="s">
        <v>5</v>
      </c>
      <c r="W47" s="1308">
        <f t="shared" si="11"/>
        <v>100</v>
      </c>
      <c r="X47" s="1302"/>
      <c r="Y47" s="3716"/>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28" t="str">
        <f>A48</f>
        <v>成交单价（元/平方米）</v>
      </c>
      <c r="Q48" s="3590"/>
      <c r="R48" s="3591">
        <f>E48</f>
        <v>0</v>
      </c>
      <c r="S48" s="3591"/>
      <c r="T48" s="3591">
        <f>G48</f>
        <v>0</v>
      </c>
      <c r="U48" s="3591"/>
      <c r="V48" s="3591">
        <f>I48</f>
        <v>0</v>
      </c>
      <c r="W48" s="3591"/>
      <c r="X48" s="799"/>
      <c r="Y48" s="1314"/>
      <c r="Z48" s="799"/>
      <c r="AA48" s="799"/>
      <c r="AB48" s="799"/>
      <c r="AC48" s="799"/>
    </row>
    <row r="49" spans="1:29" ht="15.75" thickBot="1">
      <c r="A49" s="564" t="s">
        <v>2042</v>
      </c>
      <c r="B49" s="812"/>
      <c r="C49" s="2082" t="e">
        <f>R50</f>
        <v>#DIV/0!</v>
      </c>
      <c r="D49" s="2550" t="s">
        <v>2251</v>
      </c>
      <c r="E49" s="2083" t="e">
        <f>R49</f>
        <v>#DIV/0!</v>
      </c>
      <c r="F49" s="2551"/>
      <c r="G49" s="2082" t="e">
        <f>T49</f>
        <v>#DIV/0!</v>
      </c>
      <c r="H49" s="2551"/>
      <c r="I49" s="2083" t="e">
        <f>V49</f>
        <v>#DIV/0!</v>
      </c>
      <c r="J49" s="2551"/>
      <c r="K49" s="2558">
        <f>F49+H49+J49</f>
        <v>0</v>
      </c>
      <c r="L49" s="1751"/>
      <c r="M49" s="1742"/>
      <c r="N49" s="1742"/>
      <c r="O49" s="1742"/>
      <c r="P49" s="3628" t="str">
        <f>A49</f>
        <v>比较价格（元/平方米）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799"/>
      <c r="Y49" s="799"/>
      <c r="Z49" s="799"/>
      <c r="AA49" s="799"/>
      <c r="AB49" s="799"/>
      <c r="AC49" s="799"/>
    </row>
    <row r="50" spans="1:29" ht="15.75" thickBot="1">
      <c r="A50" s="568" t="s">
        <v>2188</v>
      </c>
      <c r="B50" s="569"/>
      <c r="C50" s="469" t="e">
        <f>R50</f>
        <v>#DIV/0!</v>
      </c>
      <c r="D50" s="469"/>
      <c r="E50" s="469"/>
      <c r="F50" s="469"/>
      <c r="G50" s="469"/>
      <c r="H50" s="469"/>
      <c r="I50" s="469"/>
      <c r="J50" s="469"/>
      <c r="K50" s="1336"/>
      <c r="L50" s="1751"/>
      <c r="M50" s="1742"/>
      <c r="N50" s="1742"/>
      <c r="O50" s="1742"/>
      <c r="P50" s="3723" t="str">
        <f>A50</f>
        <v>估价对象XX用房的比较价格（楼面单价，元/平方米）</v>
      </c>
      <c r="Q50" s="3628"/>
      <c r="R50" s="3715" t="e">
        <f>IF(F1="售价",ROUND(IF(D49="简单平均",AVERAGE(R49:V49),R49*F49+T49*H49+V49*J49),0),ROUND(IF(D49="简单平均",AVERAGE(R49:V49),R49*F49+T49*H49+V49*J49),1))</f>
        <v>#DIV/0!</v>
      </c>
      <c r="S50" s="3715"/>
      <c r="T50" s="3715"/>
      <c r="U50" s="3715"/>
      <c r="V50" s="3715"/>
      <c r="W50" s="3715"/>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2025-6</v>
      </c>
      <c r="D59" s="2115">
        <f>EDATE(C59,-1)</f>
        <v>45778</v>
      </c>
      <c r="E59" s="2115">
        <f t="shared" ref="E59:O59" si="13">EDATE(D59,-1)</f>
        <v>45748</v>
      </c>
      <c r="F59" s="2115">
        <f t="shared" si="13"/>
        <v>45717</v>
      </c>
      <c r="G59" s="2115">
        <f t="shared" si="13"/>
        <v>45689</v>
      </c>
      <c r="H59" s="2115">
        <f t="shared" si="13"/>
        <v>45658</v>
      </c>
      <c r="I59" s="2115">
        <f t="shared" si="13"/>
        <v>45627</v>
      </c>
      <c r="J59" s="2115">
        <f t="shared" si="13"/>
        <v>45597</v>
      </c>
      <c r="K59" s="2115">
        <f t="shared" si="13"/>
        <v>45566</v>
      </c>
      <c r="L59" s="2115">
        <f t="shared" si="13"/>
        <v>45536</v>
      </c>
      <c r="M59" s="2115">
        <f t="shared" si="13"/>
        <v>45505</v>
      </c>
      <c r="N59" s="2115">
        <f t="shared" si="13"/>
        <v>45474</v>
      </c>
      <c r="O59" s="2115">
        <f t="shared" si="13"/>
        <v>45444</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596" t="s">
        <v>471</v>
      </c>
      <c r="D4" s="3597"/>
      <c r="E4" s="3631" t="s">
        <v>472</v>
      </c>
      <c r="F4" s="3632"/>
      <c r="G4" s="3596" t="s">
        <v>473</v>
      </c>
      <c r="H4" s="3597"/>
      <c r="I4" s="3596" t="s">
        <v>474</v>
      </c>
      <c r="J4" s="3597"/>
      <c r="K4" s="465" t="s">
        <v>475</v>
      </c>
      <c r="L4" s="1741"/>
      <c r="M4" s="1742"/>
      <c r="N4" s="1742"/>
      <c r="O4" s="1742"/>
      <c r="P4" s="3598" t="s">
        <v>476</v>
      </c>
      <c r="Q4" s="3599"/>
      <c r="R4" s="3604" t="s">
        <v>472</v>
      </c>
      <c r="S4" s="3605"/>
      <c r="T4" s="3604" t="s">
        <v>473</v>
      </c>
      <c r="U4" s="3605"/>
      <c r="V4" s="3591" t="s">
        <v>474</v>
      </c>
      <c r="W4" s="3591"/>
      <c r="X4" s="1302"/>
      <c r="Y4" s="3604" t="s">
        <v>476</v>
      </c>
      <c r="Z4" s="3605"/>
      <c r="AA4" s="3593" t="s">
        <v>472</v>
      </c>
      <c r="AB4" s="3594" t="s">
        <v>473</v>
      </c>
      <c r="AC4" s="3593" t="s">
        <v>474</v>
      </c>
    </row>
    <row r="5" spans="1:29" ht="15">
      <c r="A5" s="466"/>
      <c r="B5" s="467"/>
      <c r="C5" s="3612" t="s">
        <v>2182</v>
      </c>
      <c r="D5" s="3613"/>
      <c r="E5" s="3633" t="s">
        <v>2183</v>
      </c>
      <c r="F5" s="3634"/>
      <c r="G5" s="3612" t="s">
        <v>2184</v>
      </c>
      <c r="H5" s="3613"/>
      <c r="I5" s="3612" t="s">
        <v>2185</v>
      </c>
      <c r="J5" s="3613"/>
      <c r="K5" s="465"/>
      <c r="L5" s="1741"/>
      <c r="M5" s="1742"/>
      <c r="N5" s="1742"/>
      <c r="O5" s="1742"/>
      <c r="P5" s="3600"/>
      <c r="Q5" s="3601"/>
      <c r="R5" s="3606"/>
      <c r="S5" s="3607"/>
      <c r="T5" s="3606"/>
      <c r="U5" s="3607"/>
      <c r="V5" s="3591"/>
      <c r="W5" s="3591"/>
      <c r="X5" s="1302"/>
      <c r="Y5" s="3606"/>
      <c r="Z5" s="3607"/>
      <c r="AA5" s="3594"/>
      <c r="AB5" s="3594"/>
      <c r="AC5" s="3594"/>
    </row>
    <row r="6" spans="1:29" ht="15.75" thickBot="1">
      <c r="A6" s="468"/>
      <c r="B6" s="469"/>
      <c r="C6" s="3610" t="s">
        <v>2186</v>
      </c>
      <c r="D6" s="3611"/>
      <c r="E6" s="3629" t="s">
        <v>2186</v>
      </c>
      <c r="F6" s="3630"/>
      <c r="G6" s="3610" t="s">
        <v>2186</v>
      </c>
      <c r="H6" s="3611"/>
      <c r="I6" s="3610" t="s">
        <v>2186</v>
      </c>
      <c r="J6" s="3611"/>
      <c r="K6" s="465" t="s">
        <v>477</v>
      </c>
      <c r="L6" s="1741"/>
      <c r="M6" s="1742"/>
      <c r="N6" s="1742"/>
      <c r="O6" s="1742"/>
      <c r="P6" s="3602"/>
      <c r="Q6" s="3603"/>
      <c r="R6" s="3606"/>
      <c r="S6" s="3607"/>
      <c r="T6" s="3608"/>
      <c r="U6" s="3609"/>
      <c r="V6" s="3591"/>
      <c r="W6" s="3591"/>
      <c r="X6" s="1302"/>
      <c r="Y6" s="3608"/>
      <c r="Z6" s="3609"/>
      <c r="AA6" s="3595"/>
      <c r="AB6" s="3595"/>
      <c r="AC6" s="3595"/>
    </row>
    <row r="7" spans="1:29" s="1059" customFormat="1" ht="15.75" thickBot="1">
      <c r="A7" s="2209"/>
      <c r="B7" s="2216" t="s">
        <v>478</v>
      </c>
      <c r="C7" s="470">
        <f>'数据-取费表'!B2</f>
        <v>45817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20" t="s">
        <v>479</v>
      </c>
      <c r="Q7" s="3622"/>
      <c r="R7" s="1303" t="s">
        <v>5</v>
      </c>
      <c r="S7" s="1304">
        <f t="shared" ref="S7:S15" si="0">F7</f>
        <v>0</v>
      </c>
      <c r="T7" s="1303" t="s">
        <v>5</v>
      </c>
      <c r="U7" s="1304">
        <f t="shared" ref="U7:U15" si="1">H7</f>
        <v>0</v>
      </c>
      <c r="V7" s="1303" t="s">
        <v>5</v>
      </c>
      <c r="W7" s="1304">
        <f t="shared" ref="W7:W15" si="2">J7</f>
        <v>0</v>
      </c>
      <c r="X7" s="1305"/>
      <c r="Y7" s="3620" t="s">
        <v>479</v>
      </c>
      <c r="Z7" s="3621"/>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20" t="s">
        <v>482</v>
      </c>
      <c r="Q8" s="3621"/>
      <c r="R8" s="1303" t="s">
        <v>5</v>
      </c>
      <c r="S8" s="1304">
        <f t="shared" si="0"/>
        <v>0</v>
      </c>
      <c r="T8" s="1303" t="s">
        <v>5</v>
      </c>
      <c r="U8" s="1304">
        <f t="shared" si="1"/>
        <v>0</v>
      </c>
      <c r="V8" s="1303" t="s">
        <v>5</v>
      </c>
      <c r="W8" s="1304">
        <f t="shared" si="2"/>
        <v>0</v>
      </c>
      <c r="X8" s="1305"/>
      <c r="Y8" s="3620" t="s">
        <v>482</v>
      </c>
      <c r="Z8" s="3621"/>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90" t="s">
        <v>484</v>
      </c>
      <c r="Q9" s="817" t="str">
        <f t="shared" ref="Q9:Q15" si="6">B9</f>
        <v>用途</v>
      </c>
      <c r="R9" s="1303" t="s">
        <v>5</v>
      </c>
      <c r="S9" s="1304">
        <f t="shared" si="0"/>
        <v>100</v>
      </c>
      <c r="T9" s="1303" t="s">
        <v>5</v>
      </c>
      <c r="U9" s="1304">
        <f t="shared" si="1"/>
        <v>100</v>
      </c>
      <c r="V9" s="1303" t="s">
        <v>5</v>
      </c>
      <c r="W9" s="1304">
        <f t="shared" si="2"/>
        <v>100</v>
      </c>
      <c r="X9" s="1305"/>
      <c r="Y9" s="353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90"/>
      <c r="Q11" s="817" t="str">
        <f t="shared" si="6"/>
        <v>容积率</v>
      </c>
      <c r="R11" s="1303" t="s">
        <v>5</v>
      </c>
      <c r="S11" s="1304" t="e">
        <f t="shared" si="0"/>
        <v>#N/A</v>
      </c>
      <c r="T11" s="1303" t="s">
        <v>5</v>
      </c>
      <c r="U11" s="1304" t="e">
        <f t="shared" si="1"/>
        <v>#N/A</v>
      </c>
      <c r="V11" s="1303" t="s">
        <v>5</v>
      </c>
      <c r="W11" s="1304" t="e">
        <f t="shared" si="2"/>
        <v>#N/A</v>
      </c>
      <c r="X11" s="1305"/>
      <c r="Y11" s="3534"/>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4"/>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4"/>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590"/>
      <c r="Q14" s="817">
        <f t="shared" si="6"/>
        <v>111</v>
      </c>
      <c r="R14" s="1303" t="s">
        <v>5</v>
      </c>
      <c r="S14" s="1304">
        <f t="shared" si="0"/>
        <v>100</v>
      </c>
      <c r="T14" s="1303" t="s">
        <v>5</v>
      </c>
      <c r="U14" s="1304">
        <f t="shared" si="1"/>
        <v>100</v>
      </c>
      <c r="V14" s="1303" t="s">
        <v>5</v>
      </c>
      <c r="W14" s="1304">
        <f t="shared" si="2"/>
        <v>100</v>
      </c>
      <c r="X14" s="1305"/>
      <c r="Y14" s="3534"/>
      <c r="Z14" s="996">
        <f t="shared" si="7"/>
        <v>111</v>
      </c>
      <c r="AA14" s="996">
        <f t="shared" si="3"/>
        <v>1</v>
      </c>
      <c r="AB14" s="996">
        <f t="shared" si="4"/>
        <v>1</v>
      </c>
      <c r="AC14" s="996">
        <f t="shared" si="5"/>
        <v>1</v>
      </c>
    </row>
    <row r="15" spans="1:29" ht="15">
      <c r="A15" s="2207"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23" t="s">
        <v>489</v>
      </c>
      <c r="Q15" s="1306" t="str">
        <f t="shared" si="6"/>
        <v>产业集聚程度</v>
      </c>
      <c r="R15" s="1307" t="s">
        <v>5</v>
      </c>
      <c r="S15" s="1308">
        <f t="shared" si="0"/>
        <v>100</v>
      </c>
      <c r="T15" s="1307" t="s">
        <v>5</v>
      </c>
      <c r="U15" s="1308">
        <f t="shared" si="1"/>
        <v>100</v>
      </c>
      <c r="V15" s="1307" t="s">
        <v>5</v>
      </c>
      <c r="W15" s="1308">
        <f t="shared" si="2"/>
        <v>100</v>
      </c>
      <c r="X15" s="1302"/>
      <c r="Y15" s="3623"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24"/>
      <c r="Q16" s="1306"/>
      <c r="R16" s="1307"/>
      <c r="S16" s="1308"/>
      <c r="T16" s="1307"/>
      <c r="U16" s="1308"/>
      <c r="V16" s="1307"/>
      <c r="W16" s="1308"/>
      <c r="X16" s="1302"/>
      <c r="Y16" s="3624"/>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24"/>
      <c r="Q17" s="1306" t="str">
        <f>B17</f>
        <v>交通便捷度</v>
      </c>
      <c r="R17" s="1307" t="s">
        <v>5</v>
      </c>
      <c r="S17" s="1308">
        <f>F17</f>
        <v>100</v>
      </c>
      <c r="T17" s="1307" t="s">
        <v>5</v>
      </c>
      <c r="U17" s="1308">
        <f>H17</f>
        <v>100</v>
      </c>
      <c r="V17" s="1307" t="s">
        <v>5</v>
      </c>
      <c r="W17" s="1308">
        <f>J17</f>
        <v>100</v>
      </c>
      <c r="X17" s="1302"/>
      <c r="Y17" s="362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24"/>
      <c r="Q18" s="1306"/>
      <c r="R18" s="1307"/>
      <c r="S18" s="1308"/>
      <c r="T18" s="1307"/>
      <c r="U18" s="1308"/>
      <c r="V18" s="1307"/>
      <c r="W18" s="1308"/>
      <c r="X18" s="1302"/>
      <c r="Y18" s="3624"/>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24"/>
      <c r="Q19" s="1306" t="str">
        <f>B19</f>
        <v>公共配套设施</v>
      </c>
      <c r="R19" s="1307" t="s">
        <v>5</v>
      </c>
      <c r="S19" s="1308">
        <f>F19</f>
        <v>100</v>
      </c>
      <c r="T19" s="1307" t="s">
        <v>5</v>
      </c>
      <c r="U19" s="1308">
        <f>H19</f>
        <v>100</v>
      </c>
      <c r="V19" s="1307" t="s">
        <v>5</v>
      </c>
      <c r="W19" s="1308">
        <f>J19</f>
        <v>100</v>
      </c>
      <c r="X19" s="1302"/>
      <c r="Y19" s="3624"/>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24"/>
      <c r="Q20" s="1306"/>
      <c r="R20" s="1307"/>
      <c r="S20" s="1308"/>
      <c r="T20" s="1307"/>
      <c r="U20" s="1308"/>
      <c r="V20" s="1307"/>
      <c r="W20" s="1308"/>
      <c r="X20" s="1302"/>
      <c r="Y20" s="3624"/>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24"/>
      <c r="Q21" s="1306" t="str">
        <f>B21</f>
        <v>基础设施水平</v>
      </c>
      <c r="R21" s="1307" t="s">
        <v>5</v>
      </c>
      <c r="S21" s="1308">
        <f>F21</f>
        <v>100</v>
      </c>
      <c r="T21" s="1307" t="s">
        <v>5</v>
      </c>
      <c r="U21" s="1308">
        <f>H21</f>
        <v>100</v>
      </c>
      <c r="V21" s="1307" t="s">
        <v>5</v>
      </c>
      <c r="W21" s="1308">
        <f>J21</f>
        <v>100</v>
      </c>
      <c r="X21" s="1302"/>
      <c r="Y21" s="3624"/>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24"/>
      <c r="Q22" s="1306"/>
      <c r="R22" s="1307"/>
      <c r="S22" s="1308"/>
      <c r="T22" s="1307"/>
      <c r="U22" s="1308"/>
      <c r="V22" s="1307"/>
      <c r="W22" s="1308"/>
      <c r="X22" s="1302"/>
      <c r="Y22" s="3624"/>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24"/>
      <c r="Q23" s="1306" t="str">
        <f>B23</f>
        <v>环境质量</v>
      </c>
      <c r="R23" s="1307" t="s">
        <v>5</v>
      </c>
      <c r="S23" s="1308">
        <f>F23</f>
        <v>100</v>
      </c>
      <c r="T23" s="1307" t="s">
        <v>5</v>
      </c>
      <c r="U23" s="1308">
        <f>H23</f>
        <v>100</v>
      </c>
      <c r="V23" s="1307" t="s">
        <v>5</v>
      </c>
      <c r="W23" s="1308">
        <f>J23</f>
        <v>100</v>
      </c>
      <c r="X23" s="1302"/>
      <c r="Y23" s="3624"/>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24"/>
      <c r="Q24" s="1306"/>
      <c r="R24" s="1307"/>
      <c r="S24" s="1308"/>
      <c r="T24" s="1307"/>
      <c r="U24" s="1308"/>
      <c r="V24" s="1307"/>
      <c r="W24" s="1308"/>
      <c r="X24" s="1302"/>
      <c r="Y24" s="3624"/>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24"/>
      <c r="Q25" s="1306">
        <f>B25</f>
        <v>111</v>
      </c>
      <c r="R25" s="1307" t="s">
        <v>5</v>
      </c>
      <c r="S25" s="1308">
        <f>F25</f>
        <v>100</v>
      </c>
      <c r="T25" s="1307" t="s">
        <v>5</v>
      </c>
      <c r="U25" s="1308">
        <f>H25</f>
        <v>100</v>
      </c>
      <c r="V25" s="1307" t="s">
        <v>5</v>
      </c>
      <c r="W25" s="1308">
        <f>J25</f>
        <v>100</v>
      </c>
      <c r="X25" s="1302"/>
      <c r="Y25" s="3624"/>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24"/>
      <c r="Q26" s="1306">
        <f t="shared" ref="Q26:Q40" si="8">B26</f>
        <v>111</v>
      </c>
      <c r="R26" s="1307" t="s">
        <v>5</v>
      </c>
      <c r="S26" s="1308">
        <f>F26</f>
        <v>100</v>
      </c>
      <c r="T26" s="1307" t="s">
        <v>5</v>
      </c>
      <c r="U26" s="1308">
        <f>H26</f>
        <v>100</v>
      </c>
      <c r="V26" s="1307" t="s">
        <v>5</v>
      </c>
      <c r="W26" s="1308">
        <f>J26</f>
        <v>100</v>
      </c>
      <c r="X26" s="1302"/>
      <c r="Y26" s="3624"/>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24"/>
      <c r="Q27" s="817">
        <f t="shared" si="8"/>
        <v>111</v>
      </c>
      <c r="R27" s="1303" t="s">
        <v>5</v>
      </c>
      <c r="S27" s="1304">
        <f>F27</f>
        <v>100</v>
      </c>
      <c r="T27" s="1303" t="s">
        <v>5</v>
      </c>
      <c r="U27" s="1304">
        <f>H27</f>
        <v>100</v>
      </c>
      <c r="V27" s="1303" t="s">
        <v>5</v>
      </c>
      <c r="W27" s="1304">
        <f>J27</f>
        <v>100</v>
      </c>
      <c r="X27" s="1305"/>
      <c r="Y27" s="3624"/>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24"/>
      <c r="Q28" s="1306">
        <f t="shared" si="8"/>
        <v>111</v>
      </c>
      <c r="R28" s="1307" t="s">
        <v>5</v>
      </c>
      <c r="S28" s="1308">
        <f t="shared" ref="S28:S40" si="9">F28</f>
        <v>100</v>
      </c>
      <c r="T28" s="1307" t="s">
        <v>5</v>
      </c>
      <c r="U28" s="1308">
        <f t="shared" ref="U28:U40" si="10">H28</f>
        <v>100</v>
      </c>
      <c r="V28" s="1307" t="s">
        <v>5</v>
      </c>
      <c r="W28" s="1308">
        <f t="shared" ref="W28:W40" si="11">J28</f>
        <v>100</v>
      </c>
      <c r="X28" s="1302"/>
      <c r="Y28" s="3624"/>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25" t="s">
        <v>499</v>
      </c>
      <c r="Q29" s="1306" t="str">
        <f t="shared" si="8"/>
        <v>建筑类型</v>
      </c>
      <c r="R29" s="1307" t="s">
        <v>5</v>
      </c>
      <c r="S29" s="1308">
        <f t="shared" si="9"/>
        <v>100</v>
      </c>
      <c r="T29" s="1307" t="s">
        <v>5</v>
      </c>
      <c r="U29" s="1308">
        <f t="shared" si="10"/>
        <v>100</v>
      </c>
      <c r="V29" s="1307" t="s">
        <v>5</v>
      </c>
      <c r="W29" s="1308">
        <f t="shared" si="11"/>
        <v>100</v>
      </c>
      <c r="X29" s="1302"/>
      <c r="Y29" s="3626"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26"/>
      <c r="Q30" s="818" t="str">
        <f t="shared" si="8"/>
        <v>项目建筑规模</v>
      </c>
      <c r="R30" s="1310" t="s">
        <v>5</v>
      </c>
      <c r="S30" s="1311" t="e">
        <f t="shared" si="9"/>
        <v>#N/A</v>
      </c>
      <c r="T30" s="1310" t="s">
        <v>5</v>
      </c>
      <c r="U30" s="1311" t="e">
        <f t="shared" si="10"/>
        <v>#N/A</v>
      </c>
      <c r="V30" s="1310" t="s">
        <v>5</v>
      </c>
      <c r="W30" s="1311" t="e">
        <f t="shared" si="11"/>
        <v>#N/A</v>
      </c>
      <c r="X30" s="1312"/>
      <c r="Y30" s="3626"/>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26"/>
      <c r="Q31" s="1306" t="str">
        <f t="shared" si="8"/>
        <v>建筑结构</v>
      </c>
      <c r="R31" s="1307" t="s">
        <v>5</v>
      </c>
      <c r="S31" s="1308">
        <f t="shared" si="9"/>
        <v>100</v>
      </c>
      <c r="T31" s="1307" t="s">
        <v>5</v>
      </c>
      <c r="U31" s="1308">
        <f t="shared" si="10"/>
        <v>100</v>
      </c>
      <c r="V31" s="1307" t="s">
        <v>5</v>
      </c>
      <c r="W31" s="1308">
        <f t="shared" si="11"/>
        <v>100</v>
      </c>
      <c r="X31" s="1302"/>
      <c r="Y31" s="3626"/>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26"/>
      <c r="Q32" s="1306" t="str">
        <f t="shared" si="8"/>
        <v>公共部分装修</v>
      </c>
      <c r="R32" s="1307" t="s">
        <v>5</v>
      </c>
      <c r="S32" s="1308">
        <f t="shared" si="9"/>
        <v>100</v>
      </c>
      <c r="T32" s="1307" t="s">
        <v>5</v>
      </c>
      <c r="U32" s="1308">
        <f t="shared" si="10"/>
        <v>100</v>
      </c>
      <c r="V32" s="1307" t="s">
        <v>5</v>
      </c>
      <c r="W32" s="1308">
        <f t="shared" si="11"/>
        <v>100</v>
      </c>
      <c r="X32" s="1302"/>
      <c r="Y32" s="3626"/>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26"/>
      <c r="Q33" s="1306" t="str">
        <f t="shared" si="8"/>
        <v>成新度</v>
      </c>
      <c r="R33" s="1307" t="s">
        <v>5</v>
      </c>
      <c r="S33" s="1308" t="e">
        <f t="shared" si="9"/>
        <v>#N/A</v>
      </c>
      <c r="T33" s="1307" t="s">
        <v>5</v>
      </c>
      <c r="U33" s="1308" t="e">
        <f t="shared" si="10"/>
        <v>#N/A</v>
      </c>
      <c r="V33" s="1307" t="s">
        <v>5</v>
      </c>
      <c r="W33" s="1308" t="e">
        <f t="shared" si="11"/>
        <v>#N/A</v>
      </c>
      <c r="X33" s="1302"/>
      <c r="Y33" s="3626"/>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26"/>
      <c r="Q34" s="817" t="str">
        <f t="shared" si="8"/>
        <v>物业管理</v>
      </c>
      <c r="R34" s="1303" t="s">
        <v>5</v>
      </c>
      <c r="S34" s="1304">
        <f t="shared" si="9"/>
        <v>100</v>
      </c>
      <c r="T34" s="1303" t="s">
        <v>5</v>
      </c>
      <c r="U34" s="1304">
        <f t="shared" si="10"/>
        <v>100</v>
      </c>
      <c r="V34" s="1303" t="s">
        <v>5</v>
      </c>
      <c r="W34" s="1304">
        <f t="shared" si="11"/>
        <v>100</v>
      </c>
      <c r="X34" s="1305"/>
      <c r="Y34" s="3626"/>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26" t="s">
        <v>499</v>
      </c>
      <c r="Q35" s="1306" t="str">
        <f t="shared" si="8"/>
        <v>市政基础设施</v>
      </c>
      <c r="R35" s="1307" t="s">
        <v>5</v>
      </c>
      <c r="S35" s="1308">
        <f t="shared" si="9"/>
        <v>100</v>
      </c>
      <c r="T35" s="1307" t="s">
        <v>5</v>
      </c>
      <c r="U35" s="1308">
        <f t="shared" si="10"/>
        <v>100</v>
      </c>
      <c r="V35" s="1307" t="s">
        <v>5</v>
      </c>
      <c r="W35" s="1308">
        <f t="shared" si="11"/>
        <v>100</v>
      </c>
      <c r="X35" s="1302"/>
      <c r="Y35" s="3626"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26"/>
      <c r="Q36" s="1306" t="str">
        <f t="shared" si="8"/>
        <v>内部装修</v>
      </c>
      <c r="R36" s="1307" t="s">
        <v>5</v>
      </c>
      <c r="S36" s="1308">
        <f t="shared" si="9"/>
        <v>100</v>
      </c>
      <c r="T36" s="1307" t="s">
        <v>5</v>
      </c>
      <c r="U36" s="1308">
        <f t="shared" si="10"/>
        <v>100</v>
      </c>
      <c r="V36" s="1307" t="s">
        <v>5</v>
      </c>
      <c r="W36" s="1308">
        <f t="shared" si="11"/>
        <v>100</v>
      </c>
      <c r="X36" s="1302"/>
      <c r="Y36" s="3626"/>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26"/>
      <c r="Q37" s="1306" t="str">
        <f t="shared" si="8"/>
        <v>内部装修状况</v>
      </c>
      <c r="R37" s="1307" t="s">
        <v>5</v>
      </c>
      <c r="S37" s="1308">
        <f t="shared" si="9"/>
        <v>100</v>
      </c>
      <c r="T37" s="1307" t="s">
        <v>5</v>
      </c>
      <c r="U37" s="1308">
        <f t="shared" si="10"/>
        <v>100</v>
      </c>
      <c r="V37" s="1307" t="s">
        <v>5</v>
      </c>
      <c r="W37" s="1308">
        <f t="shared" si="11"/>
        <v>100</v>
      </c>
      <c r="X37" s="1302"/>
      <c r="Y37" s="3626"/>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26"/>
      <c r="Q38" s="818">
        <f t="shared" si="8"/>
        <v>111</v>
      </c>
      <c r="R38" s="1310" t="s">
        <v>5</v>
      </c>
      <c r="S38" s="1311">
        <f t="shared" si="9"/>
        <v>100</v>
      </c>
      <c r="T38" s="1310" t="s">
        <v>5</v>
      </c>
      <c r="U38" s="1311">
        <f t="shared" si="10"/>
        <v>100</v>
      </c>
      <c r="V38" s="1310" t="s">
        <v>5</v>
      </c>
      <c r="W38" s="1311">
        <f t="shared" si="11"/>
        <v>100</v>
      </c>
      <c r="X38" s="1312"/>
      <c r="Y38" s="3626"/>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26"/>
      <c r="Q39" s="1306">
        <f t="shared" si="8"/>
        <v>111</v>
      </c>
      <c r="R39" s="1307" t="s">
        <v>5</v>
      </c>
      <c r="S39" s="1308">
        <f t="shared" si="9"/>
        <v>100</v>
      </c>
      <c r="T39" s="1307" t="s">
        <v>5</v>
      </c>
      <c r="U39" s="1308">
        <f t="shared" si="10"/>
        <v>100</v>
      </c>
      <c r="V39" s="1307" t="s">
        <v>5</v>
      </c>
      <c r="W39" s="1308">
        <f t="shared" si="11"/>
        <v>100</v>
      </c>
      <c r="X39" s="1302"/>
      <c r="Y39" s="3626"/>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16"/>
      <c r="Q40" s="1306">
        <f t="shared" si="8"/>
        <v>111</v>
      </c>
      <c r="R40" s="1307" t="s">
        <v>5</v>
      </c>
      <c r="S40" s="1308">
        <f t="shared" si="9"/>
        <v>100</v>
      </c>
      <c r="T40" s="1307" t="s">
        <v>5</v>
      </c>
      <c r="U40" s="1308">
        <f t="shared" si="10"/>
        <v>100</v>
      </c>
      <c r="V40" s="1307" t="s">
        <v>5</v>
      </c>
      <c r="W40" s="1308">
        <f t="shared" si="11"/>
        <v>100</v>
      </c>
      <c r="X40" s="1302"/>
      <c r="Y40" s="3716"/>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590" t="str">
        <f>A41</f>
        <v>成交单价（元/平方米）</v>
      </c>
      <c r="Q41" s="3590"/>
      <c r="R41" s="3591">
        <f>E41</f>
        <v>0</v>
      </c>
      <c r="S41" s="3591"/>
      <c r="T41" s="3591">
        <f>G41</f>
        <v>0</v>
      </c>
      <c r="U41" s="3591"/>
      <c r="V41" s="3591">
        <f>I41</f>
        <v>0</v>
      </c>
      <c r="W41" s="3591"/>
      <c r="X41" s="799"/>
      <c r="Y41" s="1314"/>
      <c r="Z41" s="799"/>
      <c r="AA41" s="799"/>
      <c r="AB41" s="799"/>
      <c r="AC41" s="799"/>
    </row>
    <row r="42" spans="1:29" ht="15.75" thickBot="1">
      <c r="A42" s="564" t="s">
        <v>2042</v>
      </c>
      <c r="B42" s="812"/>
      <c r="C42" s="2082" t="e">
        <f>R43</f>
        <v>#DIV/0!</v>
      </c>
      <c r="D42" s="2550" t="s">
        <v>2251</v>
      </c>
      <c r="E42" s="2083" t="e">
        <f>R42</f>
        <v>#DIV/0!</v>
      </c>
      <c r="F42" s="2551"/>
      <c r="G42" s="2082" t="e">
        <f>T42</f>
        <v>#DIV/0!</v>
      </c>
      <c r="H42" s="2551"/>
      <c r="I42" s="2083" t="e">
        <f>V42</f>
        <v>#DIV/0!</v>
      </c>
      <c r="J42" s="2551"/>
      <c r="K42" s="2558">
        <f>F42+H42+J42</f>
        <v>0</v>
      </c>
      <c r="L42" s="1751"/>
      <c r="M42" s="1742"/>
      <c r="N42" s="1742"/>
      <c r="O42" s="1742"/>
      <c r="P42" s="3590" t="str">
        <f>A42</f>
        <v>比较价格（元/平方米）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799"/>
      <c r="Y42" s="799"/>
      <c r="Z42" s="799"/>
      <c r="AA42" s="799"/>
      <c r="AB42" s="799"/>
      <c r="AC42" s="799"/>
    </row>
    <row r="43" spans="1:29" ht="15.75" thickBot="1">
      <c r="A43" s="568" t="s">
        <v>2188</v>
      </c>
      <c r="B43" s="569"/>
      <c r="C43" s="469" t="e">
        <f>R43</f>
        <v>#DIV/0!</v>
      </c>
      <c r="D43" s="469"/>
      <c r="E43" s="469"/>
      <c r="F43" s="469"/>
      <c r="G43" s="469"/>
      <c r="H43" s="469"/>
      <c r="I43" s="469"/>
      <c r="J43" s="469"/>
      <c r="K43" s="1336"/>
      <c r="L43" s="1751"/>
      <c r="M43" s="1742"/>
      <c r="N43" s="1742"/>
      <c r="O43" s="1742"/>
      <c r="P43" s="3627" t="str">
        <f>A43</f>
        <v>估价对象XX用房的比较价格（楼面单价，元/平方米）</v>
      </c>
      <c r="Q43" s="3628"/>
      <c r="R43" s="3715" t="e">
        <f>IF(F1="售价",ROUND(IF(D42="简单平均",AVERAGE(R42:V42),R42*F42+T42*H42+V42*J42),0),ROUND(IF(D42="简单平均",AVERAGE(R42:V42),R42*F42+T42*H42+V42*J42),1))</f>
        <v>#DIV/0!</v>
      </c>
      <c r="S43" s="3715"/>
      <c r="T43" s="3715"/>
      <c r="U43" s="3715"/>
      <c r="V43" s="3715"/>
      <c r="W43" s="3715"/>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2025-6</v>
      </c>
      <c r="D52" s="2115">
        <f>EDATE(C52,-1)</f>
        <v>45778</v>
      </c>
      <c r="E52" s="2115">
        <f t="shared" ref="E52:O52" si="13">EDATE(D52,-1)</f>
        <v>45748</v>
      </c>
      <c r="F52" s="2115">
        <f t="shared" si="13"/>
        <v>45717</v>
      </c>
      <c r="G52" s="2115">
        <f t="shared" si="13"/>
        <v>45689</v>
      </c>
      <c r="H52" s="2115">
        <f t="shared" si="13"/>
        <v>45658</v>
      </c>
      <c r="I52" s="2115">
        <f t="shared" si="13"/>
        <v>45627</v>
      </c>
      <c r="J52" s="2115">
        <f t="shared" si="13"/>
        <v>45597</v>
      </c>
      <c r="K52" s="2115">
        <f t="shared" si="13"/>
        <v>45566</v>
      </c>
      <c r="L52" s="2115">
        <f t="shared" si="13"/>
        <v>45536</v>
      </c>
      <c r="M52" s="2115">
        <f t="shared" si="13"/>
        <v>45505</v>
      </c>
      <c r="N52" s="2115">
        <f t="shared" si="13"/>
        <v>45474</v>
      </c>
      <c r="O52" s="2115">
        <f t="shared" si="13"/>
        <v>45444</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596" t="s">
        <v>738</v>
      </c>
      <c r="D4" s="3597"/>
      <c r="E4" s="3596" t="s">
        <v>739</v>
      </c>
      <c r="F4" s="3597"/>
      <c r="G4" s="3596" t="s">
        <v>740</v>
      </c>
      <c r="H4" s="3597"/>
      <c r="I4" s="3596" t="s">
        <v>741</v>
      </c>
      <c r="J4" s="3597"/>
      <c r="K4" s="465" t="s">
        <v>742</v>
      </c>
      <c r="L4" s="1741"/>
      <c r="M4" s="1742"/>
      <c r="N4" s="1742"/>
      <c r="O4" s="1742"/>
      <c r="P4" s="3598" t="s">
        <v>743</v>
      </c>
      <c r="Q4" s="3599"/>
      <c r="R4" s="3604" t="s">
        <v>739</v>
      </c>
      <c r="S4" s="3605"/>
      <c r="T4" s="3604" t="s">
        <v>740</v>
      </c>
      <c r="U4" s="3605"/>
      <c r="V4" s="3591" t="s">
        <v>741</v>
      </c>
      <c r="W4" s="3591"/>
      <c r="X4" s="1302"/>
      <c r="Y4" s="3604" t="s">
        <v>743</v>
      </c>
      <c r="Z4" s="3605"/>
      <c r="AA4" s="3593" t="s">
        <v>739</v>
      </c>
      <c r="AB4" s="3594" t="s">
        <v>740</v>
      </c>
      <c r="AC4" s="3593" t="s">
        <v>741</v>
      </c>
    </row>
    <row r="5" spans="1:29" ht="15">
      <c r="A5" s="466"/>
      <c r="B5" s="467"/>
      <c r="C5" s="3612" t="s">
        <v>2182</v>
      </c>
      <c r="D5" s="3613"/>
      <c r="E5" s="3612" t="s">
        <v>2183</v>
      </c>
      <c r="F5" s="3613"/>
      <c r="G5" s="3612" t="s">
        <v>2184</v>
      </c>
      <c r="H5" s="3613"/>
      <c r="I5" s="3612" t="s">
        <v>2185</v>
      </c>
      <c r="J5" s="3613"/>
      <c r="K5" s="465"/>
      <c r="L5" s="1741"/>
      <c r="M5" s="1742"/>
      <c r="N5" s="1742"/>
      <c r="O5" s="1742"/>
      <c r="P5" s="3600"/>
      <c r="Q5" s="3601"/>
      <c r="R5" s="3606"/>
      <c r="S5" s="3607"/>
      <c r="T5" s="3606"/>
      <c r="U5" s="3607"/>
      <c r="V5" s="3591"/>
      <c r="W5" s="3591"/>
      <c r="X5" s="1302"/>
      <c r="Y5" s="3606"/>
      <c r="Z5" s="3607"/>
      <c r="AA5" s="3594"/>
      <c r="AB5" s="3594"/>
      <c r="AC5" s="3594"/>
    </row>
    <row r="6" spans="1:29" ht="15.75" thickBot="1">
      <c r="A6" s="468"/>
      <c r="B6" s="469"/>
      <c r="C6" s="3610" t="s">
        <v>2186</v>
      </c>
      <c r="D6" s="3611"/>
      <c r="E6" s="3614" t="s">
        <v>2186</v>
      </c>
      <c r="F6" s="3615"/>
      <c r="G6" s="3610" t="s">
        <v>2186</v>
      </c>
      <c r="H6" s="3611"/>
      <c r="I6" s="3610" t="s">
        <v>2186</v>
      </c>
      <c r="J6" s="3611"/>
      <c r="K6" s="465" t="s">
        <v>477</v>
      </c>
      <c r="L6" s="1741"/>
      <c r="M6" s="1742"/>
      <c r="N6" s="1742"/>
      <c r="O6" s="1742"/>
      <c r="P6" s="3602"/>
      <c r="Q6" s="3603"/>
      <c r="R6" s="3606"/>
      <c r="S6" s="3607"/>
      <c r="T6" s="3608"/>
      <c r="U6" s="3609"/>
      <c r="V6" s="3591"/>
      <c r="W6" s="3591"/>
      <c r="X6" s="1302"/>
      <c r="Y6" s="3608"/>
      <c r="Z6" s="3609"/>
      <c r="AA6" s="3595"/>
      <c r="AB6" s="3595"/>
      <c r="AC6" s="3595"/>
    </row>
    <row r="7" spans="1:29" s="1059" customFormat="1" ht="15.75" thickBot="1">
      <c r="A7" s="2209"/>
      <c r="B7" s="2216" t="s">
        <v>478</v>
      </c>
      <c r="C7" s="470">
        <f>'数据-取费表'!B2</f>
        <v>45817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20" t="s">
        <v>479</v>
      </c>
      <c r="Q7" s="3622"/>
      <c r="R7" s="1303" t="s">
        <v>5</v>
      </c>
      <c r="S7" s="1304">
        <f t="shared" ref="S7:S14" si="0">F7</f>
        <v>0</v>
      </c>
      <c r="T7" s="1303" t="s">
        <v>5</v>
      </c>
      <c r="U7" s="1304">
        <f t="shared" ref="U7:U14" si="1">H7</f>
        <v>0</v>
      </c>
      <c r="V7" s="1303" t="s">
        <v>5</v>
      </c>
      <c r="W7" s="1304">
        <f t="shared" ref="W7:W14" si="2">J7</f>
        <v>0</v>
      </c>
      <c r="X7" s="1305"/>
      <c r="Y7" s="3620" t="s">
        <v>479</v>
      </c>
      <c r="Z7" s="3621"/>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20" t="s">
        <v>482</v>
      </c>
      <c r="Q8" s="3621"/>
      <c r="R8" s="1303" t="s">
        <v>5</v>
      </c>
      <c r="S8" s="1304">
        <f t="shared" si="0"/>
        <v>0</v>
      </c>
      <c r="T8" s="1303" t="s">
        <v>5</v>
      </c>
      <c r="U8" s="1304">
        <f t="shared" si="1"/>
        <v>0</v>
      </c>
      <c r="V8" s="1303" t="s">
        <v>5</v>
      </c>
      <c r="W8" s="1304">
        <f t="shared" si="2"/>
        <v>0</v>
      </c>
      <c r="X8" s="1305"/>
      <c r="Y8" s="3620" t="s">
        <v>482</v>
      </c>
      <c r="Z8" s="3621"/>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90" t="s">
        <v>484</v>
      </c>
      <c r="Q9" s="817" t="str">
        <f t="shared" ref="Q9:Q14" si="6">B9</f>
        <v>用途</v>
      </c>
      <c r="R9" s="1303" t="s">
        <v>5</v>
      </c>
      <c r="S9" s="1304">
        <f t="shared" si="0"/>
        <v>100</v>
      </c>
      <c r="T9" s="1303" t="s">
        <v>5</v>
      </c>
      <c r="U9" s="1304">
        <f t="shared" si="1"/>
        <v>100</v>
      </c>
      <c r="V9" s="1303" t="s">
        <v>5</v>
      </c>
      <c r="W9" s="1304">
        <f t="shared" si="2"/>
        <v>100</v>
      </c>
      <c r="X9" s="1305"/>
      <c r="Y9" s="3534"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90"/>
      <c r="Q11" s="817">
        <f t="shared" si="6"/>
        <v>111</v>
      </c>
      <c r="R11" s="1303" t="s">
        <v>5</v>
      </c>
      <c r="S11" s="1304">
        <f t="shared" si="0"/>
        <v>100</v>
      </c>
      <c r="T11" s="1303" t="s">
        <v>5</v>
      </c>
      <c r="U11" s="1304">
        <f t="shared" si="1"/>
        <v>100</v>
      </c>
      <c r="V11" s="1303" t="s">
        <v>5</v>
      </c>
      <c r="W11" s="1304">
        <f t="shared" si="2"/>
        <v>100</v>
      </c>
      <c r="X11" s="1305"/>
      <c r="Y11" s="3534"/>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4"/>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4"/>
      <c r="Z13" s="996">
        <f t="shared" si="7"/>
        <v>111</v>
      </c>
      <c r="AA13" s="996">
        <f t="shared" si="3"/>
        <v>1</v>
      </c>
      <c r="AB13" s="996">
        <f t="shared" si="4"/>
        <v>1</v>
      </c>
      <c r="AC13" s="996">
        <f t="shared" si="5"/>
        <v>1</v>
      </c>
    </row>
    <row r="14" spans="1:29" ht="15">
      <c r="A14" s="2207"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23" t="s">
        <v>489</v>
      </c>
      <c r="Q14" s="1306" t="str">
        <f t="shared" si="6"/>
        <v>交通便捷度</v>
      </c>
      <c r="R14" s="1307" t="s">
        <v>5</v>
      </c>
      <c r="S14" s="1308">
        <f t="shared" si="0"/>
        <v>100</v>
      </c>
      <c r="T14" s="1307" t="s">
        <v>5</v>
      </c>
      <c r="U14" s="1308">
        <f t="shared" si="1"/>
        <v>100</v>
      </c>
      <c r="V14" s="1307" t="s">
        <v>5</v>
      </c>
      <c r="W14" s="1308">
        <f t="shared" si="2"/>
        <v>100</v>
      </c>
      <c r="X14" s="1302"/>
      <c r="Y14" s="3623"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24"/>
      <c r="Q15" s="1306"/>
      <c r="R15" s="1307"/>
      <c r="S15" s="1308"/>
      <c r="T15" s="1307"/>
      <c r="U15" s="1308"/>
      <c r="V15" s="1307"/>
      <c r="W15" s="1308"/>
      <c r="X15" s="1302"/>
      <c r="Y15" s="3624"/>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24"/>
      <c r="Q16" s="1306" t="str">
        <f>B16</f>
        <v>公共配套设施</v>
      </c>
      <c r="R16" s="1307" t="s">
        <v>5</v>
      </c>
      <c r="S16" s="1308">
        <f>F16</f>
        <v>100</v>
      </c>
      <c r="T16" s="1307" t="s">
        <v>5</v>
      </c>
      <c r="U16" s="1308">
        <f>H16</f>
        <v>100</v>
      </c>
      <c r="V16" s="1307" t="s">
        <v>5</v>
      </c>
      <c r="W16" s="1308">
        <f>J16</f>
        <v>100</v>
      </c>
      <c r="X16" s="1302"/>
      <c r="Y16" s="3624"/>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24"/>
      <c r="Q17" s="1306"/>
      <c r="R17" s="1307"/>
      <c r="S17" s="1308"/>
      <c r="T17" s="1307"/>
      <c r="U17" s="1308"/>
      <c r="V17" s="1307"/>
      <c r="W17" s="1308"/>
      <c r="X17" s="1302"/>
      <c r="Y17" s="3624"/>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24"/>
      <c r="Q18" s="1306" t="str">
        <f>B18</f>
        <v>基础设施水平</v>
      </c>
      <c r="R18" s="1307" t="s">
        <v>5</v>
      </c>
      <c r="S18" s="1308">
        <f>F18</f>
        <v>100</v>
      </c>
      <c r="T18" s="1307" t="s">
        <v>5</v>
      </c>
      <c r="U18" s="1308">
        <f>H18</f>
        <v>100</v>
      </c>
      <c r="V18" s="1307" t="s">
        <v>5</v>
      </c>
      <c r="W18" s="1308">
        <f>J18</f>
        <v>100</v>
      </c>
      <c r="X18" s="1302"/>
      <c r="Y18" s="3624"/>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24"/>
      <c r="Q19" s="1306"/>
      <c r="R19" s="1307"/>
      <c r="S19" s="1308"/>
      <c r="T19" s="1307"/>
      <c r="U19" s="1308"/>
      <c r="V19" s="1307"/>
      <c r="W19" s="1308"/>
      <c r="X19" s="1302"/>
      <c r="Y19" s="3624"/>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24"/>
      <c r="Q20" s="1306" t="str">
        <f>B20</f>
        <v>自然及人文环境</v>
      </c>
      <c r="R20" s="1307" t="s">
        <v>5</v>
      </c>
      <c r="S20" s="1308">
        <f>F20</f>
        <v>100</v>
      </c>
      <c r="T20" s="1307" t="s">
        <v>5</v>
      </c>
      <c r="U20" s="1308">
        <f>H20</f>
        <v>100</v>
      </c>
      <c r="V20" s="1307" t="s">
        <v>5</v>
      </c>
      <c r="W20" s="1308">
        <f>J20</f>
        <v>100</v>
      </c>
      <c r="X20" s="1302"/>
      <c r="Y20" s="3624"/>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24"/>
      <c r="Q21" s="1306"/>
      <c r="R21" s="1307"/>
      <c r="S21" s="1308"/>
      <c r="T21" s="1307"/>
      <c r="U21" s="1308"/>
      <c r="V21" s="1307"/>
      <c r="W21" s="1308"/>
      <c r="X21" s="1302"/>
      <c r="Y21" s="3624"/>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24"/>
      <c r="Q22" s="1306" t="str">
        <f>B22</f>
        <v>楼层</v>
      </c>
      <c r="R22" s="1307" t="s">
        <v>5</v>
      </c>
      <c r="S22" s="1308">
        <f>F22</f>
        <v>100</v>
      </c>
      <c r="T22" s="1307" t="s">
        <v>5</v>
      </c>
      <c r="U22" s="1308">
        <f>H22</f>
        <v>100</v>
      </c>
      <c r="V22" s="1307" t="s">
        <v>5</v>
      </c>
      <c r="W22" s="1308">
        <f>J22</f>
        <v>100</v>
      </c>
      <c r="X22" s="1302"/>
      <c r="Y22" s="3624"/>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24"/>
      <c r="Q23" s="1306">
        <f>B23</f>
        <v>111</v>
      </c>
      <c r="R23" s="1307" t="s">
        <v>5</v>
      </c>
      <c r="S23" s="1308">
        <f>F23</f>
        <v>100</v>
      </c>
      <c r="T23" s="1307" t="s">
        <v>5</v>
      </c>
      <c r="U23" s="1308">
        <f>H23</f>
        <v>100</v>
      </c>
      <c r="V23" s="1307" t="s">
        <v>5</v>
      </c>
      <c r="W23" s="1308">
        <f>J23</f>
        <v>100</v>
      </c>
      <c r="X23" s="1302"/>
      <c r="Y23" s="3624"/>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24"/>
      <c r="Q24" s="1306">
        <f t="shared" ref="Q24:Q36" si="8">B24</f>
        <v>111</v>
      </c>
      <c r="R24" s="1307" t="s">
        <v>5</v>
      </c>
      <c r="S24" s="1308">
        <f>F24</f>
        <v>100</v>
      </c>
      <c r="T24" s="1307" t="s">
        <v>5</v>
      </c>
      <c r="U24" s="1308">
        <f>H24</f>
        <v>100</v>
      </c>
      <c r="V24" s="1307" t="s">
        <v>5</v>
      </c>
      <c r="W24" s="1308">
        <f>J24</f>
        <v>100</v>
      </c>
      <c r="X24" s="1302"/>
      <c r="Y24" s="3624"/>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24"/>
      <c r="Q25" s="817">
        <f t="shared" si="8"/>
        <v>111</v>
      </c>
      <c r="R25" s="1303" t="s">
        <v>5</v>
      </c>
      <c r="S25" s="1304">
        <f>F25</f>
        <v>100</v>
      </c>
      <c r="T25" s="1303" t="s">
        <v>5</v>
      </c>
      <c r="U25" s="1304">
        <f>H25</f>
        <v>100</v>
      </c>
      <c r="V25" s="1303" t="s">
        <v>5</v>
      </c>
      <c r="W25" s="1304">
        <f>J25</f>
        <v>100</v>
      </c>
      <c r="X25" s="1305"/>
      <c r="Y25" s="3624"/>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25"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26"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26"/>
      <c r="Q27" s="818" t="str">
        <f t="shared" si="8"/>
        <v>项目停车位配比</v>
      </c>
      <c r="R27" s="1310" t="s">
        <v>5</v>
      </c>
      <c r="S27" s="1311">
        <f t="shared" si="9"/>
        <v>100</v>
      </c>
      <c r="T27" s="1310" t="s">
        <v>5</v>
      </c>
      <c r="U27" s="1311">
        <f t="shared" si="10"/>
        <v>100</v>
      </c>
      <c r="V27" s="1310" t="s">
        <v>5</v>
      </c>
      <c r="W27" s="1311">
        <f t="shared" si="11"/>
        <v>100</v>
      </c>
      <c r="X27" s="1312"/>
      <c r="Y27" s="3626"/>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26"/>
      <c r="Q28" s="1306" t="str">
        <f t="shared" si="8"/>
        <v>公共部分装修</v>
      </c>
      <c r="R28" s="1307" t="s">
        <v>5</v>
      </c>
      <c r="S28" s="1308">
        <f t="shared" si="9"/>
        <v>100</v>
      </c>
      <c r="T28" s="1307" t="s">
        <v>5</v>
      </c>
      <c r="U28" s="1308">
        <f t="shared" si="10"/>
        <v>100</v>
      </c>
      <c r="V28" s="1307" t="s">
        <v>5</v>
      </c>
      <c r="W28" s="1308">
        <f t="shared" si="11"/>
        <v>100</v>
      </c>
      <c r="X28" s="1302"/>
      <c r="Y28" s="3626"/>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26"/>
      <c r="Q29" s="1306" t="str">
        <f t="shared" si="8"/>
        <v>成新率</v>
      </c>
      <c r="R29" s="1307" t="s">
        <v>5</v>
      </c>
      <c r="S29" s="1308" t="e">
        <f t="shared" si="9"/>
        <v>#N/A</v>
      </c>
      <c r="T29" s="1307" t="s">
        <v>5</v>
      </c>
      <c r="U29" s="1308" t="e">
        <f t="shared" si="10"/>
        <v>#N/A</v>
      </c>
      <c r="V29" s="1307" t="s">
        <v>5</v>
      </c>
      <c r="W29" s="1308" t="e">
        <f t="shared" si="11"/>
        <v>#N/A</v>
      </c>
      <c r="X29" s="1302"/>
      <c r="Y29" s="3626"/>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26"/>
      <c r="Q30" s="1306" t="str">
        <f t="shared" si="8"/>
        <v>物业等级</v>
      </c>
      <c r="R30" s="1307" t="s">
        <v>5</v>
      </c>
      <c r="S30" s="1308">
        <f t="shared" si="9"/>
        <v>100</v>
      </c>
      <c r="T30" s="1307" t="s">
        <v>5</v>
      </c>
      <c r="U30" s="1308">
        <f t="shared" si="10"/>
        <v>100</v>
      </c>
      <c r="V30" s="1307" t="s">
        <v>5</v>
      </c>
      <c r="W30" s="1308">
        <f t="shared" si="11"/>
        <v>100</v>
      </c>
      <c r="X30" s="1302"/>
      <c r="Y30" s="3626"/>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26"/>
      <c r="Q31" s="817" t="str">
        <f t="shared" si="8"/>
        <v>停车位面积</v>
      </c>
      <c r="R31" s="1303" t="s">
        <v>5</v>
      </c>
      <c r="S31" s="1304" t="e">
        <f t="shared" si="9"/>
        <v>#N/A</v>
      </c>
      <c r="T31" s="1303" t="s">
        <v>5</v>
      </c>
      <c r="U31" s="1304" t="e">
        <f t="shared" si="10"/>
        <v>#N/A</v>
      </c>
      <c r="V31" s="1303" t="s">
        <v>5</v>
      </c>
      <c r="W31" s="1304" t="e">
        <f t="shared" si="11"/>
        <v>#N/A</v>
      </c>
      <c r="X31" s="1305"/>
      <c r="Y31" s="3626"/>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26" t="s">
        <v>499</v>
      </c>
      <c r="Q32" s="1306" t="str">
        <f t="shared" si="8"/>
        <v>车位类型</v>
      </c>
      <c r="R32" s="1307" t="s">
        <v>5</v>
      </c>
      <c r="S32" s="1308">
        <f t="shared" si="9"/>
        <v>100</v>
      </c>
      <c r="T32" s="1307" t="s">
        <v>5</v>
      </c>
      <c r="U32" s="1308">
        <f t="shared" si="10"/>
        <v>100</v>
      </c>
      <c r="V32" s="1307" t="s">
        <v>5</v>
      </c>
      <c r="W32" s="1308">
        <f t="shared" si="11"/>
        <v>100</v>
      </c>
      <c r="X32" s="1302"/>
      <c r="Y32" s="3626"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26"/>
      <c r="Q33" s="1306" t="str">
        <f t="shared" si="8"/>
        <v>是否直接入户</v>
      </c>
      <c r="R33" s="1307" t="s">
        <v>5</v>
      </c>
      <c r="S33" s="1308">
        <f t="shared" si="9"/>
        <v>100</v>
      </c>
      <c r="T33" s="1307" t="s">
        <v>5</v>
      </c>
      <c r="U33" s="1308">
        <f t="shared" si="10"/>
        <v>100</v>
      </c>
      <c r="V33" s="1307" t="s">
        <v>5</v>
      </c>
      <c r="W33" s="1308">
        <f t="shared" si="11"/>
        <v>100</v>
      </c>
      <c r="X33" s="1302"/>
      <c r="Y33" s="3626"/>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26"/>
      <c r="Q34" s="1306">
        <f t="shared" si="8"/>
        <v>111</v>
      </c>
      <c r="R34" s="1307" t="s">
        <v>5</v>
      </c>
      <c r="S34" s="1308">
        <f t="shared" si="9"/>
        <v>100</v>
      </c>
      <c r="T34" s="1307" t="s">
        <v>5</v>
      </c>
      <c r="U34" s="1308">
        <f t="shared" si="10"/>
        <v>100</v>
      </c>
      <c r="V34" s="1307" t="s">
        <v>5</v>
      </c>
      <c r="W34" s="1308">
        <f t="shared" si="11"/>
        <v>100</v>
      </c>
      <c r="X34" s="1302"/>
      <c r="Y34" s="3626"/>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26"/>
      <c r="Q35" s="818">
        <f t="shared" si="8"/>
        <v>111</v>
      </c>
      <c r="R35" s="1310" t="s">
        <v>5</v>
      </c>
      <c r="S35" s="1311">
        <f t="shared" si="9"/>
        <v>100</v>
      </c>
      <c r="T35" s="1310" t="s">
        <v>5</v>
      </c>
      <c r="U35" s="1311">
        <f t="shared" si="10"/>
        <v>100</v>
      </c>
      <c r="V35" s="1310" t="s">
        <v>5</v>
      </c>
      <c r="W35" s="1311">
        <f t="shared" si="11"/>
        <v>100</v>
      </c>
      <c r="X35" s="1312"/>
      <c r="Y35" s="3626"/>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26"/>
      <c r="Q36" s="1306">
        <f t="shared" si="8"/>
        <v>111</v>
      </c>
      <c r="R36" s="1307" t="s">
        <v>5</v>
      </c>
      <c r="S36" s="1308">
        <f t="shared" si="9"/>
        <v>100</v>
      </c>
      <c r="T36" s="1307" t="s">
        <v>5</v>
      </c>
      <c r="U36" s="1308">
        <f t="shared" si="10"/>
        <v>100</v>
      </c>
      <c r="V36" s="1307" t="s">
        <v>5</v>
      </c>
      <c r="W36" s="1308">
        <f t="shared" si="11"/>
        <v>100</v>
      </c>
      <c r="X36" s="1302"/>
      <c r="Y36" s="3626"/>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90" t="str">
        <f>A37</f>
        <v>成交单价</v>
      </c>
      <c r="Q37" s="3590"/>
      <c r="R37" s="3591">
        <f>E37</f>
        <v>0</v>
      </c>
      <c r="S37" s="3591"/>
      <c r="T37" s="3591">
        <f>G37</f>
        <v>0</v>
      </c>
      <c r="U37" s="3591"/>
      <c r="V37" s="3591">
        <f>I37</f>
        <v>0</v>
      </c>
      <c r="W37" s="3591"/>
      <c r="X37" s="799"/>
      <c r="Y37" s="1314"/>
      <c r="Z37" s="799"/>
      <c r="AA37" s="799"/>
      <c r="AB37" s="799"/>
      <c r="AC37" s="799"/>
    </row>
    <row r="38" spans="1:29" ht="15.75" thickBot="1">
      <c r="A38" s="564" t="s">
        <v>2042</v>
      </c>
      <c r="B38" s="812"/>
      <c r="C38" s="2082" t="e">
        <f>R39</f>
        <v>#DIV/0!</v>
      </c>
      <c r="D38" s="2550" t="s">
        <v>2251</v>
      </c>
      <c r="E38" s="2083" t="e">
        <f>R38</f>
        <v>#DIV/0!</v>
      </c>
      <c r="F38" s="2551"/>
      <c r="G38" s="2082" t="e">
        <f>T38</f>
        <v>#DIV/0!</v>
      </c>
      <c r="H38" s="2551"/>
      <c r="I38" s="2083" t="e">
        <f>V38</f>
        <v>#DIV/0!</v>
      </c>
      <c r="J38" s="2551"/>
      <c r="K38" s="2558">
        <f>F38+H38+J38</f>
        <v>0</v>
      </c>
      <c r="L38" s="1751"/>
      <c r="M38" s="1742"/>
      <c r="N38" s="1742"/>
      <c r="O38" s="1742"/>
      <c r="P38" s="3590" t="str">
        <f>A38</f>
        <v>比较价格（元/平方米）</v>
      </c>
      <c r="Q38" s="3590"/>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799"/>
      <c r="Y38" s="799"/>
      <c r="Z38" s="799"/>
      <c r="AA38" s="799"/>
      <c r="AB38" s="799"/>
      <c r="AC38" s="799"/>
    </row>
    <row r="39" spans="1:29" ht="15.75" thickBot="1">
      <c r="A39" s="568" t="s">
        <v>2188</v>
      </c>
      <c r="B39" s="569"/>
      <c r="C39" s="469" t="e">
        <f>R39</f>
        <v>#DIV/0!</v>
      </c>
      <c r="D39" s="469"/>
      <c r="E39" s="469"/>
      <c r="F39" s="469"/>
      <c r="G39" s="469"/>
      <c r="H39" s="469"/>
      <c r="I39" s="469"/>
      <c r="J39" s="469"/>
      <c r="K39" s="1336"/>
      <c r="L39" s="1751"/>
      <c r="M39" s="1742"/>
      <c r="N39" s="1742"/>
      <c r="O39" s="1742"/>
      <c r="P39" s="3627" t="str">
        <f>A39</f>
        <v>估价对象XX用房的比较价格（楼面单价，元/平方米）</v>
      </c>
      <c r="Q39" s="3628"/>
      <c r="R39" s="3715" t="e">
        <f>IF(F1="售价",ROUND(IF(D38="简单平均",AVERAGE(R38:W38),R38*F38+T38*H38+V38*J38),0),ROUND(IF(D38="简单平均",AVERAGE(R38:V38),R38*F38+T38*H38+V38*J38),1))</f>
        <v>#DIV/0!</v>
      </c>
      <c r="S39" s="3715"/>
      <c r="T39" s="3715"/>
      <c r="U39" s="3715"/>
      <c r="V39" s="3715"/>
      <c r="W39" s="3715"/>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2025-6</v>
      </c>
      <c r="D48" s="2115">
        <f>EDATE(C48,-1)</f>
        <v>45778</v>
      </c>
      <c r="E48" s="2115">
        <f t="shared" ref="E48:O48" si="13">EDATE(D48,-1)</f>
        <v>45748</v>
      </c>
      <c r="F48" s="2115">
        <f t="shared" si="13"/>
        <v>45717</v>
      </c>
      <c r="G48" s="2115">
        <f t="shared" si="13"/>
        <v>45689</v>
      </c>
      <c r="H48" s="2115">
        <f t="shared" si="13"/>
        <v>45658</v>
      </c>
      <c r="I48" s="2115">
        <f t="shared" si="13"/>
        <v>45627</v>
      </c>
      <c r="J48" s="2115">
        <f t="shared" si="13"/>
        <v>45597</v>
      </c>
      <c r="K48" s="2115">
        <f t="shared" si="13"/>
        <v>45566</v>
      </c>
      <c r="L48" s="2115">
        <f t="shared" si="13"/>
        <v>45536</v>
      </c>
      <c r="M48" s="2115">
        <f t="shared" si="13"/>
        <v>45505</v>
      </c>
      <c r="N48" s="2115">
        <f t="shared" si="13"/>
        <v>45474</v>
      </c>
      <c r="O48" s="2115">
        <f t="shared" si="13"/>
        <v>45444</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596" t="s">
        <v>738</v>
      </c>
      <c r="D4" s="3597"/>
      <c r="E4" s="3631" t="s">
        <v>739</v>
      </c>
      <c r="F4" s="3632"/>
      <c r="G4" s="3596" t="s">
        <v>740</v>
      </c>
      <c r="H4" s="3597"/>
      <c r="I4" s="3596" t="s">
        <v>741</v>
      </c>
      <c r="J4" s="3597"/>
      <c r="K4" s="465" t="s">
        <v>742</v>
      </c>
      <c r="L4" s="1741"/>
      <c r="M4" s="1742"/>
      <c r="N4" s="1742"/>
      <c r="O4" s="1742"/>
      <c r="P4" s="3598" t="s">
        <v>743</v>
      </c>
      <c r="Q4" s="3599"/>
      <c r="R4" s="3604" t="s">
        <v>739</v>
      </c>
      <c r="S4" s="3605"/>
      <c r="T4" s="3604" t="s">
        <v>740</v>
      </c>
      <c r="U4" s="3605"/>
      <c r="V4" s="3591" t="s">
        <v>741</v>
      </c>
      <c r="W4" s="3591"/>
      <c r="X4" s="1302"/>
      <c r="Y4" s="3604" t="s">
        <v>743</v>
      </c>
      <c r="Z4" s="3605"/>
      <c r="AA4" s="3593" t="s">
        <v>739</v>
      </c>
      <c r="AB4" s="3594" t="s">
        <v>740</v>
      </c>
      <c r="AC4" s="3593" t="s">
        <v>741</v>
      </c>
    </row>
    <row r="5" spans="1:29" ht="15">
      <c r="A5" s="466"/>
      <c r="B5" s="467"/>
      <c r="C5" s="3612" t="s">
        <v>2182</v>
      </c>
      <c r="D5" s="3613"/>
      <c r="E5" s="3633" t="s">
        <v>2183</v>
      </c>
      <c r="F5" s="3634"/>
      <c r="G5" s="3612" t="s">
        <v>2184</v>
      </c>
      <c r="H5" s="3613"/>
      <c r="I5" s="3612" t="s">
        <v>2185</v>
      </c>
      <c r="J5" s="3613"/>
      <c r="K5" s="465"/>
      <c r="L5" s="1741"/>
      <c r="M5" s="1742"/>
      <c r="N5" s="1742"/>
      <c r="O5" s="1742"/>
      <c r="P5" s="3600"/>
      <c r="Q5" s="3601"/>
      <c r="R5" s="3606"/>
      <c r="S5" s="3607"/>
      <c r="T5" s="3606"/>
      <c r="U5" s="3607"/>
      <c r="V5" s="3591"/>
      <c r="W5" s="3591"/>
      <c r="X5" s="1302"/>
      <c r="Y5" s="3606"/>
      <c r="Z5" s="3607"/>
      <c r="AA5" s="3594"/>
      <c r="AB5" s="3594"/>
      <c r="AC5" s="3594"/>
    </row>
    <row r="6" spans="1:29" ht="15.75" thickBot="1">
      <c r="A6" s="468"/>
      <c r="B6" s="469"/>
      <c r="C6" s="3610" t="s">
        <v>2186</v>
      </c>
      <c r="D6" s="3611"/>
      <c r="E6" s="3629" t="s">
        <v>2186</v>
      </c>
      <c r="F6" s="3630"/>
      <c r="G6" s="3610" t="s">
        <v>2186</v>
      </c>
      <c r="H6" s="3611"/>
      <c r="I6" s="3610" t="s">
        <v>2186</v>
      </c>
      <c r="J6" s="3611"/>
      <c r="K6" s="465" t="s">
        <v>477</v>
      </c>
      <c r="L6" s="1741"/>
      <c r="M6" s="1742"/>
      <c r="N6" s="1742"/>
      <c r="O6" s="1742"/>
      <c r="P6" s="3602"/>
      <c r="Q6" s="3603"/>
      <c r="R6" s="3606"/>
      <c r="S6" s="3607"/>
      <c r="T6" s="3608"/>
      <c r="U6" s="3609"/>
      <c r="V6" s="3591"/>
      <c r="W6" s="3591"/>
      <c r="X6" s="1302"/>
      <c r="Y6" s="3608"/>
      <c r="Z6" s="3609"/>
      <c r="AA6" s="3595"/>
      <c r="AB6" s="3595"/>
      <c r="AC6" s="3595"/>
    </row>
    <row r="7" spans="1:29" s="1059" customFormat="1" ht="15.75" thickBot="1">
      <c r="A7" s="2209"/>
      <c r="B7" s="2216" t="s">
        <v>478</v>
      </c>
      <c r="C7" s="470">
        <f>'数据-取费表'!B2</f>
        <v>45817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20" t="s">
        <v>479</v>
      </c>
      <c r="Q7" s="3622"/>
      <c r="R7" s="1303" t="s">
        <v>5</v>
      </c>
      <c r="S7" s="1304">
        <f t="shared" ref="S7:S14" si="0">F7</f>
        <v>0</v>
      </c>
      <c r="T7" s="1303" t="s">
        <v>5</v>
      </c>
      <c r="U7" s="1304">
        <f t="shared" ref="U7:U14" si="1">H7</f>
        <v>0</v>
      </c>
      <c r="V7" s="1303" t="s">
        <v>5</v>
      </c>
      <c r="W7" s="1304">
        <f t="shared" ref="W7:W14" si="2">J7</f>
        <v>0</v>
      </c>
      <c r="X7" s="1305"/>
      <c r="Y7" s="3620" t="s">
        <v>479</v>
      </c>
      <c r="Z7" s="3621"/>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20" t="s">
        <v>482</v>
      </c>
      <c r="Q8" s="3621"/>
      <c r="R8" s="1303" t="s">
        <v>5</v>
      </c>
      <c r="S8" s="1304">
        <f t="shared" si="0"/>
        <v>0</v>
      </c>
      <c r="T8" s="1303" t="s">
        <v>5</v>
      </c>
      <c r="U8" s="1304">
        <f t="shared" si="1"/>
        <v>0</v>
      </c>
      <c r="V8" s="1303" t="s">
        <v>5</v>
      </c>
      <c r="W8" s="1304">
        <f t="shared" si="2"/>
        <v>0</v>
      </c>
      <c r="X8" s="1305"/>
      <c r="Y8" s="3620" t="s">
        <v>482</v>
      </c>
      <c r="Z8" s="3621"/>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90" t="s">
        <v>484</v>
      </c>
      <c r="Q9" s="817" t="str">
        <f t="shared" ref="Q9:Q14" si="6">B9</f>
        <v>用途</v>
      </c>
      <c r="R9" s="1303" t="s">
        <v>5</v>
      </c>
      <c r="S9" s="1304">
        <f t="shared" si="0"/>
        <v>100</v>
      </c>
      <c r="T9" s="1303" t="s">
        <v>5</v>
      </c>
      <c r="U9" s="1304">
        <f t="shared" si="1"/>
        <v>100</v>
      </c>
      <c r="V9" s="1303" t="s">
        <v>5</v>
      </c>
      <c r="W9" s="1304">
        <f t="shared" si="2"/>
        <v>100</v>
      </c>
      <c r="X9" s="1305"/>
      <c r="Y9" s="3534"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90"/>
      <c r="Q10" s="817" t="str">
        <f t="shared" si="6"/>
        <v>土地使用年限（年）</v>
      </c>
      <c r="R10" s="1303" t="s">
        <v>5</v>
      </c>
      <c r="S10" s="1304">
        <f t="shared" si="0"/>
        <v>100</v>
      </c>
      <c r="T10" s="1303" t="s">
        <v>5</v>
      </c>
      <c r="U10" s="1304">
        <f t="shared" si="1"/>
        <v>100</v>
      </c>
      <c r="V10" s="1303" t="s">
        <v>5</v>
      </c>
      <c r="W10" s="1304">
        <f t="shared" si="2"/>
        <v>100</v>
      </c>
      <c r="X10" s="1305"/>
      <c r="Y10" s="3534"/>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590"/>
      <c r="Q11" s="817">
        <f t="shared" si="6"/>
        <v>111</v>
      </c>
      <c r="R11" s="1303" t="s">
        <v>5</v>
      </c>
      <c r="S11" s="1304">
        <f t="shared" si="0"/>
        <v>100</v>
      </c>
      <c r="T11" s="1303" t="s">
        <v>5</v>
      </c>
      <c r="U11" s="1304">
        <f t="shared" si="1"/>
        <v>100</v>
      </c>
      <c r="V11" s="1303" t="s">
        <v>5</v>
      </c>
      <c r="W11" s="1304">
        <f t="shared" si="2"/>
        <v>100</v>
      </c>
      <c r="X11" s="1305"/>
      <c r="Y11" s="3534"/>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590"/>
      <c r="Q12" s="817">
        <f t="shared" si="6"/>
        <v>111</v>
      </c>
      <c r="R12" s="1303" t="s">
        <v>5</v>
      </c>
      <c r="S12" s="1304">
        <f t="shared" si="0"/>
        <v>100</v>
      </c>
      <c r="T12" s="1303" t="s">
        <v>5</v>
      </c>
      <c r="U12" s="1304">
        <f t="shared" si="1"/>
        <v>100</v>
      </c>
      <c r="V12" s="1303" t="s">
        <v>5</v>
      </c>
      <c r="W12" s="1304">
        <f t="shared" si="2"/>
        <v>100</v>
      </c>
      <c r="X12" s="1305"/>
      <c r="Y12" s="3534"/>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590"/>
      <c r="Q13" s="817">
        <f t="shared" si="6"/>
        <v>111</v>
      </c>
      <c r="R13" s="1303" t="s">
        <v>5</v>
      </c>
      <c r="S13" s="1304">
        <f t="shared" si="0"/>
        <v>100</v>
      </c>
      <c r="T13" s="1303" t="s">
        <v>5</v>
      </c>
      <c r="U13" s="1304">
        <f t="shared" si="1"/>
        <v>100</v>
      </c>
      <c r="V13" s="1303" t="s">
        <v>5</v>
      </c>
      <c r="W13" s="1304">
        <f t="shared" si="2"/>
        <v>100</v>
      </c>
      <c r="X13" s="1305"/>
      <c r="Y13" s="3534"/>
      <c r="Z13" s="996">
        <f t="shared" si="7"/>
        <v>111</v>
      </c>
      <c r="AA13" s="996">
        <f t="shared" si="3"/>
        <v>1</v>
      </c>
      <c r="AB13" s="996">
        <f t="shared" si="4"/>
        <v>1</v>
      </c>
      <c r="AC13" s="996">
        <f t="shared" si="5"/>
        <v>1</v>
      </c>
    </row>
    <row r="14" spans="1:29" ht="15">
      <c r="A14" s="2207"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23" t="s">
        <v>489</v>
      </c>
      <c r="Q14" s="1306" t="str">
        <f t="shared" si="6"/>
        <v>交通便捷度</v>
      </c>
      <c r="R14" s="1307" t="s">
        <v>5</v>
      </c>
      <c r="S14" s="1308">
        <f t="shared" si="0"/>
        <v>100</v>
      </c>
      <c r="T14" s="1307" t="s">
        <v>5</v>
      </c>
      <c r="U14" s="1308">
        <f t="shared" si="1"/>
        <v>100</v>
      </c>
      <c r="V14" s="1307" t="s">
        <v>5</v>
      </c>
      <c r="W14" s="1308">
        <f t="shared" si="2"/>
        <v>100</v>
      </c>
      <c r="X14" s="1302"/>
      <c r="Y14" s="3623"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24"/>
      <c r="Q15" s="1306"/>
      <c r="R15" s="1307"/>
      <c r="S15" s="1308"/>
      <c r="T15" s="1307"/>
      <c r="U15" s="1308"/>
      <c r="V15" s="1307"/>
      <c r="W15" s="1308"/>
      <c r="X15" s="1302"/>
      <c r="Y15" s="3624"/>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24"/>
      <c r="Q16" s="1306" t="str">
        <f>B16</f>
        <v>公共配套设施</v>
      </c>
      <c r="R16" s="1307" t="s">
        <v>5</v>
      </c>
      <c r="S16" s="1308">
        <f>F16</f>
        <v>100</v>
      </c>
      <c r="T16" s="1307" t="s">
        <v>5</v>
      </c>
      <c r="U16" s="1308">
        <f>H16</f>
        <v>100</v>
      </c>
      <c r="V16" s="1307" t="s">
        <v>5</v>
      </c>
      <c r="W16" s="1308">
        <f>J16</f>
        <v>100</v>
      </c>
      <c r="X16" s="1302"/>
      <c r="Y16" s="3624"/>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24"/>
      <c r="Q17" s="1306"/>
      <c r="R17" s="1307"/>
      <c r="S17" s="1308"/>
      <c r="T17" s="1307"/>
      <c r="U17" s="1308"/>
      <c r="V17" s="1307"/>
      <c r="W17" s="1308"/>
      <c r="X17" s="1302"/>
      <c r="Y17" s="3624"/>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24"/>
      <c r="Q18" s="1306" t="str">
        <f>B18</f>
        <v>基础设施水平</v>
      </c>
      <c r="R18" s="1307" t="s">
        <v>5</v>
      </c>
      <c r="S18" s="1308">
        <f>F18</f>
        <v>100</v>
      </c>
      <c r="T18" s="1307" t="s">
        <v>5</v>
      </c>
      <c r="U18" s="1308">
        <f>H18</f>
        <v>100</v>
      </c>
      <c r="V18" s="1307" t="s">
        <v>5</v>
      </c>
      <c r="W18" s="1308">
        <f>J18</f>
        <v>100</v>
      </c>
      <c r="X18" s="1302"/>
      <c r="Y18" s="3624"/>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24"/>
      <c r="Q19" s="1306"/>
      <c r="R19" s="1307"/>
      <c r="S19" s="1308"/>
      <c r="T19" s="1307"/>
      <c r="U19" s="1308"/>
      <c r="V19" s="1307"/>
      <c r="W19" s="1308"/>
      <c r="X19" s="1302"/>
      <c r="Y19" s="3624"/>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24"/>
      <c r="Q20" s="1306" t="str">
        <f>B20</f>
        <v>自然及人文环境</v>
      </c>
      <c r="R20" s="1307" t="s">
        <v>5</v>
      </c>
      <c r="S20" s="1308">
        <f>F20</f>
        <v>100</v>
      </c>
      <c r="T20" s="1307" t="s">
        <v>5</v>
      </c>
      <c r="U20" s="1308">
        <f>H20</f>
        <v>100</v>
      </c>
      <c r="V20" s="1307" t="s">
        <v>5</v>
      </c>
      <c r="W20" s="1308">
        <f>J20</f>
        <v>100</v>
      </c>
      <c r="X20" s="1302"/>
      <c r="Y20" s="3624"/>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24"/>
      <c r="Q21" s="1306"/>
      <c r="R21" s="1307"/>
      <c r="S21" s="1308"/>
      <c r="T21" s="1307"/>
      <c r="U21" s="1308"/>
      <c r="V21" s="1307"/>
      <c r="W21" s="1308"/>
      <c r="X21" s="1302"/>
      <c r="Y21" s="3624"/>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24"/>
      <c r="Q22" s="1306" t="str">
        <f>B22</f>
        <v>楼层</v>
      </c>
      <c r="R22" s="1307" t="s">
        <v>5</v>
      </c>
      <c r="S22" s="1308">
        <f>F22</f>
        <v>100</v>
      </c>
      <c r="T22" s="1307" t="s">
        <v>5</v>
      </c>
      <c r="U22" s="1308">
        <f>H22</f>
        <v>100</v>
      </c>
      <c r="V22" s="1307" t="s">
        <v>5</v>
      </c>
      <c r="W22" s="1308">
        <f>J22</f>
        <v>100</v>
      </c>
      <c r="X22" s="1302"/>
      <c r="Y22" s="3624"/>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24"/>
      <c r="Q23" s="1306">
        <f>B23</f>
        <v>111</v>
      </c>
      <c r="R23" s="1307" t="s">
        <v>5</v>
      </c>
      <c r="S23" s="1308">
        <f>F23</f>
        <v>100</v>
      </c>
      <c r="T23" s="1307" t="s">
        <v>5</v>
      </c>
      <c r="U23" s="1308">
        <f>H23</f>
        <v>100</v>
      </c>
      <c r="V23" s="1307" t="s">
        <v>5</v>
      </c>
      <c r="W23" s="1308">
        <f>J23</f>
        <v>100</v>
      </c>
      <c r="X23" s="1302"/>
      <c r="Y23" s="3624"/>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24"/>
      <c r="Q24" s="1306">
        <f t="shared" ref="Q24:Q34" si="8">B24</f>
        <v>111</v>
      </c>
      <c r="R24" s="1307" t="s">
        <v>5</v>
      </c>
      <c r="S24" s="1308">
        <f>F24</f>
        <v>100</v>
      </c>
      <c r="T24" s="1307" t="s">
        <v>5</v>
      </c>
      <c r="U24" s="1308">
        <f>H24</f>
        <v>100</v>
      </c>
      <c r="V24" s="1307" t="s">
        <v>5</v>
      </c>
      <c r="W24" s="1308">
        <f>J24</f>
        <v>100</v>
      </c>
      <c r="X24" s="1302"/>
      <c r="Y24" s="3624"/>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24"/>
      <c r="Q25" s="817">
        <f t="shared" si="8"/>
        <v>111</v>
      </c>
      <c r="R25" s="1303" t="s">
        <v>5</v>
      </c>
      <c r="S25" s="1304">
        <f>F25</f>
        <v>100</v>
      </c>
      <c r="T25" s="1303" t="s">
        <v>5</v>
      </c>
      <c r="U25" s="1304">
        <f>H25</f>
        <v>100</v>
      </c>
      <c r="V25" s="1303" t="s">
        <v>5</v>
      </c>
      <c r="W25" s="1304">
        <f>J25</f>
        <v>100</v>
      </c>
      <c r="X25" s="1305"/>
      <c r="Y25" s="3624"/>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25"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26"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26"/>
      <c r="Q27" s="818" t="str">
        <f t="shared" si="8"/>
        <v>成新率</v>
      </c>
      <c r="R27" s="1310" t="s">
        <v>5</v>
      </c>
      <c r="S27" s="1311" t="e">
        <f t="shared" si="9"/>
        <v>#N/A</v>
      </c>
      <c r="T27" s="1310" t="s">
        <v>5</v>
      </c>
      <c r="U27" s="1311" t="e">
        <f t="shared" si="10"/>
        <v>#N/A</v>
      </c>
      <c r="V27" s="1310" t="s">
        <v>5</v>
      </c>
      <c r="W27" s="1311" t="e">
        <f t="shared" si="11"/>
        <v>#N/A</v>
      </c>
      <c r="X27" s="1312"/>
      <c r="Y27" s="3626"/>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26"/>
      <c r="Q28" s="1306" t="str">
        <f t="shared" si="8"/>
        <v>物业等级</v>
      </c>
      <c r="R28" s="1307" t="s">
        <v>5</v>
      </c>
      <c r="S28" s="1308">
        <f t="shared" si="9"/>
        <v>100</v>
      </c>
      <c r="T28" s="1307" t="s">
        <v>5</v>
      </c>
      <c r="U28" s="1308">
        <f t="shared" si="10"/>
        <v>100</v>
      </c>
      <c r="V28" s="1307" t="s">
        <v>5</v>
      </c>
      <c r="W28" s="1308">
        <f t="shared" si="11"/>
        <v>100</v>
      </c>
      <c r="X28" s="1302"/>
      <c r="Y28" s="3626"/>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26"/>
      <c r="Q29" s="1306" t="str">
        <f t="shared" si="8"/>
        <v>有无电梯</v>
      </c>
      <c r="R29" s="1307" t="s">
        <v>5</v>
      </c>
      <c r="S29" s="1308">
        <f t="shared" si="9"/>
        <v>100</v>
      </c>
      <c r="T29" s="1307" t="s">
        <v>5</v>
      </c>
      <c r="U29" s="1308">
        <f t="shared" si="10"/>
        <v>100</v>
      </c>
      <c r="V29" s="1307" t="s">
        <v>5</v>
      </c>
      <c r="W29" s="1308">
        <f t="shared" si="11"/>
        <v>100</v>
      </c>
      <c r="X29" s="1302"/>
      <c r="Y29" s="3626"/>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26"/>
      <c r="Q30" s="1306" t="str">
        <f t="shared" si="8"/>
        <v>建筑面积</v>
      </c>
      <c r="R30" s="1307" t="s">
        <v>5</v>
      </c>
      <c r="S30" s="1308" t="e">
        <f t="shared" si="9"/>
        <v>#N/A</v>
      </c>
      <c r="T30" s="1307" t="s">
        <v>5</v>
      </c>
      <c r="U30" s="1308" t="e">
        <f t="shared" si="10"/>
        <v>#N/A</v>
      </c>
      <c r="V30" s="1307" t="s">
        <v>5</v>
      </c>
      <c r="W30" s="1308" t="e">
        <f t="shared" si="11"/>
        <v>#N/A</v>
      </c>
      <c r="X30" s="1302"/>
      <c r="Y30" s="3626"/>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26"/>
      <c r="Q31" s="817" t="str">
        <f t="shared" si="8"/>
        <v>是否封闭</v>
      </c>
      <c r="R31" s="1303" t="s">
        <v>5</v>
      </c>
      <c r="S31" s="1304">
        <f t="shared" si="9"/>
        <v>100</v>
      </c>
      <c r="T31" s="1303" t="s">
        <v>5</v>
      </c>
      <c r="U31" s="1304">
        <f t="shared" si="10"/>
        <v>100</v>
      </c>
      <c r="V31" s="1303" t="s">
        <v>5</v>
      </c>
      <c r="W31" s="1304">
        <f t="shared" si="11"/>
        <v>100</v>
      </c>
      <c r="X31" s="1305"/>
      <c r="Y31" s="3626"/>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26" t="s">
        <v>499</v>
      </c>
      <c r="Q32" s="1306">
        <f t="shared" si="8"/>
        <v>111</v>
      </c>
      <c r="R32" s="1307" t="s">
        <v>5</v>
      </c>
      <c r="S32" s="1308">
        <f t="shared" si="9"/>
        <v>100</v>
      </c>
      <c r="T32" s="1307" t="s">
        <v>5</v>
      </c>
      <c r="U32" s="1308">
        <f t="shared" si="10"/>
        <v>100</v>
      </c>
      <c r="V32" s="1307" t="s">
        <v>5</v>
      </c>
      <c r="W32" s="1308">
        <f t="shared" si="11"/>
        <v>100</v>
      </c>
      <c r="X32" s="1302"/>
      <c r="Y32" s="3626"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26"/>
      <c r="Q33" s="1306">
        <f t="shared" si="8"/>
        <v>111</v>
      </c>
      <c r="R33" s="1307" t="s">
        <v>5</v>
      </c>
      <c r="S33" s="1308">
        <f t="shared" si="9"/>
        <v>100</v>
      </c>
      <c r="T33" s="1307" t="s">
        <v>5</v>
      </c>
      <c r="U33" s="1308">
        <f t="shared" si="10"/>
        <v>100</v>
      </c>
      <c r="V33" s="1307" t="s">
        <v>5</v>
      </c>
      <c r="W33" s="1308">
        <f t="shared" si="11"/>
        <v>100</v>
      </c>
      <c r="X33" s="1302"/>
      <c r="Y33" s="3626"/>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26"/>
      <c r="Q34" s="1306">
        <f t="shared" si="8"/>
        <v>111</v>
      </c>
      <c r="R34" s="1307" t="s">
        <v>5</v>
      </c>
      <c r="S34" s="1308">
        <f t="shared" si="9"/>
        <v>100</v>
      </c>
      <c r="T34" s="1307" t="s">
        <v>5</v>
      </c>
      <c r="U34" s="1308">
        <f t="shared" si="10"/>
        <v>100</v>
      </c>
      <c r="V34" s="1307" t="s">
        <v>5</v>
      </c>
      <c r="W34" s="1308">
        <f t="shared" si="11"/>
        <v>100</v>
      </c>
      <c r="X34" s="1302"/>
      <c r="Y34" s="3626"/>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590" t="str">
        <f>A35</f>
        <v>成交单价（元/平方米）</v>
      </c>
      <c r="Q35" s="3590"/>
      <c r="R35" s="3591">
        <f>E35</f>
        <v>0</v>
      </c>
      <c r="S35" s="3591"/>
      <c r="T35" s="3591">
        <f>G35</f>
        <v>0</v>
      </c>
      <c r="U35" s="3591"/>
      <c r="V35" s="3591">
        <f>I35</f>
        <v>0</v>
      </c>
      <c r="W35" s="3591"/>
      <c r="X35" s="799"/>
      <c r="Y35" s="1314"/>
      <c r="Z35" s="799"/>
      <c r="AA35" s="799"/>
      <c r="AB35" s="799"/>
      <c r="AC35" s="799"/>
    </row>
    <row r="36" spans="1:29" ht="15.75" thickBot="1">
      <c r="A36" s="564" t="s">
        <v>2042</v>
      </c>
      <c r="B36" s="812"/>
      <c r="C36" s="2082" t="e">
        <f>R37</f>
        <v>#DIV/0!</v>
      </c>
      <c r="D36" s="2550" t="s">
        <v>2252</v>
      </c>
      <c r="E36" s="2083" t="e">
        <f>R36</f>
        <v>#DIV/0!</v>
      </c>
      <c r="F36" s="2551"/>
      <c r="G36" s="2082" t="e">
        <f>T36</f>
        <v>#DIV/0!</v>
      </c>
      <c r="H36" s="2551"/>
      <c r="I36" s="2083" t="e">
        <f>V36</f>
        <v>#DIV/0!</v>
      </c>
      <c r="J36" s="2551"/>
      <c r="K36" s="2558">
        <f>F36+H36+J36</f>
        <v>0</v>
      </c>
      <c r="L36" s="1751"/>
      <c r="M36" s="1742"/>
      <c r="N36" s="1742"/>
      <c r="O36" s="1742"/>
      <c r="P36" s="3590" t="str">
        <f>A36</f>
        <v>比较价格（元/平方米）</v>
      </c>
      <c r="Q36" s="3590"/>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799"/>
      <c r="Y36" s="799"/>
      <c r="Z36" s="799"/>
      <c r="AA36" s="799"/>
      <c r="AB36" s="799"/>
      <c r="AC36" s="799"/>
    </row>
    <row r="37" spans="1:29" ht="15.75" thickBot="1">
      <c r="A37" s="568" t="s">
        <v>2188</v>
      </c>
      <c r="B37" s="569"/>
      <c r="C37" s="469" t="e">
        <f>R37</f>
        <v>#DIV/0!</v>
      </c>
      <c r="D37" s="469"/>
      <c r="E37" s="469"/>
      <c r="F37" s="469"/>
      <c r="G37" s="469"/>
      <c r="H37" s="469"/>
      <c r="I37" s="469"/>
      <c r="J37" s="469"/>
      <c r="K37" s="1336"/>
      <c r="L37" s="1751"/>
      <c r="M37" s="1742"/>
      <c r="N37" s="1742"/>
      <c r="O37" s="1742"/>
      <c r="P37" s="3627" t="str">
        <f>A37</f>
        <v>估价对象XX用房的比较价格（楼面单价，元/平方米）</v>
      </c>
      <c r="Q37" s="3628"/>
      <c r="R37" s="3715" t="e">
        <f>IF(F1="售价",ROUND(IF(D36="简单平均",AVERAGE(R36:W36),R36*F36+T36*H36+V36*J36),0),ROUND(IF(D36="简单平均",AVERAGE(R36:V36),R36*F36+T36*H36+V36*J36),1))</f>
        <v>#DIV/0!</v>
      </c>
      <c r="S37" s="3715"/>
      <c r="T37" s="3715"/>
      <c r="U37" s="3715"/>
      <c r="V37" s="3715"/>
      <c r="W37" s="3715"/>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2025-6</v>
      </c>
      <c r="D46" s="2115">
        <f>EDATE(C46,-1)</f>
        <v>45778</v>
      </c>
      <c r="E46" s="2115">
        <f t="shared" ref="E46:O46" si="13">EDATE(D46,-1)</f>
        <v>45748</v>
      </c>
      <c r="F46" s="2115">
        <f t="shared" si="13"/>
        <v>45717</v>
      </c>
      <c r="G46" s="2115">
        <f t="shared" si="13"/>
        <v>45689</v>
      </c>
      <c r="H46" s="2115">
        <f t="shared" si="13"/>
        <v>45658</v>
      </c>
      <c r="I46" s="2115">
        <f t="shared" si="13"/>
        <v>45627</v>
      </c>
      <c r="J46" s="2115">
        <f t="shared" si="13"/>
        <v>45597</v>
      </c>
      <c r="K46" s="2115">
        <f t="shared" si="13"/>
        <v>45566</v>
      </c>
      <c r="L46" s="2115">
        <f t="shared" si="13"/>
        <v>45536</v>
      </c>
      <c r="M46" s="2115">
        <f t="shared" si="13"/>
        <v>45505</v>
      </c>
      <c r="N46" s="2115">
        <f t="shared" si="13"/>
        <v>45474</v>
      </c>
      <c r="O46" s="2115">
        <f t="shared" si="13"/>
        <v>45444</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0" t="s">
        <v>1661</v>
      </c>
      <c r="D1" s="3731"/>
      <c r="E1" s="3731"/>
      <c r="F1" s="3731"/>
      <c r="G1" s="3731"/>
      <c r="H1" s="3731"/>
      <c r="I1" s="3731"/>
      <c r="J1" s="3731"/>
      <c r="K1" s="3731"/>
      <c r="L1" s="3731"/>
      <c r="M1" s="3731"/>
      <c r="N1" s="3731"/>
      <c r="O1" s="3731"/>
      <c r="P1" s="3731"/>
      <c r="Q1" s="3731"/>
      <c r="R1" s="3731"/>
      <c r="S1" s="3732"/>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2180</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2179</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7" t="s">
        <v>14</v>
      </c>
      <c r="D22" s="3728"/>
      <c r="E22" s="3728"/>
      <c r="F22" s="3728"/>
      <c r="G22" s="3728"/>
      <c r="H22" s="3728"/>
      <c r="I22" s="3728"/>
      <c r="J22" s="3728"/>
      <c r="K22" s="3728"/>
      <c r="L22" s="3728"/>
      <c r="M22" s="3728"/>
      <c r="N22" s="3728"/>
      <c r="O22" s="3728"/>
      <c r="P22" s="3728"/>
      <c r="Q22" s="3729"/>
      <c r="R22" s="49" t="e">
        <f>ROUND(S22*10000/B22,0)</f>
        <v>#DIV/0!</v>
      </c>
      <c r="S22" s="49">
        <f>SUM(S24:S10000)</f>
        <v>0</v>
      </c>
    </row>
    <row r="23" spans="1:45" s="1337" customFormat="1" ht="24">
      <c r="A23" s="14" t="s">
        <v>770</v>
      </c>
      <c r="B23" s="2419"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45817</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1.5</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2276</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6" t="s">
        <v>1556</v>
      </c>
      <c r="B1" s="3416"/>
      <c r="C1" s="3416"/>
      <c r="D1" s="3416"/>
      <c r="E1" s="3416"/>
      <c r="F1" s="3416"/>
      <c r="G1" s="3416"/>
      <c r="H1" s="3416"/>
      <c r="I1" s="3416"/>
      <c r="J1" s="3416"/>
      <c r="K1" s="3416"/>
      <c r="L1" s="3416"/>
      <c r="M1" s="3416"/>
      <c r="N1" s="3416"/>
      <c r="O1" s="3416"/>
      <c r="P1" s="3416"/>
      <c r="Q1" s="3416"/>
      <c r="R1" s="3416"/>
    </row>
    <row r="2" spans="1:18">
      <c r="A2" s="1502" t="s">
        <v>1558</v>
      </c>
      <c r="B2" s="1502"/>
      <c r="C2" s="1502"/>
      <c r="D2" s="1502"/>
      <c r="E2" s="1502"/>
      <c r="F2" s="1502"/>
      <c r="G2" s="1502"/>
      <c r="H2" s="1502"/>
      <c r="I2" s="1503"/>
      <c r="J2" s="1503"/>
      <c r="K2" s="1504" t="str">
        <f>"估价期日："&amp;TEXT(项目基本情况!D3,"yyyy年m月d日;;")</f>
        <v>估价期日：2025年6月9日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7" t="s">
        <v>1547</v>
      </c>
      <c r="B3" s="3417" t="s">
        <v>2013</v>
      </c>
      <c r="C3" s="3418" t="s">
        <v>1548</v>
      </c>
      <c r="D3" s="3417" t="s">
        <v>2017</v>
      </c>
      <c r="E3" s="3419" t="s">
        <v>1549</v>
      </c>
      <c r="F3" s="3419"/>
      <c r="G3" s="3419"/>
      <c r="H3" s="3419" t="s">
        <v>1550</v>
      </c>
      <c r="I3" s="3419"/>
      <c r="J3" s="3419"/>
      <c r="K3" s="3418" t="s">
        <v>1551</v>
      </c>
      <c r="L3" s="3418" t="s">
        <v>1552</v>
      </c>
      <c r="M3" s="3417" t="s">
        <v>2014</v>
      </c>
      <c r="N3" s="3417" t="str">
        <f>"（分摊）"&amp;项目基本情况!A17&amp;"国有建设用地使用权面积/㎡"</f>
        <v>（分摊）出让国有建设用地使用权面积/㎡</v>
      </c>
      <c r="O3" s="3417" t="s">
        <v>1581</v>
      </c>
      <c r="P3" s="3418" t="s">
        <v>1561</v>
      </c>
      <c r="Q3" s="3418" t="s">
        <v>1582</v>
      </c>
      <c r="R3" s="3418" t="s">
        <v>1553</v>
      </c>
    </row>
    <row r="4" spans="1:18" ht="36.75" customHeight="1">
      <c r="A4" s="3417"/>
      <c r="B4" s="3417"/>
      <c r="C4" s="3418"/>
      <c r="D4" s="3417"/>
      <c r="E4" s="1505" t="s">
        <v>1560</v>
      </c>
      <c r="F4" s="1505" t="s">
        <v>2026</v>
      </c>
      <c r="G4" s="1505" t="s">
        <v>1554</v>
      </c>
      <c r="H4" s="1505" t="s">
        <v>1555</v>
      </c>
      <c r="I4" s="1505" t="s">
        <v>2027</v>
      </c>
      <c r="J4" s="1505" t="s">
        <v>1554</v>
      </c>
      <c r="K4" s="3418"/>
      <c r="L4" s="3418"/>
      <c r="M4" s="3417"/>
      <c r="N4" s="3417"/>
      <c r="O4" s="3417"/>
      <c r="P4" s="3418"/>
      <c r="Q4" s="3418"/>
      <c r="R4" s="3418"/>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22772.01</v>
      </c>
      <c r="O5" s="1505">
        <f>项目基本情况!C21</f>
        <v>40989</v>
      </c>
      <c r="P5" s="1505">
        <f ca="1">结果表!E42</f>
        <v>2252</v>
      </c>
      <c r="Q5" s="1505">
        <f ca="1">结果表!D42</f>
        <v>1251</v>
      </c>
      <c r="R5" s="1506">
        <f ca="1">结果表!C42</f>
        <v>5129</v>
      </c>
    </row>
    <row r="6" spans="1:18">
      <c r="A6" s="3420" t="str">
        <f>IF(项目基本情况!B9="市场价格","——","抵押价格")</f>
        <v>抵押价格</v>
      </c>
      <c r="B6" s="3421"/>
      <c r="C6" s="3421"/>
      <c r="D6" s="3421"/>
      <c r="E6" s="3421"/>
      <c r="F6" s="3421"/>
      <c r="G6" s="3421"/>
      <c r="H6" s="3421"/>
      <c r="I6" s="3421"/>
      <c r="J6" s="3421"/>
      <c r="K6" s="3421"/>
      <c r="L6" s="3421"/>
      <c r="M6" s="3421"/>
      <c r="N6" s="3421"/>
      <c r="O6" s="3421"/>
      <c r="P6" s="3421"/>
      <c r="Q6" s="3422"/>
      <c r="R6" s="1507">
        <f ca="1">结果表!O39</f>
        <v>5129</v>
      </c>
    </row>
    <row r="7" spans="1:18">
      <c r="A7" s="3420" t="str">
        <f>IF(项目基本情况!B9="市场价格","——",IF(项目基本情况!E8="已注销及未注销","抵押担保权已注销时的抵押价格","——"))</f>
        <v>——</v>
      </c>
      <c r="B7" s="3421"/>
      <c r="C7" s="3421"/>
      <c r="D7" s="3421"/>
      <c r="E7" s="3421"/>
      <c r="F7" s="3421"/>
      <c r="G7" s="3421"/>
      <c r="H7" s="3421"/>
      <c r="I7" s="3421"/>
      <c r="J7" s="3421"/>
      <c r="K7" s="3421"/>
      <c r="L7" s="3421"/>
      <c r="M7" s="3421"/>
      <c r="N7" s="3421"/>
      <c r="O7" s="3421"/>
      <c r="P7" s="3421"/>
      <c r="Q7" s="3422"/>
      <c r="R7" s="1507" t="str">
        <f>结果表!O40</f>
        <v>——</v>
      </c>
    </row>
    <row r="8" spans="1:18">
      <c r="A8" s="3420" t="str">
        <f>IF(项目基本情况!B9="市场价格","——",项目基本情况!E9)</f>
        <v>——</v>
      </c>
      <c r="B8" s="3421"/>
      <c r="C8" s="3421"/>
      <c r="D8" s="3421"/>
      <c r="E8" s="3421"/>
      <c r="F8" s="3421"/>
      <c r="G8" s="3421"/>
      <c r="H8" s="3421"/>
      <c r="I8" s="3421"/>
      <c r="J8" s="3421"/>
      <c r="K8" s="3421"/>
      <c r="L8" s="3421"/>
      <c r="M8" s="3421"/>
      <c r="N8" s="3421"/>
      <c r="O8" s="3421"/>
      <c r="P8" s="3421"/>
      <c r="Q8" s="3422"/>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4" t="s">
        <v>1583</v>
      </c>
      <c r="B1" s="3424"/>
      <c r="C1" s="3424"/>
      <c r="D1" s="3424"/>
    </row>
    <row r="2" spans="1:4" ht="47.25" customHeight="1">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spans="1:4" ht="48" customHeight="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4"/>
      <c r="C3" s="3424"/>
      <c r="D3" s="3424"/>
    </row>
    <row r="4" spans="1:4" ht="36.75" customHeight="1">
      <c r="A4" s="3424" t="str">
        <f>"3.估价规划限制条件：详见"&amp;项目基本情况!E21&amp;"。"</f>
        <v>3.估价规划限制条件：详见《建设工程规划许可证》[]、《出让合同》[]。</v>
      </c>
      <c r="B4" s="3424"/>
      <c r="C4" s="3424"/>
      <c r="D4" s="3424"/>
    </row>
    <row r="5" spans="1:4">
      <c r="A5" s="3423" t="s">
        <v>1584</v>
      </c>
      <c r="B5" s="3423"/>
      <c r="C5" s="3423"/>
      <c r="D5" s="3423"/>
    </row>
    <row r="6" spans="1:4">
      <c r="A6" s="3424" t="s">
        <v>1562</v>
      </c>
      <c r="B6" s="3424"/>
      <c r="C6" s="3424"/>
      <c r="D6" s="3424"/>
    </row>
    <row r="7" spans="1:4" ht="33" customHeight="1">
      <c r="A7" s="3424" t="s">
        <v>1857</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4"/>
      <c r="C8" s="3424"/>
      <c r="D8" s="3424"/>
    </row>
    <row r="9" spans="1:4" ht="33.75" customHeight="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4"/>
      <c r="C9" s="3424"/>
      <c r="D9" s="3424"/>
    </row>
    <row r="10" spans="1:4">
      <c r="A10" s="3424" t="str">
        <f>IF(项目基本情况!B8="抵押","4.估价师所知悉的法定优先受偿款情况为：","——")</f>
        <v>4.估价师所知悉的法定优先受偿款情况为：</v>
      </c>
      <c r="B10" s="3424"/>
      <c r="C10" s="3424"/>
      <c r="D10" s="3424"/>
    </row>
    <row r="11" spans="1:4" ht="37.5" customHeight="1">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spans="1:4" ht="168" customHeight="1">
      <c r="A12" s="3423" t="s">
        <v>1586</v>
      </c>
      <c r="B12" s="3423"/>
      <c r="C12" s="3423"/>
      <c r="D12" s="3423"/>
    </row>
    <row r="13" spans="1:4">
      <c r="A13" s="3426" t="s">
        <v>2028</v>
      </c>
      <c r="B13" s="3426"/>
      <c r="C13" s="3426"/>
      <c r="D13" s="3426"/>
    </row>
    <row r="14" spans="1:4">
      <c r="A14" s="3424" t="str">
        <f>IF(项目基本情况!B8="抵押","综上，"&amp;结果表!K47,"——")</f>
        <v>综上，本次评估不存在估价师知悉的法定优先受偿款</v>
      </c>
      <c r="B14" s="3424"/>
      <c r="C14" s="3424"/>
      <c r="D14" s="3424"/>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1984</v>
      </c>
      <c r="B17" s="3424"/>
      <c r="C17" s="3424"/>
      <c r="D17" s="3424"/>
    </row>
    <row r="18" spans="1:4">
      <c r="A18" s="3424" t="s">
        <v>1976</v>
      </c>
      <c r="B18" s="3424"/>
      <c r="C18" s="3424"/>
      <c r="D18" s="3424"/>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4" t="s">
        <v>1981</v>
      </c>
      <c r="B23" s="3424"/>
      <c r="C23" s="3424"/>
      <c r="D23" s="3424"/>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4" t="s">
        <v>27</v>
      </c>
      <c r="B15" s="3435" t="s">
        <v>784</v>
      </c>
      <c r="C15" s="3431"/>
    </row>
    <row r="16" spans="1:7" ht="14.25">
      <c r="A16" s="3434"/>
      <c r="B16" s="3432" t="s">
        <v>28</v>
      </c>
      <c r="C16" s="1016" t="s">
        <v>27</v>
      </c>
    </row>
    <row r="17" spans="1:3" ht="14.25">
      <c r="A17" s="3434"/>
      <c r="B17" s="3432"/>
      <c r="C17" s="1016" t="s">
        <v>29</v>
      </c>
    </row>
    <row r="18" spans="1:3" ht="14.25">
      <c r="A18" s="3434"/>
      <c r="B18" s="3432"/>
      <c r="C18" s="1016" t="s">
        <v>30</v>
      </c>
    </row>
    <row r="19" spans="1:3" ht="14.25">
      <c r="A19" s="3434"/>
      <c r="B19" s="3430" t="s">
        <v>31</v>
      </c>
      <c r="C19" s="3431"/>
    </row>
    <row r="20" spans="1:3" ht="14.25">
      <c r="A20" s="1017" t="s">
        <v>32</v>
      </c>
      <c r="B20" s="1018"/>
      <c r="C20" s="1019"/>
    </row>
    <row r="21" spans="1:3" ht="14.25">
      <c r="A21" s="3433" t="s">
        <v>33</v>
      </c>
      <c r="B21" s="3430" t="s">
        <v>34</v>
      </c>
      <c r="C21" s="3431"/>
    </row>
    <row r="22" spans="1:3" ht="14.25">
      <c r="A22" s="3433"/>
      <c r="B22" s="3430" t="s">
        <v>35</v>
      </c>
      <c r="C22" s="3431"/>
    </row>
    <row r="23" spans="1:3" ht="14.25">
      <c r="A23" s="3433"/>
      <c r="B23" s="3430" t="s">
        <v>36</v>
      </c>
      <c r="C23" s="3431"/>
    </row>
    <row r="24" spans="1:3" ht="14.25">
      <c r="A24" s="3433"/>
      <c r="B24" s="3436" t="s">
        <v>37</v>
      </c>
      <c r="C24" s="1020" t="s">
        <v>775</v>
      </c>
    </row>
    <row r="25" spans="1:3" ht="14.25">
      <c r="A25" s="3433"/>
      <c r="B25" s="3437"/>
      <c r="C25" s="1020" t="s">
        <v>776</v>
      </c>
    </row>
    <row r="26" spans="1:3" ht="14.25">
      <c r="A26" s="3433"/>
      <c r="B26" s="3437"/>
      <c r="C26" s="1020" t="s">
        <v>777</v>
      </c>
    </row>
    <row r="27" spans="1:3" ht="14.25">
      <c r="A27" s="3433"/>
      <c r="B27" s="3437"/>
      <c r="C27" s="1020" t="s">
        <v>778</v>
      </c>
    </row>
    <row r="28" spans="1:3" ht="14.25">
      <c r="A28" s="3433"/>
      <c r="B28" s="3437"/>
      <c r="C28" s="1020" t="s">
        <v>779</v>
      </c>
    </row>
    <row r="29" spans="1:3" ht="14.25">
      <c r="A29" s="3433"/>
      <c r="B29" s="3437"/>
      <c r="C29" s="1020" t="s">
        <v>780</v>
      </c>
    </row>
    <row r="30" spans="1:3" ht="14.25">
      <c r="A30" s="3433"/>
      <c r="B30" s="3437"/>
      <c r="C30" s="1020" t="s">
        <v>781</v>
      </c>
    </row>
    <row r="31" spans="1:3" ht="14.25">
      <c r="A31" s="3433"/>
      <c r="B31" s="3437"/>
      <c r="C31" s="1020" t="s">
        <v>782</v>
      </c>
    </row>
    <row r="32" spans="1:3" ht="14.25">
      <c r="A32" s="3433"/>
      <c r="B32" s="3437"/>
      <c r="C32" s="1020" t="s">
        <v>1181</v>
      </c>
    </row>
    <row r="33" spans="1:3" ht="14.25">
      <c r="A33" s="3433"/>
      <c r="B33" s="3427" t="s">
        <v>1187</v>
      </c>
      <c r="C33" s="1020" t="s">
        <v>1182</v>
      </c>
    </row>
    <row r="34" spans="1:3" ht="14.25">
      <c r="A34" s="3433"/>
      <c r="B34" s="3428"/>
      <c r="C34" s="1025" t="s">
        <v>1183</v>
      </c>
    </row>
    <row r="35" spans="1:3" ht="14.25">
      <c r="A35" s="3433"/>
      <c r="B35" s="3428"/>
      <c r="C35" s="1026" t="s">
        <v>1184</v>
      </c>
    </row>
    <row r="36" spans="1:3" ht="14.25">
      <c r="A36" s="3433"/>
      <c r="B36" s="3428"/>
      <c r="C36" s="1026" t="s">
        <v>1185</v>
      </c>
    </row>
    <row r="37" spans="1:3" ht="14.25">
      <c r="A37" s="3433"/>
      <c r="B37" s="3429"/>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45819</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2229</v>
      </c>
      <c r="B12" s="2565">
        <f ca="1">IF(C12&lt;B2,"已过期",1120040230)</f>
        <v>1120040230</v>
      </c>
      <c r="C12" s="2568">
        <v>45937</v>
      </c>
      <c r="D12" s="2574" t="s">
        <v>2230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2240</v>
      </c>
      <c r="B15" s="2565" t="str">
        <f ca="1">IF(C15&lt;B2,"已过期",1119980106)</f>
        <v>已过期</v>
      </c>
      <c r="C15" s="2568">
        <v>44969</v>
      </c>
      <c r="D15" s="2574"/>
      <c r="E15" s="2565"/>
      <c r="F15" s="2565"/>
      <c r="G15" s="2560"/>
    </row>
    <row r="16" spans="1:7" ht="20.25" customHeight="1">
      <c r="A16" s="2564" t="s">
        <v>2437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1" t="s">
        <v>1448</v>
      </c>
      <c r="B18" s="3442"/>
      <c r="C18" s="3442"/>
      <c r="D18" s="3442"/>
      <c r="E18" s="3442"/>
      <c r="F18" s="3442"/>
      <c r="G18" s="2560"/>
    </row>
    <row r="19" spans="1:7" ht="20.25" customHeight="1">
      <c r="A19" s="3438" t="s">
        <v>1449</v>
      </c>
      <c r="B19" s="3438"/>
      <c r="C19" s="3439"/>
      <c r="D19" s="3440" t="s">
        <v>1450</v>
      </c>
      <c r="E19" s="3438"/>
      <c r="F19" s="3438"/>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2750</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2736</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2737</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2738</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2739</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2740</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2741</v>
      </c>
    </row>
    <row r="8" spans="1:23">
      <c r="A8" s="6" t="s">
        <v>75</v>
      </c>
      <c r="B8" s="6" t="s">
        <v>76</v>
      </c>
      <c r="C8" s="1294" t="s">
        <v>1244</v>
      </c>
      <c r="F8" s="7" t="s">
        <v>121</v>
      </c>
      <c r="H8" s="3083" t="s">
        <v>2735</v>
      </c>
      <c r="I8" s="7" t="s">
        <v>2742</v>
      </c>
    </row>
    <row r="9" spans="1:23">
      <c r="A9" s="6" t="s">
        <v>77</v>
      </c>
      <c r="B9" s="6" t="s">
        <v>122</v>
      </c>
      <c r="C9" s="1294" t="s">
        <v>1245</v>
      </c>
      <c r="F9" s="7" t="s">
        <v>78</v>
      </c>
      <c r="H9" s="7"/>
      <c r="I9" s="7" t="s">
        <v>2743</v>
      </c>
    </row>
    <row r="10" spans="1:23">
      <c r="A10" s="6" t="s">
        <v>79</v>
      </c>
      <c r="B10" s="6" t="s">
        <v>123</v>
      </c>
      <c r="C10" s="1294" t="s">
        <v>1246</v>
      </c>
      <c r="F10" s="3083" t="s">
        <v>2734</v>
      </c>
      <c r="I10" s="7" t="s">
        <v>2744</v>
      </c>
    </row>
    <row r="11" spans="1:23">
      <c r="A11" s="6" t="s">
        <v>80</v>
      </c>
      <c r="B11" s="6" t="s">
        <v>124</v>
      </c>
      <c r="C11" s="1294" t="s">
        <v>1247</v>
      </c>
      <c r="I11" s="7" t="s">
        <v>2745</v>
      </c>
    </row>
    <row r="12" spans="1:23">
      <c r="A12" s="6" t="s">
        <v>81</v>
      </c>
      <c r="B12" s="6" t="s">
        <v>125</v>
      </c>
      <c r="C12" s="1294" t="s">
        <v>1248</v>
      </c>
      <c r="I12" s="7" t="s">
        <v>2746</v>
      </c>
    </row>
    <row r="13" spans="1:23">
      <c r="A13" s="6" t="s">
        <v>82</v>
      </c>
      <c r="B13" s="6" t="s">
        <v>126</v>
      </c>
      <c r="C13" s="1294" t="s">
        <v>1249</v>
      </c>
      <c r="I13" s="7" t="s">
        <v>2747</v>
      </c>
    </row>
    <row r="14" spans="1:23">
      <c r="A14" s="6" t="s">
        <v>83</v>
      </c>
      <c r="B14" s="6" t="s">
        <v>127</v>
      </c>
      <c r="C14" s="1296" t="s">
        <v>1421</v>
      </c>
      <c r="I14" s="7" t="s">
        <v>2748</v>
      </c>
    </row>
    <row r="15" spans="1:23">
      <c r="A15" s="6" t="s">
        <v>84</v>
      </c>
      <c r="B15" s="6" t="s">
        <v>1214</v>
      </c>
      <c r="C15" s="1296"/>
      <c r="I15" s="7" t="s">
        <v>2749</v>
      </c>
    </row>
    <row r="16" spans="1:23">
      <c r="A16" s="6" t="s">
        <v>85</v>
      </c>
      <c r="B16" s="6" t="s">
        <v>1215</v>
      </c>
      <c r="C16" s="1296"/>
    </row>
    <row r="17" spans="1:3">
      <c r="A17" s="6" t="s">
        <v>86</v>
      </c>
      <c r="B17" s="6" t="s">
        <v>1216</v>
      </c>
      <c r="C17" s="1296"/>
    </row>
    <row r="18" spans="1:3">
      <c r="A18" s="6" t="s">
        <v>87</v>
      </c>
      <c r="B18" s="2357" t="s">
        <v>2206</v>
      </c>
      <c r="C18" s="1296"/>
    </row>
    <row r="19" spans="1:3">
      <c r="A19" s="6" t="s">
        <v>88</v>
      </c>
      <c r="B19" s="2357" t="s">
        <v>2213</v>
      </c>
      <c r="C19" s="1296"/>
    </row>
    <row r="20" spans="1:3">
      <c r="A20" s="6" t="s">
        <v>89</v>
      </c>
      <c r="B20" s="2357" t="s">
        <v>2253</v>
      </c>
      <c r="C20" s="1296"/>
    </row>
    <row r="21" spans="1:3">
      <c r="A21" s="6" t="s">
        <v>90</v>
      </c>
      <c r="B21" s="6" t="s">
        <v>2429</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3"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9"/>
      <c r="E53" s="1469"/>
    </row>
    <row r="54" spans="1:5">
      <c r="A54" s="3443"/>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3"/>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3"/>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3"/>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sheet1</vt:lpstr>
      <vt:lpstr>Sheet2</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2025-06-11T08:35:34Z</dcterms:modified>
</cp:coreProperties>
</file>