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47 祁东家园商业、车位市场价格\"/>
    </mc:Choice>
  </mc:AlternateContent>
  <bookViews>
    <workbookView xWindow="0" yWindow="0" windowWidth="6132" windowHeight="9408"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汇总表" sheetId="84" r:id="rId26"/>
    <sheet name="比较法-商业" sheetId="33" r:id="rId27"/>
    <sheet name="比较法-办公" sheetId="34" state="hidden" r:id="rId28"/>
    <sheet name="比较法-工业" sheetId="37" state="hidden" r:id="rId29"/>
    <sheet name="案例" sheetId="85" r:id="rId30"/>
    <sheet name="比较法-车位" sheetId="35"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车位案例" sheetId="86" r:id="rId37"/>
    <sheet name="基准地价修正" sheetId="43" r:id="rId38"/>
    <sheet name="系统读取表" sheetId="74"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'比较法-工业'!$A$1:$K$48,'比较法-工业'!$A$51:$M$113</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4" i="84" l="1"/>
  <c r="D4" i="84"/>
  <c r="D3" i="84" l="1"/>
  <c r="I7" i="35"/>
  <c r="G7" i="35"/>
  <c r="E7" i="35"/>
  <c r="I7" i="33"/>
  <c r="G7" i="33"/>
  <c r="E7" i="33"/>
  <c r="B59" i="1"/>
  <c r="G20" i="6"/>
  <c r="G19" i="6"/>
  <c r="F19" i="6"/>
  <c r="K13" i="3"/>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29" i="39"/>
  <c r="W18" i="36"/>
  <c r="U21" i="34"/>
  <c r="J21" i="37"/>
  <c r="W21" i="37" s="1"/>
  <c r="J21" i="34"/>
  <c r="W21" i="34" s="1"/>
  <c r="J21" i="33"/>
  <c r="W21" i="33" s="1"/>
  <c r="H21" i="21"/>
  <c r="U21" i="21" s="1"/>
  <c r="F38" i="69"/>
  <c r="E37" i="69"/>
  <c r="F36" i="69"/>
  <c r="F35" i="69"/>
  <c r="F21" i="69"/>
  <c r="F40" i="69" s="1"/>
  <c r="F20" i="69"/>
  <c r="F39" i="69" s="1"/>
  <c r="E10" i="69"/>
  <c r="E9" i="69"/>
  <c r="C7" i="69"/>
  <c r="AC21" i="37"/>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79" i="35"/>
  <c r="J31" i="35"/>
  <c r="W31" i="35" s="1"/>
  <c r="H31" i="35"/>
  <c r="AB31" i="35" s="1"/>
  <c r="F31" i="35"/>
  <c r="D87" i="35"/>
  <c r="E87" i="35" s="1"/>
  <c r="F87" i="35" s="1"/>
  <c r="G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B101" i="35"/>
  <c r="J36" i="35" s="1"/>
  <c r="AC36" i="35" s="1"/>
  <c r="H36" i="35"/>
  <c r="AB36" i="35" s="1"/>
  <c r="B99" i="35"/>
  <c r="B97" i="35"/>
  <c r="B77" i="35"/>
  <c r="B75" i="35"/>
  <c r="J24" i="35" s="1"/>
  <c r="AC24" i="35" s="1"/>
  <c r="B73" i="35"/>
  <c r="J23" i="35" s="1"/>
  <c r="AC23" i="35" s="1"/>
  <c r="H23" i="35"/>
  <c r="U23" i="35" s="1"/>
  <c r="B57" i="35"/>
  <c r="B61" i="35"/>
  <c r="H13" i="35" s="1"/>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H34" i="35"/>
  <c r="U34" i="35" s="1"/>
  <c r="Q33" i="35"/>
  <c r="Z33" i="35"/>
  <c r="Q32" i="35"/>
  <c r="Z32" i="35"/>
  <c r="H32" i="35"/>
  <c r="AB32" i="35" s="1"/>
  <c r="F32" i="35"/>
  <c r="AA32" i="35" s="1"/>
  <c r="Q31" i="35"/>
  <c r="Z31" i="35"/>
  <c r="Q30" i="35"/>
  <c r="Z30" i="35" s="1"/>
  <c r="Q29" i="35"/>
  <c r="Z29" i="35" s="1"/>
  <c r="Q28" i="35"/>
  <c r="Z28" i="35"/>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F36" i="34"/>
  <c r="J35" i="34"/>
  <c r="U34" i="34"/>
  <c r="H39" i="33"/>
  <c r="AB39" i="33"/>
  <c r="U33" i="33"/>
  <c r="S40" i="33"/>
  <c r="W39" i="33"/>
  <c r="H39" i="37"/>
  <c r="AB39" i="37" s="1"/>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W32" i="40"/>
  <c r="S44" i="39"/>
  <c r="F37" i="39"/>
  <c r="AA37" i="39" s="1"/>
  <c r="J34" i="36"/>
  <c r="W34" i="36" s="1"/>
  <c r="U30" i="36"/>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H33" i="35"/>
  <c r="J20" i="35"/>
  <c r="W20" i="35" s="1"/>
  <c r="F35" i="37"/>
  <c r="S35" i="37" s="1"/>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H17" i="34"/>
  <c r="U17" i="34"/>
  <c r="F15" i="34"/>
  <c r="AA15" i="34" s="1"/>
  <c r="J15" i="34"/>
  <c r="H15" i="34"/>
  <c r="AB15" i="34" s="1"/>
  <c r="W8" i="34"/>
  <c r="J28" i="34"/>
  <c r="W28" i="34" s="1"/>
  <c r="F41" i="33"/>
  <c r="S41" i="33" s="1"/>
  <c r="S38" i="33"/>
  <c r="E113" i="33"/>
  <c r="F32" i="33"/>
  <c r="AA32" i="33" s="1"/>
  <c r="J15" i="33"/>
  <c r="AC15" i="33" s="1"/>
  <c r="F11" i="33"/>
  <c r="AA11" i="33" s="1"/>
  <c r="U40" i="33"/>
  <c r="W40" i="33"/>
  <c r="F37" i="40"/>
  <c r="AA37" i="40" s="1"/>
  <c r="F36" i="40"/>
  <c r="AA36" i="40"/>
  <c r="H28" i="40"/>
  <c r="U28" i="40" s="1"/>
  <c r="F23" i="40"/>
  <c r="AA23" i="40"/>
  <c r="F17" i="40"/>
  <c r="AA17" i="40" s="1"/>
  <c r="J17" i="40"/>
  <c r="W17" i="40" s="1"/>
  <c r="F15" i="40"/>
  <c r="S15" i="40" s="1"/>
  <c r="H15" i="40"/>
  <c r="AB15" i="40"/>
  <c r="AC11" i="40"/>
  <c r="AB30" i="36"/>
  <c r="H33" i="37"/>
  <c r="F33" i="37"/>
  <c r="AA33" i="37" s="1"/>
  <c r="U34" i="37"/>
  <c r="S34" i="37"/>
  <c r="AA34" i="37"/>
  <c r="J43" i="34"/>
  <c r="AB42" i="34"/>
  <c r="J40" i="34"/>
  <c r="H38" i="34"/>
  <c r="AB38" i="34" s="1"/>
  <c r="J36" i="34"/>
  <c r="W36" i="34"/>
  <c r="H37" i="34"/>
  <c r="U37" i="34" s="1"/>
  <c r="H25" i="34"/>
  <c r="AB25" i="34" s="1"/>
  <c r="J25" i="34"/>
  <c r="AC25" i="34"/>
  <c r="AB23" i="34"/>
  <c r="F23" i="34"/>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I123" i="21"/>
  <c r="J123" i="21" s="1"/>
  <c r="K123" i="21" s="1"/>
  <c r="L123" i="21" s="1"/>
  <c r="M123" i="21"/>
  <c r="J42" i="2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J33" i="35"/>
  <c r="AC33" i="35" s="1"/>
  <c r="H10" i="36"/>
  <c r="AB10" i="36" s="1"/>
  <c r="J14" i="36"/>
  <c r="AC14" i="36"/>
  <c r="H14" i="36"/>
  <c r="U14" i="36" s="1"/>
  <c r="F28" i="36"/>
  <c r="AA28" i="36" s="1"/>
  <c r="J13" i="21"/>
  <c r="AC13" i="21" s="1"/>
  <c r="H27" i="21"/>
  <c r="AB27" i="21"/>
  <c r="F27" i="21"/>
  <c r="AA27" i="21" s="1"/>
  <c r="H29" i="21"/>
  <c r="U29" i="21"/>
  <c r="J31" i="21"/>
  <c r="AC31" i="21" s="1"/>
  <c r="F31" i="21"/>
  <c r="S31" i="21" s="1"/>
  <c r="F27" i="33"/>
  <c r="AA27" i="33" s="1"/>
  <c r="J13" i="33"/>
  <c r="H13" i="33"/>
  <c r="U13" i="33" s="1"/>
  <c r="F13" i="33"/>
  <c r="AA13" i="33" s="1"/>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AC12" i="40"/>
  <c r="W12" i="40"/>
  <c r="H14" i="33"/>
  <c r="U14" i="33" s="1"/>
  <c r="F14" i="33"/>
  <c r="S14" i="33" s="1"/>
  <c r="J14" i="33"/>
  <c r="H30" i="33"/>
  <c r="AB30" i="33"/>
  <c r="F30" i="33"/>
  <c r="J30" i="33"/>
  <c r="W30" i="33" s="1"/>
  <c r="H44" i="33"/>
  <c r="U44" i="33" s="1"/>
  <c r="J44" i="33"/>
  <c r="AC44" i="33" s="1"/>
  <c r="F44" i="33"/>
  <c r="S44" i="33" s="1"/>
  <c r="J46" i="33"/>
  <c r="AC46" i="33"/>
  <c r="F46" i="33"/>
  <c r="AA46" i="33" s="1"/>
  <c r="H46" i="33"/>
  <c r="H13" i="34"/>
  <c r="U13" i="34" s="1"/>
  <c r="J13" i="34"/>
  <c r="W13" i="34"/>
  <c r="F13" i="34"/>
  <c r="AA13" i="34" s="1"/>
  <c r="J29" i="34"/>
  <c r="F29" i="34"/>
  <c r="S29" i="34"/>
  <c r="H29" i="34"/>
  <c r="AB29" i="34" s="1"/>
  <c r="J31" i="34"/>
  <c r="W31" i="34" s="1"/>
  <c r="AC31" i="34"/>
  <c r="H31" i="34"/>
  <c r="F31" i="34"/>
  <c r="S31" i="34"/>
  <c r="H45" i="34"/>
  <c r="U45" i="34" s="1"/>
  <c r="J45" i="34"/>
  <c r="W45" i="34" s="1"/>
  <c r="F45" i="34"/>
  <c r="S45" i="34" s="1"/>
  <c r="H47" i="34"/>
  <c r="U47" i="34"/>
  <c r="F47" i="34"/>
  <c r="S47" i="34" s="1"/>
  <c r="J47" i="34"/>
  <c r="AC47" i="34"/>
  <c r="F13" i="35"/>
  <c r="J25" i="35"/>
  <c r="W25" i="35" s="1"/>
  <c r="F25" i="35"/>
  <c r="S25" i="35" s="1"/>
  <c r="H25" i="35"/>
  <c r="AB25" i="35" s="1"/>
  <c r="J35" i="35"/>
  <c r="AC35" i="35" s="1"/>
  <c r="F35" i="35"/>
  <c r="AA35" i="35" s="1"/>
  <c r="H35" i="35"/>
  <c r="J25" i="36"/>
  <c r="W25" i="36"/>
  <c r="F25" i="36"/>
  <c r="S25" i="36" s="1"/>
  <c r="H25" i="36"/>
  <c r="H13" i="37"/>
  <c r="AB13" i="37" s="1"/>
  <c r="F13" i="37"/>
  <c r="S13" i="37"/>
  <c r="J13" i="37"/>
  <c r="W13" i="37" s="1"/>
  <c r="F28" i="37"/>
  <c r="AA28" i="37" s="1"/>
  <c r="J28" i="37"/>
  <c r="AC28" i="37"/>
  <c r="H28" i="37"/>
  <c r="H38" i="37"/>
  <c r="AB38" i="37"/>
  <c r="J38" i="37"/>
  <c r="AC38" i="37" s="1"/>
  <c r="F38" i="37"/>
  <c r="S38" i="37"/>
  <c r="F43" i="39"/>
  <c r="AA43" i="39" s="1"/>
  <c r="H43" i="39"/>
  <c r="AB43" i="39" s="1"/>
  <c r="J14" i="39"/>
  <c r="AC14" i="39" s="1"/>
  <c r="F14" i="39"/>
  <c r="H14" i="39"/>
  <c r="AB14" i="39"/>
  <c r="F12" i="40"/>
  <c r="S12" i="40"/>
  <c r="H12" i="40"/>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AZ506" i="3" s="1"/>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BA542" i="3"/>
  <c r="BA540" i="3"/>
  <c r="BA538" i="3"/>
  <c r="AZ538" i="3" s="1"/>
  <c r="BA536" i="3"/>
  <c r="AZ536" i="3"/>
  <c r="BA534" i="3"/>
  <c r="AZ534" i="3" s="1"/>
  <c r="BA532" i="3"/>
  <c r="BA530" i="3"/>
  <c r="BA528" i="3"/>
  <c r="BA526" i="3"/>
  <c r="BA524" i="3"/>
  <c r="BA522" i="3"/>
  <c r="AZ522" i="3" s="1"/>
  <c r="BA520" i="3"/>
  <c r="BA518" i="3"/>
  <c r="AZ518" i="3" s="1"/>
  <c r="BA516" i="3"/>
  <c r="AZ516" i="3" s="1"/>
  <c r="BA514" i="3"/>
  <c r="AZ514" i="3" s="1"/>
  <c r="BA512" i="3"/>
  <c r="BA510" i="3"/>
  <c r="AZ510" i="3"/>
  <c r="BA508" i="3"/>
  <c r="BA506" i="3"/>
  <c r="BA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W23" i="35"/>
  <c r="U39" i="37"/>
  <c r="W47" i="34"/>
  <c r="AC36" i="34"/>
  <c r="AC31" i="33"/>
  <c r="AC45" i="33"/>
  <c r="U19" i="21"/>
  <c r="W44" i="21"/>
  <c r="AB38" i="21"/>
  <c r="F43" i="33"/>
  <c r="AA43" i="33"/>
  <c r="W15" i="34"/>
  <c r="AC15" i="34"/>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AA11" i="39"/>
  <c r="G4" i="4"/>
  <c r="I4" i="4"/>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BL164" i="3"/>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AZ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AZ374" i="3" s="1"/>
  <c r="G375" i="3"/>
  <c r="BA377" i="3"/>
  <c r="AZ237" i="3"/>
  <c r="AZ245" i="3"/>
  <c r="AZ257" i="3"/>
  <c r="AZ265" i="3"/>
  <c r="BA379" i="3"/>
  <c r="AZ379" i="3" s="1"/>
  <c r="BL380" i="3"/>
  <c r="G381" i="3"/>
  <c r="BA383" i="3"/>
  <c r="BL384" i="3"/>
  <c r="G385" i="3"/>
  <c r="BA387" i="3"/>
  <c r="BL388" i="3"/>
  <c r="G389" i="3"/>
  <c r="BA391" i="3"/>
  <c r="BL392" i="3"/>
  <c r="AZ392" i="3" s="1"/>
  <c r="G393" i="3"/>
  <c r="AZ291" i="3"/>
  <c r="BO5" i="3"/>
  <c r="BM5" i="3"/>
  <c r="BJ5" i="3"/>
  <c r="BH5" i="3"/>
  <c r="BF5" i="3"/>
  <c r="BD5" i="3"/>
  <c r="AZ341" i="3"/>
  <c r="AC5" i="3"/>
  <c r="AZ496" i="3"/>
  <c r="G548" i="3"/>
  <c r="G538" i="3"/>
  <c r="G520" i="3"/>
  <c r="G502" i="3"/>
  <c r="BS5" i="3"/>
  <c r="BP5" i="3"/>
  <c r="BN5" i="3"/>
  <c r="BK5" i="3"/>
  <c r="BI5" i="3"/>
  <c r="BG5" i="3"/>
  <c r="BE5" i="3"/>
  <c r="BC5" i="3"/>
  <c r="G17" i="3"/>
  <c r="BA17" i="3"/>
  <c r="BT5" i="3"/>
  <c r="AZ356" i="3"/>
  <c r="BA15" i="3"/>
  <c r="BB5" i="3"/>
  <c r="BR5" i="3"/>
  <c r="AZ380" i="3"/>
  <c r="AZ509" i="3"/>
  <c r="G509" i="3"/>
  <c r="BL493" i="3"/>
  <c r="AZ493" i="3"/>
  <c r="U36" i="40"/>
  <c r="F83" i="43"/>
  <c r="H85" i="43" s="1"/>
  <c r="F50" i="43"/>
  <c r="H54" i="43" s="1"/>
  <c r="F72" i="43"/>
  <c r="H75" i="43" s="1"/>
  <c r="U17" i="39"/>
  <c r="U43" i="21"/>
  <c r="U35" i="21"/>
  <c r="AC35" i="21"/>
  <c r="G8" i="1"/>
  <c r="G10" i="1"/>
  <c r="AC11" i="39"/>
  <c r="AZ501" i="3"/>
  <c r="W44" i="34"/>
  <c r="AC44" i="34"/>
  <c r="U13" i="37"/>
  <c r="U12" i="40"/>
  <c r="AA12" i="40"/>
  <c r="J37" i="33"/>
  <c r="AC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H20" i="35"/>
  <c r="U20" i="35" s="1"/>
  <c r="F20" i="35"/>
  <c r="AA20" i="35" s="1"/>
  <c r="AB23" i="35"/>
  <c r="AB29" i="36"/>
  <c r="U29" i="36"/>
  <c r="H32" i="37"/>
  <c r="F96" i="37"/>
  <c r="H27" i="40"/>
  <c r="U27" i="40"/>
  <c r="J27" i="40"/>
  <c r="AC27" i="40" s="1"/>
  <c r="F27" i="40"/>
  <c r="S27" i="40"/>
  <c r="J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130"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367" i="3"/>
  <c r="AZ224" i="3"/>
  <c r="AZ297" i="3"/>
  <c r="AZ149" i="3"/>
  <c r="B12" i="1"/>
  <c r="E12" i="1" s="1"/>
  <c r="B10" i="1"/>
  <c r="E10" i="1" s="1"/>
  <c r="K12" i="1"/>
  <c r="M12" i="1" s="1"/>
  <c r="S13" i="1"/>
  <c r="AR13" i="1" s="1"/>
  <c r="R13" i="1"/>
  <c r="J51" i="67"/>
  <c r="C42" i="1"/>
  <c r="C24" i="12"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S32" i="35"/>
  <c r="AA36" i="35"/>
  <c r="AA11" i="35"/>
  <c r="AC9" i="35"/>
  <c r="AC12" i="35"/>
  <c r="F9" i="35"/>
  <c r="S9" i="35" s="1"/>
  <c r="H9" i="35"/>
  <c r="U9" i="35" s="1"/>
  <c r="AB40" i="37"/>
  <c r="S25" i="37"/>
  <c r="W27" i="37"/>
  <c r="AC29" i="37"/>
  <c r="U29" i="37"/>
  <c r="S32" i="37"/>
  <c r="AB31" i="37"/>
  <c r="W30" i="37"/>
  <c r="S36" i="37"/>
  <c r="AA38" i="37"/>
  <c r="W38" i="37"/>
  <c r="AC35" i="37"/>
  <c r="S30" i="37"/>
  <c r="S37" i="37"/>
  <c r="AC15" i="37"/>
  <c r="J17" i="37"/>
  <c r="G73" i="37"/>
  <c r="F17" i="37"/>
  <c r="AA17" i="37" s="1"/>
  <c r="AB17" i="37"/>
  <c r="F75" i="37"/>
  <c r="F19" i="37"/>
  <c r="F79" i="37"/>
  <c r="F23" i="37"/>
  <c r="S23" i="37" s="1"/>
  <c r="U23" i="37"/>
  <c r="U15" i="37"/>
  <c r="AC13" i="37"/>
  <c r="AA13" i="37"/>
  <c r="H10" i="37"/>
  <c r="AB10" i="37" s="1"/>
  <c r="F63" i="37"/>
  <c r="F11" i="37"/>
  <c r="S11" i="37" s="1"/>
  <c r="W25" i="34"/>
  <c r="AB8" i="34"/>
  <c r="AA33" i="34"/>
  <c r="U43" i="34"/>
  <c r="AC39" i="34"/>
  <c r="AC42" i="34"/>
  <c r="AB35" i="34"/>
  <c r="U39" i="34"/>
  <c r="AB41" i="34"/>
  <c r="AA45" i="34"/>
  <c r="AA25" i="34"/>
  <c r="S17" i="34"/>
  <c r="AA29" i="34"/>
  <c r="U27" i="34"/>
  <c r="U15" i="34"/>
  <c r="S13" i="34"/>
  <c r="H10" i="34"/>
  <c r="AB10" i="34" s="1"/>
  <c r="F11" i="34"/>
  <c r="S11" i="34" s="1"/>
  <c r="F70" i="34"/>
  <c r="G70" i="34" s="1"/>
  <c r="H70" i="34" s="1"/>
  <c r="I70" i="34" s="1"/>
  <c r="J70" i="34" s="1"/>
  <c r="K70" i="34" s="1"/>
  <c r="L70" i="34" s="1"/>
  <c r="M70" i="34" s="1"/>
  <c r="AA29" i="33"/>
  <c r="AB29" i="33"/>
  <c r="W38" i="33"/>
  <c r="H41" i="33"/>
  <c r="U4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J23" i="33"/>
  <c r="AC23" i="33" s="1"/>
  <c r="H23" i="33"/>
  <c r="U23" i="33" s="1"/>
  <c r="F19" i="33"/>
  <c r="S19" i="33" s="1"/>
  <c r="J17" i="33"/>
  <c r="W17" i="33" s="1"/>
  <c r="U9" i="33"/>
  <c r="J10" i="33"/>
  <c r="W10" i="33" s="1"/>
  <c r="H10" i="33"/>
  <c r="U10" i="33" s="1"/>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G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U32" i="36"/>
  <c r="W29" i="36"/>
  <c r="AC20" i="36"/>
  <c r="AB28" i="36"/>
  <c r="AA13" i="36"/>
  <c r="W9" i="36"/>
  <c r="W22" i="36"/>
  <c r="W23"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23" i="34"/>
  <c r="AC35" i="34"/>
  <c r="W35" i="34"/>
  <c r="AB28" i="33"/>
  <c r="W46" i="33"/>
  <c r="U39" i="33"/>
  <c r="U38" i="33"/>
  <c r="S33" i="33"/>
  <c r="S30" i="33"/>
  <c r="AA30" i="33"/>
  <c r="AC14" i="33"/>
  <c r="W14" i="33"/>
  <c r="AC30" i="33"/>
  <c r="S31" i="33"/>
  <c r="AA31" i="33"/>
  <c r="W13" i="33"/>
  <c r="AC13" i="33"/>
  <c r="S28" i="33"/>
  <c r="W9"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AA30" i="21"/>
  <c r="W13"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A21" i="39"/>
  <c r="S21" i="39"/>
  <c r="S17" i="37"/>
  <c r="J19" i="37"/>
  <c r="W19" i="37" s="1"/>
  <c r="G75" i="37"/>
  <c r="AA23" i="37"/>
  <c r="J23" i="37"/>
  <c r="W23" i="37" s="1"/>
  <c r="G79" i="37"/>
  <c r="J10" i="37"/>
  <c r="W10" i="37" s="1"/>
  <c r="G63" i="37"/>
  <c r="H63" i="37" s="1"/>
  <c r="I63" i="37" s="1"/>
  <c r="H11" i="37"/>
  <c r="AB11" i="37" s="1"/>
  <c r="H11" i="34"/>
  <c r="U11" i="34" s="1"/>
  <c r="J10" i="34"/>
  <c r="AC10" i="34" s="1"/>
  <c r="W35" i="33"/>
  <c r="J27" i="33"/>
  <c r="W27" i="33" s="1"/>
  <c r="F23" i="33"/>
  <c r="H17" i="33"/>
  <c r="U17" i="33" s="1"/>
  <c r="F17" i="33"/>
  <c r="S17" i="33" s="1"/>
  <c r="S37" i="21"/>
  <c r="AA23" i="21"/>
  <c r="AB15" i="21"/>
  <c r="J23" i="21"/>
  <c r="H23" i="21"/>
  <c r="AB23" i="21" s="1"/>
  <c r="D6" i="52"/>
  <c r="AP7" i="1"/>
  <c r="AB45" i="21"/>
  <c r="U9" i="21"/>
  <c r="AA32" i="21"/>
  <c r="S32" i="21"/>
  <c r="AC9" i="21"/>
  <c r="AB32" i="21"/>
  <c r="U32" i="21"/>
  <c r="A18" i="62"/>
  <c r="B64" i="72" s="1"/>
  <c r="U32" i="39"/>
  <c r="AC32" i="39"/>
  <c r="W32" i="39"/>
  <c r="J63" i="37"/>
  <c r="K63" i="37" s="1"/>
  <c r="L63" i="37" s="1"/>
  <c r="M63" i="37" s="1"/>
  <c r="J11" i="37"/>
  <c r="AC11" i="37" s="1"/>
  <c r="J11" i="34"/>
  <c r="W11" i="34" s="1"/>
  <c r="AC23" i="2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19" i="9"/>
  <c r="F7" i="73"/>
  <c r="F6" i="15"/>
  <c r="E9" i="76"/>
  <c r="F42" i="15"/>
  <c r="M22" i="15"/>
  <c r="M8" i="15"/>
  <c r="B7" i="76"/>
  <c r="C76" i="15"/>
  <c r="E2" i="68"/>
  <c r="F9" i="67"/>
  <c r="B8" i="76"/>
  <c r="E7" i="76"/>
  <c r="F36" i="67"/>
  <c r="L47" i="15"/>
  <c r="F6" i="73"/>
  <c r="C20" i="9"/>
  <c r="M22" i="67"/>
  <c r="M26" i="67"/>
  <c r="F43" i="67"/>
  <c r="F37" i="15"/>
  <c r="E13" i="76"/>
  <c r="F8" i="67"/>
  <c r="F16" i="15"/>
  <c r="B12" i="76"/>
  <c r="C76" i="67"/>
  <c r="F36" i="15"/>
  <c r="F4" i="73"/>
  <c r="M29" i="15"/>
  <c r="M9" i="67"/>
  <c r="F40" i="67"/>
  <c r="AO13" i="1"/>
  <c r="M26" i="15"/>
  <c r="F7" i="67"/>
  <c r="M23" i="67"/>
  <c r="M23" i="15"/>
  <c r="F38" i="67"/>
  <c r="F26" i="67"/>
  <c r="F5" i="73"/>
  <c r="F6" i="67"/>
  <c r="M28" i="67"/>
  <c r="B11" i="76"/>
  <c r="B9" i="76"/>
  <c r="F37" i="67"/>
  <c r="F20" i="31"/>
  <c r="M6" i="15"/>
  <c r="E2" i="69"/>
  <c r="D20" i="9"/>
  <c r="F42" i="67"/>
  <c r="D6" i="73"/>
  <c r="E10" i="76"/>
  <c r="F7" i="15"/>
  <c r="F13" i="67"/>
  <c r="D35" i="9"/>
  <c r="F13" i="15"/>
  <c r="F9" i="15"/>
  <c r="M28" i="15"/>
  <c r="L48" i="67"/>
  <c r="C19" i="9"/>
  <c r="D34" i="9"/>
  <c r="E8" i="76"/>
  <c r="F38" i="15"/>
  <c r="M24" i="67"/>
  <c r="M29" i="67"/>
  <c r="M6" i="67"/>
  <c r="E11" i="76"/>
  <c r="M24" i="15"/>
  <c r="E12" i="76"/>
  <c r="F43" i="15"/>
  <c r="L47" i="67"/>
  <c r="J15" i="67"/>
  <c r="J15" i="15"/>
  <c r="F16" i="67"/>
  <c r="L48" i="15"/>
  <c r="M8" i="67"/>
  <c r="B13" i="76"/>
  <c r="F8" i="15"/>
  <c r="F3" i="73"/>
  <c r="B10" i="76"/>
  <c r="W16" i="35" l="1"/>
  <c r="J19" i="33"/>
  <c r="AC19" i="33" s="1"/>
  <c r="H19" i="33"/>
  <c r="AB19" i="33" s="1"/>
  <c r="S15" i="33"/>
  <c r="G89" i="35"/>
  <c r="H89" i="35" s="1"/>
  <c r="I89" i="35" s="1"/>
  <c r="J89" i="35" s="1"/>
  <c r="K89" i="35" s="1"/>
  <c r="L89" i="35" s="1"/>
  <c r="M89" i="35" s="1"/>
  <c r="F30" i="35"/>
  <c r="S30" i="35" s="1"/>
  <c r="F28" i="35"/>
  <c r="AA28" i="35" s="1"/>
  <c r="H28" i="35"/>
  <c r="AB28" i="35" s="1"/>
  <c r="J28" i="35"/>
  <c r="AC28" i="35" s="1"/>
  <c r="H30" i="35"/>
  <c r="AB30" i="35" s="1"/>
  <c r="J30" i="35"/>
  <c r="W30" i="35" s="1"/>
  <c r="H87" i="35"/>
  <c r="I87" i="35" s="1"/>
  <c r="J87" i="35" s="1"/>
  <c r="K87" i="35" s="1"/>
  <c r="L87" i="35" s="1"/>
  <c r="M87" i="35" s="1"/>
  <c r="F29" i="35"/>
  <c r="S29" i="35" s="1"/>
  <c r="J29" i="35"/>
  <c r="H29" i="35"/>
  <c r="AB29" i="35" s="1"/>
  <c r="AA29" i="35"/>
  <c r="AC27" i="35"/>
  <c r="J22" i="35"/>
  <c r="AC22" i="35" s="1"/>
  <c r="AC20" i="35"/>
  <c r="AB20" i="35"/>
  <c r="AB16" i="35"/>
  <c r="AA16" i="35"/>
  <c r="S22" i="35"/>
  <c r="U22" i="35"/>
  <c r="S20" i="35"/>
  <c r="AA18" i="35"/>
  <c r="AC18" i="35"/>
  <c r="U14" i="35"/>
  <c r="AC14" i="35"/>
  <c r="U13" i="35"/>
  <c r="AB13" i="35"/>
  <c r="J13" i="35"/>
  <c r="AC11" i="35"/>
  <c r="AB34" i="35"/>
  <c r="U32" i="35"/>
  <c r="U31" i="35"/>
  <c r="AC30" i="35"/>
  <c r="S27" i="35"/>
  <c r="W8" i="33"/>
  <c r="J25" i="33"/>
  <c r="W25" i="33" s="1"/>
  <c r="F25" i="33"/>
  <c r="S25" i="33" s="1"/>
  <c r="H25" i="33"/>
  <c r="AB25" i="33" s="1"/>
  <c r="G111" i="33"/>
  <c r="F36" i="33"/>
  <c r="AA36" i="33" s="1"/>
  <c r="J36" i="33"/>
  <c r="W36" i="33" s="1"/>
  <c r="W44" i="33"/>
  <c r="AA44" i="33"/>
  <c r="AB44" i="33"/>
  <c r="S36" i="33"/>
  <c r="W37" i="33"/>
  <c r="U37" i="33"/>
  <c r="AC34" i="33"/>
  <c r="AA41" i="33"/>
  <c r="W41" i="33"/>
  <c r="U35" i="33"/>
  <c r="AA34" i="33"/>
  <c r="S32" i="33"/>
  <c r="U32" i="33"/>
  <c r="W32" i="33"/>
  <c r="AC28" i="33"/>
  <c r="S27" i="33"/>
  <c r="AC21" i="33"/>
  <c r="U19" i="33"/>
  <c r="AA19" i="33"/>
  <c r="U15" i="33"/>
  <c r="AA14" i="33"/>
  <c r="S13" i="33"/>
  <c r="S11" i="33"/>
  <c r="W42" i="33"/>
  <c r="U42" i="33"/>
  <c r="S42" i="33"/>
  <c r="AB41" i="33"/>
  <c r="AA37" i="33"/>
  <c r="W33" i="33"/>
  <c r="AB27" i="33"/>
  <c r="AC27" i="33"/>
  <c r="AA25" i="33"/>
  <c r="M20" i="67"/>
  <c r="F34" i="67"/>
  <c r="F62" i="67" s="1"/>
  <c r="F34" i="15"/>
  <c r="F62" i="15" s="1"/>
  <c r="D93" i="9"/>
  <c r="B41" i="1"/>
  <c r="C40" i="69"/>
  <c r="C21" i="68"/>
  <c r="A4" i="52"/>
  <c r="B41" i="72" s="1"/>
  <c r="A118" i="9"/>
  <c r="A2" i="9"/>
  <c r="AA13" i="21"/>
  <c r="S13" i="21"/>
  <c r="AC17" i="21"/>
  <c r="AC15" i="21"/>
  <c r="W17" i="37"/>
  <c r="AC17" i="37"/>
  <c r="AA43" i="34"/>
  <c r="S43" i="34"/>
  <c r="AB25" i="36"/>
  <c r="U25" i="36"/>
  <c r="AC40" i="37"/>
  <c r="W40" i="37"/>
  <c r="AC37" i="37"/>
  <c r="W37" i="37"/>
  <c r="S33" i="35"/>
  <c r="AA33" i="35"/>
  <c r="AA23" i="34"/>
  <c r="S23" i="34"/>
  <c r="AA35" i="33"/>
  <c r="AB32" i="37"/>
  <c r="U32" i="37"/>
  <c r="AZ377" i="3"/>
  <c r="AZ361" i="3"/>
  <c r="AZ345" i="3"/>
  <c r="AZ342" i="3"/>
  <c r="AZ337" i="3"/>
  <c r="AZ309" i="3"/>
  <c r="AB14" i="40"/>
  <c r="U14" i="40"/>
  <c r="AB46" i="33"/>
  <c r="U46" i="33"/>
  <c r="W28" i="21"/>
  <c r="AC28" i="21"/>
  <c r="U23" i="21"/>
  <c r="AC25" i="33"/>
  <c r="AC23" i="37"/>
  <c r="AC17" i="33"/>
  <c r="AB23" i="33"/>
  <c r="U21" i="39"/>
  <c r="U12" i="39"/>
  <c r="AC30" i="40"/>
  <c r="W30" i="40"/>
  <c r="U35" i="37"/>
  <c r="AB35" i="37"/>
  <c r="AZ383" i="3"/>
  <c r="AB25" i="39"/>
  <c r="AA15" i="37"/>
  <c r="S15" i="37"/>
  <c r="AA45" i="33"/>
  <c r="S45" i="33"/>
  <c r="U26" i="33"/>
  <c r="AB26" i="33"/>
  <c r="W11" i="33"/>
  <c r="AC11" i="33"/>
  <c r="AA17" i="33"/>
  <c r="S19" i="37"/>
  <c r="AA19" i="37"/>
  <c r="AZ499" i="3"/>
  <c r="AA11" i="36"/>
  <c r="S11" i="36"/>
  <c r="AC42" i="21"/>
  <c r="W42" i="21"/>
  <c r="AZ515" i="3"/>
  <c r="AZ533" i="3"/>
  <c r="AZ561" i="3"/>
  <c r="AZ569" i="3"/>
  <c r="AZ579" i="3"/>
  <c r="AZ524" i="3"/>
  <c r="AA12" i="36"/>
  <c r="BL587" i="3"/>
  <c r="AZ587" i="3" s="1"/>
  <c r="J12" i="36"/>
  <c r="H12" i="36"/>
  <c r="J39" i="37"/>
  <c r="F39" i="37"/>
  <c r="S39" i="37" s="1"/>
  <c r="AZ387" i="3"/>
  <c r="AZ366" i="3"/>
  <c r="AZ338" i="3"/>
  <c r="AZ371" i="3"/>
  <c r="AZ305" i="3"/>
  <c r="AZ204" i="3"/>
  <c r="AZ360" i="3"/>
  <c r="U26" i="37"/>
  <c r="AZ505" i="3"/>
  <c r="AZ525" i="3"/>
  <c r="AZ529" i="3"/>
  <c r="AZ537" i="3"/>
  <c r="AZ526" i="3"/>
  <c r="AZ546" i="3"/>
  <c r="AZ564" i="3"/>
  <c r="AZ580" i="3"/>
  <c r="F45" i="21"/>
  <c r="AB34" i="33"/>
  <c r="W15" i="33"/>
  <c r="U28" i="34"/>
  <c r="W41" i="34"/>
  <c r="AZ14" i="3"/>
  <c r="S14" i="35"/>
  <c r="F29" i="6"/>
  <c r="AZ391" i="3"/>
  <c r="AZ318" i="3"/>
  <c r="AZ364" i="3"/>
  <c r="AZ329" i="3"/>
  <c r="AZ304" i="3"/>
  <c r="AZ139" i="3"/>
  <c r="AZ306" i="3"/>
  <c r="U11" i="33"/>
  <c r="AZ535" i="3"/>
  <c r="AZ577" i="3"/>
  <c r="AZ557" i="3"/>
  <c r="AZ513" i="3"/>
  <c r="AZ575" i="3"/>
  <c r="AZ528" i="3"/>
  <c r="AZ566" i="3"/>
  <c r="AZ574" i="3"/>
  <c r="AZ582" i="3"/>
  <c r="AZ540" i="3"/>
  <c r="AZ502" i="3"/>
  <c r="S28" i="34"/>
  <c r="J26" i="33"/>
  <c r="F26" i="33"/>
  <c r="AA31" i="35"/>
  <c r="S31" i="35"/>
  <c r="G587" i="3"/>
  <c r="AC31" i="35"/>
  <c r="H25" i="37"/>
  <c r="BA551" i="3"/>
  <c r="AZ551" i="3" s="1"/>
  <c r="BA550" i="3"/>
  <c r="AZ550" i="3" s="1"/>
  <c r="BL548" i="3"/>
  <c r="AZ548" i="3" s="1"/>
  <c r="BL585" i="3"/>
  <c r="AZ585" i="3" s="1"/>
  <c r="F9" i="34"/>
  <c r="AA9" i="34" s="1"/>
  <c r="J9" i="34"/>
  <c r="J12" i="34"/>
  <c r="H12" i="34"/>
  <c r="H9" i="34"/>
  <c r="G551" i="3"/>
  <c r="BL550" i="3"/>
  <c r="G542" i="3"/>
  <c r="AZ400" i="3"/>
  <c r="AZ443" i="3"/>
  <c r="AZ469" i="3"/>
  <c r="BL398" i="3"/>
  <c r="BL403" i="3"/>
  <c r="BA408" i="3"/>
  <c r="BA409" i="3"/>
  <c r="AZ409" i="3" s="1"/>
  <c r="BA411" i="3"/>
  <c r="BL414" i="3"/>
  <c r="BL415" i="3"/>
  <c r="BA417" i="3"/>
  <c r="BL421" i="3"/>
  <c r="BL422" i="3"/>
  <c r="BL425" i="3"/>
  <c r="BL426" i="3"/>
  <c r="BA428" i="3"/>
  <c r="BA429" i="3"/>
  <c r="BA430" i="3"/>
  <c r="AZ430" i="3" s="1"/>
  <c r="BA432" i="3"/>
  <c r="BA434" i="3"/>
  <c r="AZ434" i="3" s="1"/>
  <c r="BA436" i="3"/>
  <c r="BA438" i="3"/>
  <c r="BA446" i="3"/>
  <c r="BA450" i="3"/>
  <c r="AZ450" i="3" s="1"/>
  <c r="BA453" i="3"/>
  <c r="AZ453" i="3" s="1"/>
  <c r="BA455" i="3"/>
  <c r="AZ455" i="3" s="1"/>
  <c r="BL457" i="3"/>
  <c r="BL460" i="3"/>
  <c r="BL461" i="3"/>
  <c r="BL463" i="3"/>
  <c r="BA471" i="3"/>
  <c r="BL317" i="3"/>
  <c r="BA349" i="3"/>
  <c r="AZ349" i="3" s="1"/>
  <c r="BA353" i="3"/>
  <c r="BL353" i="3"/>
  <c r="BA358" i="3"/>
  <c r="AZ358" i="3" s="1"/>
  <c r="BL365" i="3"/>
  <c r="AZ365" i="3" s="1"/>
  <c r="BA368" i="3"/>
  <c r="BL368" i="3"/>
  <c r="BL386" i="3"/>
  <c r="BA240" i="3"/>
  <c r="AZ240" i="3" s="1"/>
  <c r="G574"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AZ442" i="3" s="1"/>
  <c r="BL444" i="3"/>
  <c r="AZ444" i="3" s="1"/>
  <c r="G446" i="3"/>
  <c r="G447" i="3"/>
  <c r="BL448" i="3"/>
  <c r="AZ448" i="3" s="1"/>
  <c r="G450" i="3"/>
  <c r="G451" i="3"/>
  <c r="BA454" i="3"/>
  <c r="BA457" i="3"/>
  <c r="AZ457" i="3" s="1"/>
  <c r="BA459" i="3"/>
  <c r="AZ459" i="3" s="1"/>
  <c r="BA460" i="3"/>
  <c r="BA461" i="3"/>
  <c r="BL464" i="3"/>
  <c r="BL466" i="3"/>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L383" i="3"/>
  <c r="BL385" i="3"/>
  <c r="BA388" i="3"/>
  <c r="AZ388" i="3" s="1"/>
  <c r="BA395" i="3"/>
  <c r="AZ395" i="3" s="1"/>
  <c r="BA211" i="3"/>
  <c r="AZ211" i="3" s="1"/>
  <c r="BL212" i="3"/>
  <c r="AZ403" i="3"/>
  <c r="AZ404" i="3"/>
  <c r="AZ405" i="3"/>
  <c r="AZ407" i="3"/>
  <c r="AZ419" i="3"/>
  <c r="AZ422" i="3"/>
  <c r="AZ464" i="3"/>
  <c r="AZ466" i="3"/>
  <c r="BA397" i="3"/>
  <c r="AZ397" i="3" s="1"/>
  <c r="BL397" i="3"/>
  <c r="BA214" i="3"/>
  <c r="AZ214" i="3" s="1"/>
  <c r="BL215"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A384" i="3"/>
  <c r="AZ384" i="3" s="1"/>
  <c r="BL225" i="3"/>
  <c r="BL226" i="3"/>
  <c r="BA239" i="3"/>
  <c r="BL239" i="3"/>
  <c r="BA241" i="3"/>
  <c r="AZ241" i="3" s="1"/>
  <c r="BL241" i="3"/>
  <c r="BA244" i="3"/>
  <c r="BL244" i="3"/>
  <c r="BA246" i="3"/>
  <c r="BA252" i="3"/>
  <c r="AZ252" i="3" s="1"/>
  <c r="BA254" i="3"/>
  <c r="AZ254" i="3" s="1"/>
  <c r="BA256" i="3"/>
  <c r="AZ256" i="3" s="1"/>
  <c r="BL256" i="3"/>
  <c r="BA258" i="3"/>
  <c r="BL264" i="3"/>
  <c r="BL266" i="3"/>
  <c r="AZ125" i="3"/>
  <c r="AZ137" i="3"/>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BA164" i="3"/>
  <c r="AZ164" i="3" s="1"/>
  <c r="BA166" i="3"/>
  <c r="AZ166" i="3" s="1"/>
  <c r="G170" i="3"/>
  <c r="BL177" i="3"/>
  <c r="AZ177" i="3" s="1"/>
  <c r="G17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A180" i="3"/>
  <c r="AZ18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L163" i="3"/>
  <c r="AZ163" i="3" s="1"/>
  <c r="BL167" i="3"/>
  <c r="AZ167" i="3" s="1"/>
  <c r="BA176" i="3"/>
  <c r="AZ176" i="3" s="1"/>
  <c r="BA178" i="3"/>
  <c r="AZ178" i="3" s="1"/>
  <c r="BL183" i="3"/>
  <c r="AZ183" i="3" s="1"/>
  <c r="BA186" i="3"/>
  <c r="AZ186" i="3" s="1"/>
  <c r="BA190" i="3"/>
  <c r="G196" i="3"/>
  <c r="BA197" i="3"/>
  <c r="AZ197" i="3" s="1"/>
  <c r="BL201" i="3"/>
  <c r="AZ201" i="3" s="1"/>
  <c r="BL203" i="3"/>
  <c r="AZ203" i="3" s="1"/>
  <c r="BA204" i="3"/>
  <c r="BA18" i="3"/>
  <c r="G21" i="3"/>
  <c r="BL21" i="3"/>
  <c r="AZ21" i="3" s="1"/>
  <c r="G29" i="3"/>
  <c r="BL29" i="3"/>
  <c r="AZ29" i="3" s="1"/>
  <c r="BA37" i="3"/>
  <c r="G39" i="3"/>
  <c r="BL39" i="3"/>
  <c r="BA45" i="3"/>
  <c r="AZ45" i="3" s="1"/>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G105" i="3"/>
  <c r="BL106" i="3"/>
  <c r="BA108" i="3"/>
  <c r="AZ108" i="3" s="1"/>
  <c r="BL111" i="3"/>
  <c r="D44" i="71"/>
  <c r="T44" i="71"/>
  <c r="D34" i="71"/>
  <c r="C35" i="71"/>
  <c r="C55" i="71"/>
  <c r="D54" i="71"/>
  <c r="D67" i="71"/>
  <c r="C66" i="71"/>
  <c r="O67" i="71"/>
  <c r="BA185" i="3"/>
  <c r="BA196" i="3"/>
  <c r="AZ196" i="3" s="1"/>
  <c r="AZ25" i="3"/>
  <c r="BA36" i="3"/>
  <c r="BA39" i="3"/>
  <c r="AZ39" i="3" s="1"/>
  <c r="BL47" i="3"/>
  <c r="AZ47" i="3" s="1"/>
  <c r="G49" i="3"/>
  <c r="BA52" i="3"/>
  <c r="AZ52" i="3" s="1"/>
  <c r="BA53" i="3"/>
  <c r="BA54" i="3"/>
  <c r="AZ54" i="3" s="1"/>
  <c r="BL57" i="3"/>
  <c r="G62" i="3"/>
  <c r="BL62" i="3"/>
  <c r="BL63" i="3"/>
  <c r="BL68" i="3"/>
  <c r="BA69" i="3"/>
  <c r="G78" i="3"/>
  <c r="AZ103" i="3"/>
  <c r="C64" i="71"/>
  <c r="D63" i="71"/>
  <c r="BL189" i="3"/>
  <c r="AZ189" i="3" s="1"/>
  <c r="BL190" i="3"/>
  <c r="BA192" i="3"/>
  <c r="AZ192" i="3" s="1"/>
  <c r="BL199" i="3"/>
  <c r="AZ199" i="3" s="1"/>
  <c r="BA200" i="3"/>
  <c r="AZ200" i="3" s="1"/>
  <c r="BA202" i="3"/>
  <c r="BL207" i="3"/>
  <c r="BL18" i="3"/>
  <c r="BL19" i="3"/>
  <c r="BA20" i="3"/>
  <c r="AZ20" i="3" s="1"/>
  <c r="BL25" i="3"/>
  <c r="BL27" i="3"/>
  <c r="BA28" i="3"/>
  <c r="AZ28" i="3" s="1"/>
  <c r="BA31" i="3"/>
  <c r="AZ31" i="3" s="1"/>
  <c r="G38" i="3"/>
  <c r="BA38" i="3"/>
  <c r="AZ38" i="3" s="1"/>
  <c r="AZ62" i="3"/>
  <c r="AZ64" i="3"/>
  <c r="BA80" i="3"/>
  <c r="BL84" i="3"/>
  <c r="BA90" i="3"/>
  <c r="BA109" i="3"/>
  <c r="BA111" i="3"/>
  <c r="AZ111" i="3" s="1"/>
  <c r="K13" i="1"/>
  <c r="M13" i="1" s="1"/>
  <c r="O13" i="1" s="1"/>
  <c r="P13" i="1" s="1"/>
  <c r="D31" i="71"/>
  <c r="C32" i="71"/>
  <c r="D50" i="71"/>
  <c r="C51" i="7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5" i="3"/>
  <c r="BL56" i="3"/>
  <c r="BA58" i="3"/>
  <c r="BL59" i="3"/>
  <c r="AZ59" i="3" s="1"/>
  <c r="BL60" i="3"/>
  <c r="BA61" i="3"/>
  <c r="AZ61" i="3" s="1"/>
  <c r="BL69" i="3"/>
  <c r="G70" i="3"/>
  <c r="BL70" i="3"/>
  <c r="AZ70" i="3" s="1"/>
  <c r="BL71" i="3"/>
  <c r="BL72" i="3"/>
  <c r="AZ72" i="3" s="1"/>
  <c r="G74" i="3"/>
  <c r="BA75" i="3"/>
  <c r="AZ75" i="3" s="1"/>
  <c r="BL86" i="3"/>
  <c r="AZ86" i="3" s="1"/>
  <c r="G87" i="3"/>
  <c r="BA91" i="3"/>
  <c r="AZ91" i="3" s="1"/>
  <c r="BA98" i="3"/>
  <c r="BA100" i="3"/>
  <c r="AZ100" i="3" s="1"/>
  <c r="BA102" i="3"/>
  <c r="AZ102" i="3" s="1"/>
  <c r="BL105" i="3"/>
  <c r="AZ105" i="3" s="1"/>
  <c r="BL107" i="3"/>
  <c r="T28" i="71"/>
  <c r="D28" i="71"/>
  <c r="U28" i="71" s="1"/>
  <c r="C27" i="71"/>
  <c r="F66" i="71"/>
  <c r="Q67" i="71"/>
  <c r="V24" i="71"/>
  <c r="E23" i="71"/>
  <c r="E22" i="71" s="1"/>
  <c r="E21" i="71" s="1"/>
  <c r="E20" i="71" s="1"/>
  <c r="E19" i="71" s="1"/>
  <c r="E18" i="71" s="1"/>
  <c r="E17" i="71" s="1"/>
  <c r="E16" i="71" s="1"/>
  <c r="S21" i="33"/>
  <c r="S21" i="37"/>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7" i="3"/>
  <c r="AZ468" i="3"/>
  <c r="AZ470" i="3"/>
  <c r="W35" i="39"/>
  <c r="F27" i="34"/>
  <c r="C21" i="39"/>
  <c r="U9" i="36"/>
  <c r="U14" i="37"/>
  <c r="H12" i="21"/>
  <c r="G526" i="3"/>
  <c r="AZ420" i="3"/>
  <c r="AZ42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90" i="3"/>
  <c r="BL78" i="3"/>
  <c r="AZ78" i="3" s="1"/>
  <c r="BA83" i="3"/>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C36" i="68"/>
  <c r="D9" i="69"/>
  <c r="C36" i="69"/>
  <c r="D9" i="68"/>
  <c r="M9" i="15"/>
  <c r="C16" i="15"/>
  <c r="D7" i="73"/>
  <c r="D5" i="73"/>
  <c r="F40" i="15"/>
  <c r="C16" i="67"/>
  <c r="D4" i="73"/>
  <c r="F26" i="15"/>
  <c r="D3" i="73"/>
  <c r="W19" i="33" l="1"/>
  <c r="U28" i="35"/>
  <c r="U30" i="35"/>
  <c r="S28" i="35"/>
  <c r="W28" i="35"/>
  <c r="W29" i="35"/>
  <c r="AC29" i="35"/>
  <c r="U29" i="35"/>
  <c r="W22" i="35"/>
  <c r="AC13" i="35"/>
  <c r="W13" i="35"/>
  <c r="U25" i="33"/>
  <c r="H111" i="33"/>
  <c r="I111" i="33" s="1"/>
  <c r="J111" i="33" s="1"/>
  <c r="K111" i="33" s="1"/>
  <c r="L111" i="33" s="1"/>
  <c r="M111" i="33" s="1"/>
  <c r="H36" i="33"/>
  <c r="F48" i="9"/>
  <c r="O52" i="9" s="1"/>
  <c r="F31" i="12"/>
  <c r="C31" i="12" s="1"/>
  <c r="F30" i="69"/>
  <c r="D68" i="9"/>
  <c r="F30" i="68"/>
  <c r="F52" i="9"/>
  <c r="F32" i="15"/>
  <c r="F60" i="15" s="1"/>
  <c r="F54" i="9"/>
  <c r="F30" i="11"/>
  <c r="M18" i="67"/>
  <c r="M18" i="15"/>
  <c r="F28" i="67"/>
  <c r="C28" i="67" s="1"/>
  <c r="F28" i="15"/>
  <c r="C28" i="15" s="1"/>
  <c r="F32" i="67"/>
  <c r="F60" i="67" s="1"/>
  <c r="N94" i="46"/>
  <c r="P6" i="1"/>
  <c r="C13" i="12" s="1"/>
  <c r="E28" i="6"/>
  <c r="K14" i="1" s="1"/>
  <c r="K16" i="1" s="1"/>
  <c r="G26" i="43"/>
  <c r="Q16" i="1"/>
  <c r="F27" i="69" s="1"/>
  <c r="F45" i="69" s="1"/>
  <c r="H16" i="1"/>
  <c r="F26" i="43"/>
  <c r="D26" i="43" s="1"/>
  <c r="C25" i="43" s="1"/>
  <c r="G16" i="1"/>
  <c r="F10" i="39" s="1"/>
  <c r="S10" i="39" s="1"/>
  <c r="E26" i="43"/>
  <c r="C27" i="15"/>
  <c r="F68" i="15"/>
  <c r="C70" i="71"/>
  <c r="D70" i="71" s="1"/>
  <c r="D71" i="71"/>
  <c r="C26" i="71"/>
  <c r="D26" i="71" s="1"/>
  <c r="D27" i="71"/>
  <c r="T32" i="71"/>
  <c r="D32" i="71"/>
  <c r="C56" i="71"/>
  <c r="D55" i="71"/>
  <c r="AZ428" i="3"/>
  <c r="AZ411" i="3"/>
  <c r="AB9" i="34"/>
  <c r="U9" i="34"/>
  <c r="AC26" i="33"/>
  <c r="W26" i="33"/>
  <c r="U12" i="36"/>
  <c r="AB12" i="36"/>
  <c r="AZ109" i="3"/>
  <c r="AZ83" i="3"/>
  <c r="AZ202" i="3"/>
  <c r="AZ209" i="3"/>
  <c r="AZ234" i="3"/>
  <c r="C40" i="71"/>
  <c r="D39" i="71"/>
  <c r="D75" i="71"/>
  <c r="C74" i="71"/>
  <c r="D74" i="71" s="1"/>
  <c r="AZ58" i="3"/>
  <c r="AZ53" i="3"/>
  <c r="O65" i="71"/>
  <c r="D66" i="71"/>
  <c r="O66" i="71"/>
  <c r="C36" i="71"/>
  <c r="D35" i="71"/>
  <c r="AZ249" i="3"/>
  <c r="AZ263" i="3"/>
  <c r="AZ243" i="3"/>
  <c r="AZ244" i="3"/>
  <c r="AZ239" i="3"/>
  <c r="AZ461" i="3"/>
  <c r="AZ454" i="3"/>
  <c r="AZ435" i="3"/>
  <c r="AZ471" i="3"/>
  <c r="AZ432" i="3"/>
  <c r="AZ417" i="3"/>
  <c r="U12" i="34"/>
  <c r="AB12" i="34"/>
  <c r="AA45" i="21"/>
  <c r="S45" i="21"/>
  <c r="W12" i="36"/>
  <c r="AC12" i="36"/>
  <c r="J6" i="15"/>
  <c r="J18" i="15" s="1"/>
  <c r="J7" i="36"/>
  <c r="AZ206" i="3"/>
  <c r="V20" i="71"/>
  <c r="AZ101" i="3"/>
  <c r="D79" i="71"/>
  <c r="C78" i="71"/>
  <c r="D78" i="71" s="1"/>
  <c r="C52" i="71"/>
  <c r="D51" i="71"/>
  <c r="AZ27" i="3"/>
  <c r="AZ69" i="3"/>
  <c r="AZ190" i="3"/>
  <c r="AZ118" i="3"/>
  <c r="AZ271" i="3"/>
  <c r="AZ238" i="3"/>
  <c r="AZ460" i="3"/>
  <c r="AZ398" i="3"/>
  <c r="AZ368" i="3"/>
  <c r="AZ353" i="3"/>
  <c r="AZ408" i="3"/>
  <c r="W12" i="34"/>
  <c r="AC12" i="34"/>
  <c r="U25" i="37"/>
  <c r="AB25" i="37"/>
  <c r="G5" i="3"/>
  <c r="B3" i="3" s="1"/>
  <c r="E510" i="3" s="1"/>
  <c r="AZ66" i="3"/>
  <c r="D83" i="71"/>
  <c r="C82" i="71"/>
  <c r="D82" i="71" s="1"/>
  <c r="AZ421" i="3"/>
  <c r="AZ429" i="3"/>
  <c r="AC9" i="34"/>
  <c r="W9" i="34"/>
  <c r="S26" i="33"/>
  <c r="AA26" i="33"/>
  <c r="AC39" i="37"/>
  <c r="W39" i="37"/>
  <c r="K1" i="73"/>
  <c r="E292" i="3"/>
  <c r="E81" i="3"/>
  <c r="E205" i="3"/>
  <c r="E324" i="3"/>
  <c r="E463" i="3"/>
  <c r="E123" i="3"/>
  <c r="E312" i="3"/>
  <c r="E66" i="3"/>
  <c r="E471" i="3"/>
  <c r="E501" i="3"/>
  <c r="AA6" i="3"/>
  <c r="P6" i="3"/>
  <c r="E230" i="3"/>
  <c r="E450" i="3"/>
  <c r="E530" i="3"/>
  <c r="E399" i="3"/>
  <c r="AO6" i="3"/>
  <c r="E509" i="3"/>
  <c r="E563"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U7" i="36" s="1"/>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C32" i="9"/>
  <c r="Q60" i="67"/>
  <c r="Q73" i="67"/>
  <c r="M11" i="67"/>
  <c r="J10" i="67" s="1"/>
  <c r="J5" i="67" s="1"/>
  <c r="F11" i="15"/>
  <c r="M11" i="15"/>
  <c r="J10" i="15" s="1"/>
  <c r="F11" i="67"/>
  <c r="F1" i="15"/>
  <c r="Q52" i="15"/>
  <c r="J18" i="67"/>
  <c r="C32" i="15"/>
  <c r="F1" i="67"/>
  <c r="Q52" i="67"/>
  <c r="Q60" i="15"/>
  <c r="Q73" i="15"/>
  <c r="Q61" i="67"/>
  <c r="Q74" i="67"/>
  <c r="Q74" i="15"/>
  <c r="Q61" i="15"/>
  <c r="AE11" i="1"/>
  <c r="AE6" i="1"/>
  <c r="AE9" i="1"/>
  <c r="AE7" i="1"/>
  <c r="AE8" i="1"/>
  <c r="AE12" i="1"/>
  <c r="AE10" i="1"/>
  <c r="F41" i="67"/>
  <c r="G1" i="73"/>
  <c r="U36" i="33" l="1"/>
  <c r="AB36" i="33"/>
  <c r="C29" i="69"/>
  <c r="D27" i="69" s="1"/>
  <c r="C47" i="69"/>
  <c r="D45" i="69" s="1"/>
  <c r="F48" i="69"/>
  <c r="C30" i="69"/>
  <c r="C48" i="69"/>
  <c r="C48" i="11"/>
  <c r="C30" i="11"/>
  <c r="F48" i="68"/>
  <c r="C30" i="68"/>
  <c r="C48" i="68"/>
  <c r="F27" i="68"/>
  <c r="C47" i="68" s="1"/>
  <c r="D45" i="68" s="1"/>
  <c r="J10" i="39"/>
  <c r="W10" i="39" s="1"/>
  <c r="F27" i="11"/>
  <c r="C29" i="11" s="1"/>
  <c r="D27" i="11" s="1"/>
  <c r="M6" i="3"/>
  <c r="E577" i="3"/>
  <c r="E478" i="3"/>
  <c r="E553" i="3"/>
  <c r="E298" i="3"/>
  <c r="E82" i="3"/>
  <c r="E552" i="3"/>
  <c r="E393" i="3"/>
  <c r="E96" i="3"/>
  <c r="E255" i="3"/>
  <c r="E423" i="3"/>
  <c r="E70" i="3"/>
  <c r="E231" i="3"/>
  <c r="E583" i="3"/>
  <c r="E496" i="3"/>
  <c r="E548" i="3"/>
  <c r="E464" i="3"/>
  <c r="E15" i="3"/>
  <c r="E13" i="3"/>
  <c r="E249" i="3"/>
  <c r="E248" i="3"/>
  <c r="E242" i="3"/>
  <c r="E161" i="3"/>
  <c r="E201" i="3"/>
  <c r="E557" i="3"/>
  <c r="E181" i="3"/>
  <c r="E388" i="3"/>
  <c r="E150" i="3"/>
  <c r="E395" i="3"/>
  <c r="E444" i="3"/>
  <c r="E128" i="3"/>
  <c r="O6" i="3"/>
  <c r="E208" i="3"/>
  <c r="E459" i="3"/>
  <c r="E520" i="3"/>
  <c r="E364" i="3"/>
  <c r="E178" i="3"/>
  <c r="E232" i="3"/>
  <c r="E525" i="3"/>
  <c r="E513" i="3"/>
  <c r="E544" i="3"/>
  <c r="E212" i="3"/>
  <c r="X6" i="3"/>
  <c r="E215" i="3"/>
  <c r="E526" i="3"/>
  <c r="E146" i="3"/>
  <c r="E528" i="3"/>
  <c r="AS6" i="3"/>
  <c r="E314" i="3"/>
  <c r="E516" i="3"/>
  <c r="E256" i="3"/>
  <c r="E565" i="3"/>
  <c r="E403" i="3"/>
  <c r="E352" i="3"/>
  <c r="E375" i="3"/>
  <c r="E90" i="3"/>
  <c r="E170" i="3"/>
  <c r="E427" i="3"/>
  <c r="E26" i="3"/>
  <c r="E383" i="3"/>
  <c r="E492" i="3"/>
  <c r="E517" i="3"/>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451" i="3"/>
  <c r="E113" i="3"/>
  <c r="E42" i="3"/>
  <c r="E355" i="3"/>
  <c r="E46" i="3"/>
  <c r="E152" i="3"/>
  <c r="E466" i="3"/>
  <c r="E362" i="3"/>
  <c r="E277" i="3"/>
  <c r="E180" i="3"/>
  <c r="E143" i="3"/>
  <c r="E162" i="3"/>
  <c r="E31" i="3"/>
  <c r="E193" i="3"/>
  <c r="E290" i="3"/>
  <c r="E151" i="3"/>
  <c r="E166" i="3"/>
  <c r="E32" i="3"/>
  <c r="E330" i="3"/>
  <c r="E221" i="3"/>
  <c r="E97" i="3"/>
  <c r="E126" i="3"/>
  <c r="E93" i="3"/>
  <c r="E313" i="3"/>
  <c r="E154" i="3"/>
  <c r="E341" i="3"/>
  <c r="E138" i="3"/>
  <c r="E521" i="3"/>
  <c r="E176" i="3"/>
  <c r="E299" i="3"/>
  <c r="E346" i="3"/>
  <c r="E440" i="3"/>
  <c r="E326" i="3"/>
  <c r="E225" i="3"/>
  <c r="E456" i="3"/>
  <c r="E206" i="3"/>
  <c r="E281" i="3"/>
  <c r="E33" i="3"/>
  <c r="E484" i="3"/>
  <c r="E479" i="3"/>
  <c r="E499" i="3"/>
  <c r="F28" i="12"/>
  <c r="C29" i="12" s="1"/>
  <c r="D28" i="12" s="1"/>
  <c r="F10" i="40"/>
  <c r="S10" i="40" s="1"/>
  <c r="AA10" i="39"/>
  <c r="H10" i="39"/>
  <c r="U10" i="39" s="1"/>
  <c r="H10" i="40"/>
  <c r="AB10" i="40" s="1"/>
  <c r="J10" i="40"/>
  <c r="AC10" i="40" s="1"/>
  <c r="E69" i="39"/>
  <c r="J5" i="15"/>
  <c r="J24" i="15" s="1"/>
  <c r="T40" i="71"/>
  <c r="D40"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52" i="71"/>
  <c r="D52" i="7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C29" i="68" l="1"/>
  <c r="D27" i="68" s="1"/>
  <c r="F45" i="68"/>
  <c r="F24" i="67"/>
  <c r="C24" i="67" s="1"/>
  <c r="W10" i="40"/>
  <c r="AA10" i="40"/>
  <c r="AB10" i="39"/>
  <c r="H6" i="3"/>
  <c r="AC6" i="3"/>
  <c r="U10" i="40"/>
  <c r="F24" i="15"/>
  <c r="C24" i="15" s="1"/>
  <c r="F22" i="69"/>
  <c r="F41" i="69" s="1"/>
  <c r="F22" i="68"/>
  <c r="C23" i="68" s="1"/>
  <c r="F25" i="12"/>
  <c r="C26" i="12" s="1"/>
  <c r="D25" i="12" s="1"/>
  <c r="F22" i="11"/>
  <c r="C23" i="11"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C44" i="68" l="1"/>
  <c r="D41" i="68" s="1"/>
  <c r="C26" i="69"/>
  <c r="D22" i="69" s="1"/>
  <c r="F41" i="68"/>
  <c r="C44" i="11"/>
  <c r="D41" i="11" s="1"/>
  <c r="C44" i="69"/>
  <c r="D41" i="69" s="1"/>
  <c r="E6" i="3"/>
  <c r="C26" i="11"/>
  <c r="D22" i="11" s="1"/>
  <c r="C25" i="11"/>
  <c r="C24" i="11"/>
  <c r="C26" i="68"/>
  <c r="D22"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C2" i="84" s="1"/>
  <c r="C3" i="84" s="1"/>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5" i="84" s="1"/>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2" i="1"/>
  <c r="AO6"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N58" i="9"/>
  <c r="P57" i="9"/>
  <c r="E81" i="9"/>
  <c r="D53" i="9"/>
  <c r="D52" i="9"/>
  <c r="B21" i="72"/>
  <c r="E80" i="9"/>
  <c r="M54" i="9"/>
  <c r="C6" i="74"/>
  <c r="I4" i="52"/>
  <c r="C105" i="9"/>
  <c r="M48" i="9"/>
  <c r="D8" i="52"/>
  <c r="G4" i="52"/>
  <c r="B52" i="72"/>
  <c r="C93" i="9"/>
  <c r="C86" i="9"/>
  <c r="C80" i="9"/>
  <c r="C81" i="9"/>
  <c r="H119" i="9"/>
  <c r="H5" i="52"/>
  <c r="F4" i="52"/>
  <c r="B51" i="72"/>
  <c r="C5" i="74"/>
  <c r="H102" i="9"/>
  <c r="D7" i="53"/>
  <c r="C96" i="9"/>
  <c r="E96" i="9"/>
  <c r="E97" i="9"/>
  <c r="H108" i="9"/>
  <c r="D15" i="53"/>
  <c r="B31" i="72"/>
  <c r="B30" i="72"/>
  <c r="C85" i="9"/>
  <c r="C95" i="9"/>
  <c r="C97" i="9"/>
  <c r="D58" i="9"/>
  <c r="D56" i="9"/>
  <c r="B20" i="72"/>
  <c r="D122" i="9"/>
  <c r="D123" i="9"/>
  <c r="D9" i="52"/>
  <c r="C72" i="9"/>
  <c r="C79" i="9"/>
  <c r="G118" i="9"/>
  <c r="F118" i="9"/>
  <c r="F119" i="9"/>
  <c r="F5" i="52"/>
  <c r="B53" i="72"/>
  <c r="N61" i="9"/>
  <c r="N57" i="9"/>
  <c r="N59" i="9"/>
  <c r="N60" i="9"/>
  <c r="E4" i="52"/>
  <c r="B48" i="72"/>
  <c r="B47" i="72"/>
  <c r="D59" i="9"/>
  <c r="M55" i="9"/>
  <c r="D5" i="52"/>
  <c r="B49" i="72"/>
  <c r="D4" i="52"/>
  <c r="E118" i="9"/>
  <c r="D118" i="9"/>
  <c r="D119" i="9"/>
  <c r="H107" i="9"/>
  <c r="D13" i="53"/>
  <c r="D14" i="53"/>
  <c r="B32" i="72"/>
  <c r="D5" i="53"/>
  <c r="D6" i="53"/>
  <c r="B22" i="72"/>
  <c r="D55" i="9"/>
  <c r="M53" i="9"/>
  <c r="C78" i="9"/>
  <c r="C73"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<sst xmlns="http://schemas.openxmlformats.org/spreadsheetml/2006/main" count="7994" uniqueCount="3498">
  <si>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</si>
  <si>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</si>
  <si>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</si>
  <si>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</si>
  <si>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</si>
  <si>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</si>
  <si>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</si>
  <si>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</si>
  <si>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</si>
  <si>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</si>
  <si>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</si>
  <si>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</si>
  <si>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</si>
  <si>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</si>
  <si>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</si>
  <si>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</si>
  <si>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</si>
  <si>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</si>
  <si>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</si>
  <si>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</si>
  <si>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</si>
  <si>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</si>
  <si>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</si>
  <si>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</si>
  <si>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</si>
  <si>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</si>
  <si>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</si>
  <si>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</si>
  <si>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</si>
  <si>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</si>
  <si>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</si>
  <si>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</si>
  <si>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</si>
  <si>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</si>
  <si>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</si>
  <si>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</si>
  <si>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</si>
  <si>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</si>
  <si>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</si>
  <si>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</si>
  <si>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</si>
  <si>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</si>
  <si>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</si>
  <si>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</si>
  <si>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</si>
  <si>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</si>
  <si>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</si>
  <si>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</si>
  <si>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</si>
  <si>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</si>
  <si>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</si>
  <si>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</si>
  <si>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</si>
  <si>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</si>
  <si>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</si>
  <si>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</si>
  <si>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</si>
  <si>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</si>
  <si>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</si>
  <si>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</si>
  <si>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</si>
  <si>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</si>
  <si>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</si>
  <si>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</si>
  <si>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</si>
  <si>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</si>
  <si>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</si>
  <si>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</si>
  <si>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</si>
  <si>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</si>
  <si>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</si>
  <si>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</si>
  <si>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</si>
  <si>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</si>
  <si>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</si>
  <si>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</si>
  <si>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</si>
  <si>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</si>
  <si>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</si>
  <si>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</si>
  <si>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</si>
  <si>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</si>
  <si>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</si>
  <si>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</si>
  <si>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</si>
  <si>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</si>
  <si>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</si>
  <si>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</si>
  <si>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</si>
  <si>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</si>
  <si>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</si>
  <si>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</si>
  <si>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</si>
  <si>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</si>
  <si>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</si>
  <si>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</si>
  <si>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</si>
  <si>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</si>
  <si>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</si>
  <si>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</si>
  <si>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</si>
  <si>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</si>
  <si>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</si>
  <si>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</si>
  <si>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</si>
  <si>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</si>
  <si>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</si>
  <si>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</si>
  <si>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</si>
  <si>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</si>
  <si>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</si>
  <si>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</si>
  <si>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</si>
  <si>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</si>
  <si>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</si>
  <si>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</si>
  <si>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</si>
  <si>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</si>
  <si>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</si>
  <si>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</si>
  <si>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</si>
  <si>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</si>
  <si>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</si>
  <si>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</si>
  <si>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</si>
  <si>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</si>
  <si>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</si>
  <si>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</si>
  <si>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</si>
  <si>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</si>
  <si>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</si>
  <si>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</si>
  <si>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</si>
  <si>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</si>
  <si>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</si>
  <si>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</si>
  <si>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</si>
  <si>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</si>
  <si>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</si>
  <si>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</si>
  <si>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</si>
  <si>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</si>
  <si>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</si>
  <si>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</si>
  <si>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</si>
  <si>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</si>
  <si>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</si>
  <si>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</si>
  <si>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</si>
  <si>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</si>
  <si>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</si>
  <si>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</si>
  <si>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</si>
  <si>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</si>
  <si>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</si>
  <si>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</si>
  <si>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</si>
  <si>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</si>
  <si>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</si>
  <si>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</si>
  <si>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</si>
  <si>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</si>
  <si>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</si>
  <si>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</si>
  <si>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</si>
  <si>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</si>
  <si>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</si>
  <si>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</si>
  <si>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</si>
  <si>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</si>
  <si>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</si>
  <si>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</si>
  <si>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</si>
  <si>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</si>
  <si>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</si>
  <si>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</si>
  <si>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</si>
  <si>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</si>
  <si>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</si>
  <si>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</si>
  <si>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</si>
  <si>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</si>
  <si>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</si>
  <si>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</si>
  <si>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</si>
  <si>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</si>
  <si>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</si>
  <si>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</si>
  <si>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</si>
  <si>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</si>
  <si>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</si>
  <si>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</si>
  <si>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</si>
  <si>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</si>
  <si>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</si>
  <si>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</si>
  <si>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</si>
  <si>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</si>
  <si>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</si>
  <si>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</si>
  <si>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</si>
  <si>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</si>
  <si>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</si>
  <si>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</si>
  <si>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</si>
  <si>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</si>
  <si>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</si>
  <si>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</si>
  <si>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</si>
  <si>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</si>
  <si>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</si>
  <si>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</si>
  <si>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</si>
  <si>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</si>
  <si>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</si>
  <si>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</si>
  <si>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</si>
  <si>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</si>
  <si>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</si>
  <si>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</si>
  <si>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</si>
  <si>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</si>
  <si>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</si>
  <si>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</si>
  <si>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</si>
  <si>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</si>
  <si>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</si>
  <si>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</si>
  <si>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</si>
  <si>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</si>
  <si>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</si>
  <si>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</si>
  <si>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</si>
  <si>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</si>
  <si>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</si>
  <si>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</si>
  <si>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</si>
  <si>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</si>
  <si>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</si>
  <si>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</si>
  <si>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</si>
  <si>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</si>
  <si>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</si>
  <si>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</si>
  <si>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</si>
  <si>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</si>
  <si>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</si>
  <si>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</si>
  <si>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</si>
  <si>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</si>
  <si>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</si>
  <si>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</si>
  <si>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</si>
  <si>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</si>
  <si>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</si>
  <si>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</si>
  <si>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</si>
  <si>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</si>
  <si>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</si>
  <si>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</si>
  <si>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</si>
  <si>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</si>
  <si>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</si>
  <si>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</si>
  <si>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</si>
  <si>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</si>
  <si>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</si>
  <si>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</si>
  <si>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</si>
  <si>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</si>
  <si>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</si>
  <si>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</si>
  <si>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</si>
  <si>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</si>
  <si>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</si>
  <si>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</si>
  <si>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</si>
  <si>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</si>
  <si>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</si>
  <si>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</si>
  <si>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</si>
  <si>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</si>
  <si>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</si>
  <si>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</si>
  <si>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</si>
  <si>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</si>
  <si>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</si>
  <si>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</si>
  <si>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</si>
  <si>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</si>
  <si>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</si>
  <si>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</si>
  <si>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</si>
  <si>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</si>
  <si>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</si>
  <si>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</si>
  <si>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</si>
  <si>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</si>
  <si>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</si>
  <si>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</si>
  <si>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</si>
  <si>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</si>
  <si>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</si>
  <si>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</si>
  <si>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</si>
  <si>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</si>
  <si>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</si>
  <si>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</si>
  <si>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</si>
  <si>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</si>
  <si>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</si>
  <si>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</si>
  <si>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</si>
  <si>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</si>
  <si>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</si>
  <si>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</si>
  <si>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</si>
  <si>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</si>
  <si>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</si>
  <si>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</si>
  <si>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</si>
  <si>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</si>
  <si>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</si>
  <si>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</si>
  <si>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</si>
  <si>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</si>
  <si>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</si>
  <si>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</si>
  <si>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</si>
  <si>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</si>
  <si>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</si>
  <si>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</si>
  <si>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</si>
  <si>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</si>
  <si>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</si>
  <si>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</si>
  <si>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</si>
  <si>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</si>
  <si>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</si>
  <si>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</si>
  <si>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</si>
  <si>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</si>
  <si>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</si>
  <si>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</si>
  <si>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</si>
  <si>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</si>
  <si>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</si>
  <si>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</si>
  <si>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</si>
  <si>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</si>
  <si>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</si>
  <si>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</si>
  <si>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</si>
  <si>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</si>
  <si>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</si>
  <si>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</si>
  <si>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</si>
  <si>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</si>
  <si>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</si>
  <si>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</si>
  <si>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</si>
  <si>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</si>
  <si>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</si>
  <si>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</si>
  <si>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</si>
  <si>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</si>
  <si>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</si>
  <si>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</si>
  <si>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</si>
  <si>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</si>
  <si>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</si>
  <si>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</si>
  <si>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</si>
  <si>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</si>
  <si>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</si>
  <si>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</si>
  <si>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</si>
  <si>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</si>
  <si>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</si>
  <si>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</si>
  <si>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</si>
  <si>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</si>
  <si>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</si>
  <si>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</si>
  <si>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</si>
  <si>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</si>
  <si>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</si>
  <si>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</si>
  <si>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</si>
  <si>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</si>
  <si>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</si>
  <si>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</si>
  <si>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</si>
  <si>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</si>
  <si>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</si>
  <si>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</si>
  <si>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</si>
  <si>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</si>
  <si>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</si>
  <si>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</si>
  <si>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</si>
  <si>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</si>
  <si>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</si>
  <si>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</si>
  <si>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</si>
  <si>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</si>
  <si>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</si>
  <si>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</si>
  <si>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</si>
  <si>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</si>
  <si>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</si>
  <si>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</si>
  <si>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</si>
  <si>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</si>
  <si>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</si>
  <si>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</si>
  <si>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</si>
  <si>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</si>
  <si>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</si>
  <si>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</si>
  <si>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</si>
  <si>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</si>
  <si>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</si>
  <si>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</si>
  <si>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</si>
  <si>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</si>
  <si>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</si>
  <si>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</si>
  <si>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</si>
  <si>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</si>
  <si>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</si>
  <si>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</si>
  <si>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</si>
  <si>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</si>
  <si>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</si>
  <si>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</si>
  <si>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</si>
  <si>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</si>
  <si>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</si>
  <si>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</si>
  <si>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</si>
  <si>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</si>
  <si>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</si>
  <si>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</si>
  <si>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</si>
  <si>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</si>
  <si>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</si>
  <si>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</si>
  <si>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</si>
  <si>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</si>
  <si>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</si>
  <si>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</si>
  <si>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</si>
  <si>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</si>
  <si>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</si>
  <si>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</si>
  <si>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</si>
  <si>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</si>
  <si>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</si>
  <si>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</si>
  <si>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</si>
  <si>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</si>
  <si>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</si>
  <si>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</si>
  <si>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</si>
  <si>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</si>
  <si>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</si>
  <si>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</si>
  <si>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</si>
  <si>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</si>
  <si>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</si>
  <si>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</si>
  <si>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</si>
  <si>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</si>
  <si>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</si>
  <si>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</si>
  <si>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</si>
  <si>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</si>
  <si>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</si>
  <si>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</si>
  <si>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</si>
  <si>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</si>
  <si>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</si>
  <si>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</si>
  <si>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</si>
  <si>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</si>
  <si>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</si>
  <si>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</si>
  <si>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</si>
  <si>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</si>
  <si>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</si>
  <si>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</si>
  <si>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</si>
  <si>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</si>
  <si>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</si>
  <si>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</si>
  <si>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</si>
  <si>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</si>
  <si>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</si>
  <si>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</si>
  <si>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</si>
  <si>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</si>
  <si>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</si>
  <si>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</si>
  <si>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</si>
  <si>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</si>
  <si>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</si>
  <si>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</si>
  <si>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</si>
  <si>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</si>
  <si>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</si>
  <si>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</si>
  <si>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</si>
  <si>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</si>
  <si>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</si>
  <si>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</si>
  <si>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</si>
  <si>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</si>
  <si>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</si>
  <si>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</si>
  <si>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</si>
  <si>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</si>
  <si>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</si>
  <si>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</si>
  <si>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</si>
  <si>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</si>
  <si>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</si>
  <si>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</si>
  <si>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</si>
  <si>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</si>
  <si>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</si>
  <si>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</si>
  <si>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</si>
  <si>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</si>
  <si>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</si>
  <si>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</si>
  <si>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</si>
  <si>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</si>
  <si>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</si>
  <si>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</si>
  <si>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</si>
  <si>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</si>
  <si>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</si>
  <si>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</si>
  <si>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</si>
  <si>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</si>
  <si>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</si>
  <si>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</si>
  <si>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</si>
  <si>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</si>
  <si>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</si>
  <si>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</si>
  <si>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</si>
  <si>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</si>
  <si>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</si>
  <si>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</si>
  <si>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</si>
  <si>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</si>
  <si>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</si>
  <si>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</si>
  <si>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</si>
  <si>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</si>
  <si>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</si>
  <si>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</si>
  <si>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</si>
  <si>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</si>
  <si>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</si>
  <si>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</si>
  <si>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</si>
  <si>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</si>
  <si>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</si>
  <si>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</si>
  <si>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</si>
  <si>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</si>
  <si>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</si>
  <si>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</si>
  <si>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</si>
  <si>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</si>
  <si>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</si>
  <si>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</si>
  <si>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</si>
  <si>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</si>
  <si>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</si>
  <si>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</si>
  <si>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</si>
  <si>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</si>
  <si>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</si>
  <si>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</si>
  <si>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</si>
  <si>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</si>
  <si>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</si>
  <si>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</si>
  <si>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</si>
  <si>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</si>
  <si>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</si>
  <si>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</si>
  <si>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</si>
  <si>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</si>
  <si>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</si>
  <si>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</si>
  <si>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</si>
  <si>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</si>
  <si>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</si>
  <si>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</si>
  <si>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</si>
  <si>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</si>
  <si>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</si>
  <si>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</si>
  <si>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</si>
  <si>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</si>
  <si>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</si>
  <si>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</si>
  <si>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</si>
  <si>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</si>
  <si>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</si>
  <si>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</si>
  <si>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</si>
  <si>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</si>
  <si>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</si>
  <si>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</si>
  <si>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</si>
  <si>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</si>
  <si>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</si>
  <si>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</si>
  <si>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</si>
  <si>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</si>
  <si>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</si>
  <si>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</si>
  <si>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</si>
  <si>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</si>
  <si>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</si>
  <si>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</si>
  <si>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</si>
  <si>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</si>
  <si>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</si>
  <si>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</si>
  <si>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</si>
  <si>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</si>
  <si>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</si>
  <si>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</si>
  <si>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</si>
  <si>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</si>
  <si>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</si>
  <si>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</si>
  <si>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</si>
  <si>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</si>
  <si>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</si>
  <si>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</si>
  <si>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</si>
  <si>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</si>
  <si>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</si>
  <si>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</si>
  <si>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</si>
  <si>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</si>
  <si>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</si>
  <si>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</si>
  <si>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</si>
  <si>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</si>
  <si>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</si>
  <si>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</si>
  <si>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</si>
  <si>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</si>
  <si>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</si>
  <si>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</si>
  <si>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</si>
  <si>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</si>
  <si>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</si>
  <si>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</si>
  <si>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</si>
  <si>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</si>
  <si>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</si>
  <si>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</si>
  <si>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</si>
  <si>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</si>
  <si>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</si>
  <si>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</si>
  <si>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</si>
  <si>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</si>
  <si>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</si>
  <si>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</si>
  <si>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</si>
  <si>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</si>
  <si>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</si>
  <si>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</si>
  <si>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</si>
  <si>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</si>
  <si>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</si>
  <si>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</si>
  <si>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</si>
  <si>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</si>
  <si>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</si>
  <si>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</si>
  <si>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</si>
  <si>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</si>
  <si>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</si>
  <si>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</si>
  <si>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</si>
  <si>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</si>
  <si>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</si>
  <si>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</si>
  <si>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</si>
  <si>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</si>
  <si>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</si>
  <si>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</si>
  <si>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</si>
  <si>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</si>
  <si>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</si>
  <si>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</si>
  <si>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</si>
  <si>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</si>
  <si>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</si>
  <si>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</si>
  <si>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</si>
  <si>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</si>
  <si>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</si>
  <si>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</si>
  <si>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</si>
  <si>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</si>
  <si>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</si>
  <si>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</si>
  <si>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</si>
  <si>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</si>
  <si>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</si>
  <si>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</si>
  <si>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</si>
  <si>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</si>
  <si>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</si>
  <si>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</si>
  <si>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</si>
  <si>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</si>
  <si>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</si>
  <si>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</si>
  <si>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</si>
  <si>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</si>
  <si>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</si>
  <si>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</si>
  <si>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</si>
  <si>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</si>
  <si>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</si>
  <si>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</si>
  <si>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</si>
  <si>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</si>
  <si>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</si>
  <si>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</si>
  <si>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</si>
  <si>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</si>
  <si>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</si>
  <si>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</si>
  <si>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</si>
  <si>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</si>
  <si>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</si>
  <si>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</si>
  <si>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</si>
  <si>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</si>
  <si>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</si>
  <si>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</si>
  <si>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</si>
  <si>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</si>
  <si>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</si>
  <si>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</si>
  <si>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</si>
  <si>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</si>
  <si>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</si>
  <si>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</si>
  <si>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</si>
  <si>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</si>
  <si>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</si>
  <si>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</si>
  <si>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</si>
  <si>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</si>
  <si>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</si>
  <si>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</si>
  <si>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</si>
  <si>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</si>
  <si>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</si>
  <si>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</si>
  <si>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</si>
  <si>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</si>
  <si>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</si>
  <si>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</si>
  <si>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</si>
  <si>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</si>
  <si>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</si>
  <si>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</si>
  <si>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</si>
  <si>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</si>
  <si>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</si>
  <si>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</si>
  <si>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</si>
  <si>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</si>
  <si>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</si>
  <si>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</si>
  <si>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</si>
  <si>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</si>
  <si>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</si>
  <si>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</si>
  <si>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</si>
  <si>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</si>
  <si>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</si>
  <si>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</si>
  <si>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</si>
  <si>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</si>
  <si>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</si>
  <si>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</si>
  <si>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</si>
  <si>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</si>
  <si>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</si>
  <si>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</si>
  <si>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</si>
  <si>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</si>
  <si>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</si>
  <si>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</si>
  <si>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</si>
  <si>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</si>
  <si>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</si>
  <si>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</si>
  <si>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</si>
  <si>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</si>
  <si>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</si>
  <si>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</si>
  <si>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</si>
  <si>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</si>
  <si>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</si>
  <si>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</si>
  <si>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</si>
  <si>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</si>
  <si>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</si>
  <si>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</si>
  <si>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</si>
  <si>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</si>
  <si>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</si>
  <si>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</si>
  <si>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</si>
  <si>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</si>
  <si>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</si>
  <si>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</si>
  <si>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</si>
  <si>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</si>
  <si>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</si>
  <si>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</si>
  <si>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</si>
  <si>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</si>
  <si>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</si>
  <si>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</si>
  <si>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</si>
  <si>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</si>
  <si>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</si>
  <si>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</si>
  <si>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</si>
  <si>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</si>
  <si>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</si>
  <si>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</si>
  <si>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</si>
  <si>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</si>
  <si>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</si>
  <si>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</si>
  <si>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</si>
  <si>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</si>
  <si>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</si>
  <si>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</si>
  <si>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</si>
  <si>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</si>
  <si>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</si>
  <si>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</si>
  <si>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</si>
  <si>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</si>
  <si>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</si>
  <si>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</si>
  <si>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</si>
  <si>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</si>
  <si>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</si>
  <si>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</si>
  <si>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</si>
  <si>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</si>
  <si>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</si>
  <si>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</si>
  <si>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</si>
  <si>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</si>
  <si>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</si>
  <si>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</si>
  <si>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</si>
  <si>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</si>
  <si>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</si>
  <si>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</si>
  <si>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</si>
  <si>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</si>
  <si>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</si>
  <si>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</si>
  <si>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</si>
  <si>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</si>
  <si>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</si>
  <si>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</si>
  <si>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</si>
  <si>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</si>
  <si>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</si>
  <si>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</si>
  <si>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</si>
  <si>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</si>
  <si>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</si>
  <si>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</si>
  <si>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</si>
  <si>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</si>
  <si>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</si>
  <si>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</si>
  <si>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</si>
  <si>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</si>
  <si>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</si>
  <si>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</si>
  <si>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</si>
  <si>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</si>
  <si>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</si>
  <si>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</si>
  <si>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</si>
  <si>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</si>
  <si>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</si>
  <si>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</si>
  <si>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</si>
  <si>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</si>
  <si>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</si>
  <si>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</si>
  <si>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</si>
  <si>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</si>
  <si>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</si>
  <si>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</si>
  <si>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</si>
  <si>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</si>
  <si>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</si>
  <si>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</si>
  <si>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</si>
  <si>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</si>
  <si>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</si>
  <si>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</si>
  <si>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</si>
  <si>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</si>
  <si>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</si>
  <si>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</si>
  <si>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</si>
  <si>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</si>
  <si>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</si>
  <si>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</si>
  <si>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</si>
  <si>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</si>
  <si>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</si>
  <si>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</si>
  <si>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</si>
  <si>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</si>
  <si>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</si>
  <si>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</si>
  <si>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</si>
  <si>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</si>
  <si>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</si>
  <si>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</si>
  <si>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</si>
  <si>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</si>
  <si>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</si>
  <si>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</si>
  <si>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</si>
  <si>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</si>
  <si>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</si>
  <si>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</si>
  <si>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</si>
  <si>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</si>
  <si>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</si>
  <si>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</si>
  <si>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</si>
  <si>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</si>
  <si>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</si>
  <si>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</si>
  <si>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</si>
  <si>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</si>
  <si>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</si>
  <si>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</si>
  <si>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</si>
  <si>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</si>
  <si>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</si>
  <si>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</si>
  <si>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</si>
  <si>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</si>
  <si>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</si>
  <si>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</si>
  <si>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</si>
  <si>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</si>
  <si>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</si>
  <si>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</si>
  <si>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</si>
  <si>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</si>
  <si>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</si>
  <si>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</si>
  <si>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</si>
  <si>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</si>
  <si>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</si>
  <si>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</si>
  <si>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</si>
  <si>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</si>
  <si>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</si>
  <si>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</si>
  <si>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</si>
  <si>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</si>
  <si>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</si>
  <si>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</si>
  <si>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</si>
  <si>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</si>
  <si>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</si>
  <si>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</si>
  <si>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</si>
  <si>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</si>
  <si>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</si>
  <si>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</si>
  <si>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</si>
  <si>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</si>
  <si>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</si>
  <si>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</si>
  <si>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</si>
  <si>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</si>
  <si>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</si>
  <si>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</si>
  <si>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</si>
  <si>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</si>
  <si>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</si>
  <si>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</si>
  <si>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</si>
  <si>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</si>
  <si>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</si>
  <si>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</si>
  <si>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</si>
  <si>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</si>
  <si>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</si>
  <si>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</si>
  <si>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</si>
  <si>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</si>
  <si>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</si>
  <si>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</si>
  <si>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</si>
  <si>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</si>
  <si>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</si>
  <si>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</si>
  <si>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</si>
  <si>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</si>
  <si>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</si>
  <si>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</si>
  <si>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</si>
  <si>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</si>
  <si>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</si>
  <si>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</si>
  <si>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</si>
  <si>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</si>
  <si>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</si>
  <si>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</si>
  <si>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</si>
  <si>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</si>
  <si>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</si>
  <si>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</si>
  <si>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</si>
  <si>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</si>
  <si>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</si>
  <si>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</si>
  <si>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</si>
  <si>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</si>
  <si>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</si>
  <si>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</si>
  <si>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</si>
  <si>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</si>
  <si>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</si>
  <si>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</si>
  <si>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</si>
  <si>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</si>
  <si>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</si>
  <si>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</si>
  <si>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</si>
  <si>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</si>
  <si>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</si>
  <si>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</si>
  <si>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</si>
  <si>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</si>
  <si>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</si>
  <si>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</si>
  <si>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</si>
  <si>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</si>
  <si>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</si>
  <si>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</si>
  <si>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</si>
  <si>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</si>
  <si>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</si>
  <si>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</si>
  <si>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</si>
  <si>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</si>
  <si>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</si>
  <si>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</si>
  <si>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</si>
  <si>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</si>
  <si>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</si>
  <si>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</si>
  <si>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</si>
  <si>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</si>
  <si>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</si>
  <si>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</si>
  <si>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</si>
  <si>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</si>
  <si>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</si>
  <si>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</si>
  <si>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</si>
  <si>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</si>
  <si>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</si>
  <si>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</si>
  <si>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</si>
  <si>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</si>
  <si>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</si>
  <si>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</si>
  <si>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</si>
  <si>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</si>
  <si>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</si>
  <si>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</si>
  <si>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</si>
  <si>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</si>
  <si>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</si>
  <si>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</si>
  <si>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</si>
  <si>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</si>
  <si>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</si>
  <si>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</si>
  <si>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</si>
  <si>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</si>
  <si>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</si>
  <si>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</si>
  <si>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</si>
  <si>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</si>
  <si>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</si>
  <si>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</si>
  <si>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</si>
  <si>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</si>
  <si>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</si>
  <si>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</si>
  <si>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</si>
  <si>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</si>
  <si>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</si>
  <si>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</si>
  <si>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</si>
  <si>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</si>
  <si>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</si>
  <si>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</si>
  <si>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</si>
  <si>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</si>
  <si>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</si>
  <si>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</si>
  <si>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</si>
  <si>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</si>
  <si>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</si>
  <si>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</si>
  <si>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</si>
  <si>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</si>
  <si>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</si>
  <si>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</si>
  <si>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</si>
  <si>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</si>
  <si>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</si>
  <si>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</si>
  <si>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</si>
  <si>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</si>
  <si>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</si>
  <si>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</si>
  <si>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</si>
  <si>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</si>
  <si>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</si>
  <si>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</si>
  <si>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</si>
  <si>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</si>
  <si>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</si>
  <si>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</si>
  <si>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</si>
  <si>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</si>
  <si>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</si>
  <si>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</si>
  <si>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</si>
  <si>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</si>
  <si>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</si>
  <si>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</si>
  <si>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</si>
  <si>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</si>
  <si>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</si>
  <si>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</si>
  <si>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</si>
  <si>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</si>
  <si>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</si>
  <si>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</si>
  <si>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</si>
  <si>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</si>
  <si>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</si>
  <si>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</si>
  <si>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</si>
  <si>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</si>
  <si>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</si>
  <si>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</si>
  <si>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</si>
  <si>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</si>
  <si>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</si>
  <si>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</si>
  <si>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</si>
  <si>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</si>
  <si>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</si>
  <si>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</si>
  <si>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</si>
  <si>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</si>
  <si>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</si>
  <si>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</si>
  <si>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</si>
  <si>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</si>
  <si>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</si>
  <si>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</si>
  <si>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</si>
  <si>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</si>
  <si>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</si>
  <si>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</si>
  <si>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</si>
  <si>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</si>
  <si>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</si>
  <si>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</si>
  <si>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</si>
  <si>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</si>
  <si>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</si>
  <si>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</si>
  <si>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</si>
  <si>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</si>
  <si>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</si>
  <si>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</si>
  <si>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</si>
  <si>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</si>
  <si>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</si>
  <si>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</si>
  <si>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</si>
  <si>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</si>
  <si>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</si>
  <si>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</si>
  <si>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</si>
  <si>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</si>
  <si>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</si>
  <si>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</si>
  <si>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</si>
  <si>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</si>
  <si>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</si>
  <si>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</si>
  <si>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</si>
  <si>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</si>
  <si>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</si>
  <si>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</si>
  <si>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</si>
  <si>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</si>
  <si>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</si>
  <si>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</si>
  <si>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</si>
  <si>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</si>
  <si>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</si>
  <si>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</si>
  <si>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</si>
  <si>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</si>
  <si>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</si>
  <si>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</si>
  <si>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</si>
  <si>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</si>
  <si>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</si>
  <si>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</si>
  <si>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</si>
  <si>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</si>
  <si>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</si>
  <si>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</si>
  <si>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</si>
  <si>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</si>
  <si>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</si>
  <si>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</si>
  <si>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</si>
  <si>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</si>
  <si>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</si>
  <si>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</si>
  <si>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</si>
  <si>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</si>
  <si>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</si>
  <si>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</si>
  <si>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</si>
  <si>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</si>
  <si>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</si>
  <si>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</si>
  <si>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</si>
  <si>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</si>
  <si>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</si>
  <si>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</si>
  <si>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</si>
  <si>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</si>
  <si>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</si>
  <si>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</si>
  <si>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</si>
  <si>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</si>
  <si>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</si>
  <si>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</si>
  <si>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</si>
  <si>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</si>
  <si>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</si>
  <si>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</si>
  <si>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</si>
  <si>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</si>
  <si>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</si>
  <si>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</si>
  <si>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</si>
  <si>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</si>
  <si>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</si>
  <si>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</si>
  <si>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</si>
  <si>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</si>
  <si>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</si>
  <si>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</si>
  <si>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</si>
  <si>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</si>
  <si>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</si>
  <si>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</si>
  <si>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</si>
  <si>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</si>
  <si>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</si>
  <si>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</si>
  <si>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</si>
  <si>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</si>
  <si>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</si>
  <si>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</si>
  <si>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</si>
  <si>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</si>
  <si>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</si>
  <si>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</si>
  <si>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</si>
  <si>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</si>
  <si>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</si>
  <si>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</si>
  <si>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</si>
  <si>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</si>
  <si>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</si>
  <si>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</si>
  <si>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</si>
  <si>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</si>
  <si>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</si>
  <si>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</si>
  <si>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</si>
  <si>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</si>
  <si>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</si>
  <si>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</si>
  <si>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</si>
  <si>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</si>
  <si>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</si>
  <si>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</si>
  <si>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</si>
  <si>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</si>
  <si>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</si>
  <si>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</si>
  <si>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</si>
  <si>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</si>
  <si>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</si>
  <si>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</si>
  <si>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</si>
  <si>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</si>
  <si>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</si>
  <si>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</si>
  <si>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</si>
  <si>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</si>
  <si>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</si>
  <si>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</si>
  <si>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</si>
  <si>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</si>
  <si>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</si>
  <si>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</si>
  <si>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</si>
  <si>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</si>
  <si>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</si>
  <si>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</si>
  <si>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</si>
  <si>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</si>
  <si>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</si>
  <si>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</si>
  <si>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</si>
  <si>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</si>
  <si>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</si>
  <si>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</si>
  <si>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</si>
  <si>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</si>
  <si>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</si>
  <si>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</si>
  <si>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</si>
  <si>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</si>
  <si>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</si>
  <si>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</si>
  <si>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</si>
  <si>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</si>
  <si>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</si>
  <si>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</si>
  <si>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</si>
  <si>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</si>
  <si>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</si>
  <si>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</si>
  <si>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</si>
  <si>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</si>
  <si>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</si>
  <si>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</si>
  <si>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</si>
  <si>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</si>
  <si>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</si>
  <si>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</si>
  <si>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</si>
  <si>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</si>
  <si>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</si>
  <si>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</si>
  <si>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</si>
  <si>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</si>
  <si>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</si>
  <si>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</si>
  <si>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</si>
  <si>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</si>
  <si>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</si>
  <si>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</si>
  <si>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</si>
  <si>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</si>
  <si>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</si>
  <si>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</si>
  <si>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</si>
  <si>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</si>
  <si>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</si>
  <si>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</si>
  <si>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</si>
  <si>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</si>
  <si>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</si>
  <si>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</si>
  <si>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</si>
  <si>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</si>
  <si>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</si>
  <si>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</si>
  <si>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</si>
  <si>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</si>
  <si>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</si>
  <si>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</si>
  <si>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</si>
  <si>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</si>
  <si>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</si>
  <si>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</si>
  <si>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</si>
  <si>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</si>
  <si>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</si>
  <si>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</si>
  <si>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</si>
  <si>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</si>
  <si>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</si>
  <si>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</si>
  <si>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</si>
  <si>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</si>
  <si>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</si>
  <si>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</si>
  <si>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</si>
  <si>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</si>
  <si>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</si>
  <si>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</si>
  <si>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</si>
  <si>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</si>
  <si>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</si>
  <si>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</si>
  <si>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</si>
  <si>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</si>
  <si>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</si>
  <si>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</si>
  <si>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</si>
  <si>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</si>
  <si>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</si>
  <si>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</si>
  <si>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</si>
  <si>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</si>
  <si>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</si>
  <si>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</si>
  <si>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</si>
  <si>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</si>
  <si>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</si>
  <si>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</si>
  <si>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</si>
  <si>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</si>
  <si>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</si>
  <si>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</si>
  <si>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</si>
  <si>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</si>
  <si>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</si>
  <si>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</si>
  <si>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</si>
  <si>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</si>
  <si>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</si>
  <si>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</si>
  <si>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</si>
  <si>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</si>
  <si>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</si>
  <si>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</si>
  <si>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</si>
  <si>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</si>
  <si>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</si>
  <si>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</si>
  <si>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</si>
  <si>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</si>
  <si>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</si>
  <si>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</si>
  <si>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</si>
  <si>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</si>
  <si>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</si>
  <si>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</si>
  <si>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</si>
  <si>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</si>
  <si>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</si>
  <si>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</si>
  <si>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</si>
  <si>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</si>
  <si>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</si>
  <si>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</si>
  <si>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</si>
  <si>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</si>
  <si>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</si>
  <si>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</si>
  <si>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</si>
  <si>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</si>
  <si>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</si>
  <si>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</si>
  <si>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</si>
  <si>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</si>
  <si>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</si>
  <si>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</si>
  <si>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</si>
  <si>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</si>
  <si>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</si>
  <si>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</si>
  <si>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</si>
  <si>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</si>
  <si>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</si>
  <si>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</si>
  <si>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</si>
  <si>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</si>
  <si>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</si>
  <si>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</si>
  <si>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</si>
  <si>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</si>
  <si>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</si>
  <si>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</si>
  <si>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</si>
  <si>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</si>
  <si>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</si>
  <si>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</si>
  <si>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</si>
  <si>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</si>
  <si>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</si>
  <si>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</si>
  <si>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</si>
  <si>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</si>
  <si>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</si>
  <si>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</si>
  <si>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</si>
  <si>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</si>
  <si>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</si>
  <si>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</si>
  <si>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</si>
  <si>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</si>
  <si>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</si>
  <si>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</si>
  <si>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</si>
  <si>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</si>
  <si>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</si>
  <si>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</si>
  <si>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</si>
  <si>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</si>
  <si>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</si>
  <si>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</si>
  <si>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</si>
  <si>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</si>
  <si>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</si>
  <si>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</si>
  <si>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</si>
  <si>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</si>
  <si>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</si>
  <si>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</si>
  <si>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</si>
  <si>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</si>
  <si>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</si>
  <si>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</si>
  <si>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</si>
  <si>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</si>
  <si>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</si>
  <si>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</si>
  <si>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</si>
  <si>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</si>
  <si>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</si>
  <si>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</si>
  <si>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</si>
  <si>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</si>
  <si>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</si>
  <si>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</si>
  <si>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</si>
  <si>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</si>
  <si>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</si>
  <si>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</si>
  <si>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</si>
  <si>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</si>
  <si>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</si>
  <si>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</si>
  <si>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</si>
  <si>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</si>
  <si>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</si>
  <si>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</si>
  <si>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</si>
  <si>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</si>
  <si>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</si>
  <si>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</si>
  <si>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</si>
  <si>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</si>
  <si>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</si>
  <si>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</si>
  <si>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</si>
  <si>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</si>
  <si>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</si>
  <si>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</si>
  <si>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</si>
  <si>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</si>
  <si>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</si>
  <si>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</si>
  <si>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</si>
  <si>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</si>
  <si>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</si>
  <si>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</si>
  <si>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</si>
  <si>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</si>
  <si>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</si>
  <si>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</si>
  <si>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</si>
  <si>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</si>
  <si>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</si>
  <si>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</si>
  <si>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</si>
  <si>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</si>
  <si>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</si>
  <si>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</si>
  <si>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</si>
  <si>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</si>
  <si>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</si>
  <si>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</si>
  <si>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</si>
  <si>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</si>
  <si>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</si>
  <si>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</si>
  <si>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</si>
  <si>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</si>
  <si>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</si>
  <si>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</si>
  <si>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</si>
  <si>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</si>
  <si>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</si>
  <si>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</si>
  <si>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</si>
  <si>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</si>
  <si>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</si>
  <si>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</si>
  <si>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</si>
  <si>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</si>
  <si>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</si>
  <si>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</si>
  <si>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</si>
  <si>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</si>
  <si>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</si>
  <si>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</si>
  <si>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</si>
  <si>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</si>
  <si>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</si>
  <si>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</si>
  <si>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</si>
  <si>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</si>
  <si>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</si>
  <si>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</si>
  <si>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</si>
  <si>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</si>
  <si>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</si>
  <si>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</si>
  <si>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</si>
  <si>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</si>
  <si>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</si>
  <si>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</si>
  <si>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</si>
  <si>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</si>
  <si>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</si>
  <si>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</si>
  <si>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</si>
  <si>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</si>
  <si>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</si>
  <si>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</si>
  <si>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</si>
  <si>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</si>
  <si>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</si>
  <si>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</si>
  <si>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</si>
  <si>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</si>
  <si>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</si>
  <si>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</si>
  <si>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</si>
  <si>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</si>
  <si>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</si>
  <si>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</si>
  <si>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</si>
  <si>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</si>
  <si>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</si>
  <si>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</si>
  <si>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</si>
  <si>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</si>
  <si>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</si>
  <si>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</si>
  <si>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</si>
  <si>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</si>
  <si>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</si>
  <si>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</si>
  <si>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</si>
  <si>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</si>
  <si>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</si>
  <si>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</si>
  <si>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</si>
  <si>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</si>
  <si>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</si>
  <si>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</si>
  <si>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</si>
  <si>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</si>
  <si>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</si>
  <si>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</si>
  <si>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</si>
  <si>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</si>
  <si>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</si>
  <si>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</si>
  <si>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</si>
  <si>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</si>
  <si>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</si>
  <si>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</si>
  <si>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</si>
  <si>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</si>
  <si>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</si>
  <si>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</si>
  <si>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</si>
  <si>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</si>
  <si>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</si>
  <si>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</si>
  <si>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</si>
  <si>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</si>
  <si>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</si>
  <si>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</si>
  <si>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</si>
  <si>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</si>
  <si>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</si>
  <si>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</si>
  <si>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</si>
  <si>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</si>
  <si>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</si>
  <si>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</si>
  <si>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</si>
  <si>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</si>
  <si>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</si>
  <si>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</si>
  <si>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</si>
  <si>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</si>
  <si>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</si>
  <si>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</si>
  <si>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</si>
  <si>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</si>
  <si>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</si>
  <si>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</si>
  <si>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</si>
  <si>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</si>
  <si>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</si>
  <si>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</si>
  <si>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</si>
  <si>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</si>
  <si>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</si>
  <si>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</si>
  <si>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</si>
  <si>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</si>
  <si>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</si>
  <si>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</si>
  <si>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</si>
  <si>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</si>
  <si>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</si>
  <si>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</si>
  <si>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</si>
  <si>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</si>
  <si>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</si>
  <si>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</si>
  <si>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</si>
  <si>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</si>
  <si>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</si>
  <si>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</si>
  <si>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</si>
  <si>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</si>
  <si>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</si>
  <si>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</si>
  <si>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</si>
  <si>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</si>
  <si>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</si>
  <si>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</si>
  <si>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</si>
  <si>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</si>
  <si>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</si>
  <si>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</si>
  <si>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</si>
  <si>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</si>
  <si>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</si>
  <si>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</si>
  <si>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</si>
  <si>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</si>
  <si>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</si>
  <si>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</si>
  <si>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</si>
  <si>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</si>
  <si>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</si>
  <si>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</si>
  <si>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</si>
  <si>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</si>
  <si>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</si>
  <si>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</si>
  <si>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</si>
  <si>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</si>
  <si>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</si>
  <si>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</si>
  <si>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</si>
  <si>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</si>
  <si>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</si>
  <si>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</si>
  <si>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</si>
  <si>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</si>
  <si>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</si>
  <si>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</si>
  <si>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</si>
  <si>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</si>
  <si>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</si>
  <si>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</si>
  <si>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</si>
  <si>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</si>
  <si>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</si>
  <si>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</si>
  <si>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</si>
  <si>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</si>
  <si>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</si>
  <si>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</si>
  <si>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</si>
  <si>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</si>
  <si>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</si>
  <si>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</si>
  <si>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</si>
  <si>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</si>
  <si>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</si>
  <si>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</si>
  <si>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</si>
  <si>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</si>
  <si>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</si>
  <si>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</si>
  <si>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</si>
  <si>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</si>
  <si>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</si>
  <si>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</si>
  <si>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</si>
  <si>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</si>
  <si>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</si>
  <si>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</si>
  <si>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</si>
  <si>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</si>
  <si>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</si>
  <si>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</si>
  <si>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</si>
  <si>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</si>
  <si>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</si>
  <si>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</si>
  <si>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</si>
  <si>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</si>
  <si>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</si>
  <si>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</si>
  <si>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</si>
  <si>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</si>
  <si>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</si>
  <si>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</si>
  <si>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</si>
  <si>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</si>
  <si>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</si>
  <si>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</si>
  <si>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</si>
  <si>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</si>
  <si>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</si>
  <si>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</si>
  <si>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</si>
  <si>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</si>
  <si>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</si>
  <si>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</si>
  <si>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</si>
  <si>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</si>
  <si>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</si>
  <si>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</si>
  <si>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</si>
  <si>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</si>
  <si>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</si>
  <si>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</si>
  <si>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</si>
  <si>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</si>
  <si>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</si>
  <si>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</si>
  <si>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</si>
  <si>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</si>
  <si>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</si>
  <si>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</si>
  <si>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</si>
  <si>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</si>
  <si>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</si>
  <si>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</si>
  <si>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</si>
  <si>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</si>
  <si>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</si>
  <si>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</si>
  <si>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</si>
  <si>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</si>
  <si>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</si>
  <si>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</si>
  <si>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</si>
  <si>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</si>
  <si>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</si>
  <si>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</si>
  <si>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</si>
  <si>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</si>
  <si>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</si>
  <si>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</si>
  <si>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</si>
  <si>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</si>
  <si>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</si>
  <si>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</si>
  <si>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</si>
  <si>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</si>
  <si>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</si>
  <si>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</si>
  <si>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</si>
  <si>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</si>
  <si>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</si>
  <si>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</si>
  <si>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</si>
  <si>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</si>
  <si>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</si>
  <si>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</si>
  <si>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</si>
  <si>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</si>
  <si>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</si>
  <si>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</si>
  <si>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</si>
  <si>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</si>
  <si>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</si>
  <si>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</si>
  <si>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</si>
  <si>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</si>
  <si>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</si>
  <si>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</si>
  <si>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</si>
  <si>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</si>
  <si>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</si>
  <si>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</si>
  <si>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</si>
  <si>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</si>
  <si>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</si>
  <si>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</si>
  <si>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</si>
  <si>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</si>
  <si>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</si>
  <si>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</si>
  <si>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</si>
  <si>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</si>
  <si>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</si>
  <si>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</si>
  <si>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</si>
  <si>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</si>
  <si>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</si>
  <si>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</si>
  <si>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</si>
  <si>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</si>
  <si>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</si>
  <si>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</si>
  <si>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</si>
  <si>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</si>
  <si>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</si>
  <si>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</si>
  <si>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</si>
  <si>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</si>
  <si>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</si>
  <si>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</si>
  <si>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</si>
  <si>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</si>
  <si>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</si>
  <si>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</si>
  <si>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</si>
  <si>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</si>
  <si>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</si>
  <si>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</si>
  <si>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</si>
  <si>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</si>
  <si>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</si>
  <si>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</si>
  <si>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</si>
  <si>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</si>
  <si>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</si>
  <si>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</si>
  <si>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</si>
  <si>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</si>
  <si>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</si>
  <si>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</si>
  <si>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</si>
  <si>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</si>
  <si>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</si>
  <si>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</si>
  <si>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</si>
  <si>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</si>
  <si>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</si>
  <si>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</si>
  <si>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</si>
  <si>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</si>
  <si>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</si>
  <si>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</si>
  <si>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</si>
  <si>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</si>
  <si>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</si>
  <si>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</si>
  <si>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</si>
  <si>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</si>
  <si>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</si>
  <si>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</si>
  <si>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</si>
  <si>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</si>
  <si>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</si>
  <si>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</si>
  <si>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</si>
  <si>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</si>
  <si>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</si>
  <si>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</si>
  <si>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</si>
  <si>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</si>
  <si>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</si>
  <si>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</si>
  <si>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</si>
  <si>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</si>
  <si>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</si>
  <si>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</si>
  <si>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</si>
  <si>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</si>
  <si>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</si>
  <si>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</si>
  <si>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</si>
  <si>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</si>
  <si>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</si>
  <si>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</si>
  <si>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</si>
  <si>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</si>
  <si>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</si>
  <si>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</si>
  <si>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</si>
  <si>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</si>
  <si>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</si>
  <si>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</si>
  <si>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</si>
  <si>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</si>
  <si>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</si>
  <si>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</si>
  <si>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</si>
  <si>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</si>
  <si>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</si>
  <si>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</si>
  <si>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</si>
  <si>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</si>
  <si>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</si>
  <si>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</si>
  <si>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</si>
  <si>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</si>
  <si>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</si>
  <si>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</si>
  <si>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</si>
  <si>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</si>
  <si>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</si>
  <si>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</si>
  <si>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</si>
  <si>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</si>
  <si>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</si>
  <si>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</si>
  <si>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</si>
  <si>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</si>
  <si>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</si>
  <si>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</si>
  <si>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</si>
  <si>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</si>
  <si>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</si>
  <si>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</si>
  <si>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</si>
  <si>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</si>
  <si>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</si>
  <si>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</si>
  <si>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</si>
  <si>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</si>
  <si>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</si>
  <si>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</si>
  <si>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</si>
  <si>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</si>
  <si>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</si>
  <si>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</si>
  <si>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</si>
  <si>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</si>
  <si>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</si>
  <si>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</si>
  <si>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</si>
  <si>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</si>
  <si>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</si>
  <si>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</si>
  <si>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</si>
  <si>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</si>
  <si>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</si>
  <si>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</si>
  <si>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</si>
  <si>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</si>
  <si>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</si>
  <si>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</si>
  <si>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</si>
  <si>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</si>
  <si>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</si>
  <si>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</si>
  <si>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</si>
  <si>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</si>
  <si>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</si>
  <si>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</si>
  <si>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</si>
  <si>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</si>
  <si>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</si>
  <si>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</si>
  <si>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</si>
  <si>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</si>
  <si>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</si>
  <si>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</si>
  <si>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</si>
  <si>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</si>
  <si>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</si>
  <si>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</si>
  <si>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</si>
  <si>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</si>
  <si>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</si>
  <si>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</si>
  <si>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</si>
  <si>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</si>
  <si>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</si>
  <si>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</si>
  <si>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</si>
  <si>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</si>
  <si>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</si>
  <si>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</si>
  <si>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</si>
  <si>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</si>
  <si>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</si>
  <si>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</si>
  <si>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</si>
  <si>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</si>
  <si>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</si>
  <si>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</si>
  <si>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</si>
  <si>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</si>
  <si>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</si>
  <si>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</si>
  <si>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</si>
  <si>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</si>
  <si>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</si>
  <si>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</si>
  <si>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</si>
  <si>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</si>
  <si>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</si>
  <si>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</si>
  <si>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</si>
  <si>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</si>
  <si>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</si>
  <si>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</si>
  <si>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</si>
  <si>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</si>
  <si>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</si>
  <si>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</si>
  <si>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</si>
  <si>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</si>
  <si>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</si>
  <si>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</si>
  <si>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</si>
  <si>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</si>
  <si>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</si>
  <si>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</si>
  <si>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</si>
  <si>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</si>
  <si>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</si>
  <si>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</si>
  <si>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</si>
  <si>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</si>
  <si>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</si>
  <si>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</si>
  <si>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</si>
  <si>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</si>
  <si>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</si>
  <si>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</si>
  <si>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</si>
  <si>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</si>
  <si>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</si>
  <si>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</si>
  <si>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</si>
  <si>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</si>
  <si>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</si>
  <si>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</si>
  <si>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</si>
  <si>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</si>
  <si>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</si>
  <si>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</si>
  <si>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</si>
  <si>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</si>
  <si>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</si>
  <si>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</si>
  <si>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</si>
  <si>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</si>
  <si>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</si>
  <si>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</si>
  <si>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</si>
  <si>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</si>
  <si>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</si>
  <si>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</si>
  <si>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</si>
  <si>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</si>
  <si>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</si>
  <si>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</si>
  <si>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</si>
  <si>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</si>
  <si>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</si>
  <si>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</si>
  <si>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</si>
  <si>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</si>
  <si>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</si>
  <si>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</si>
  <si>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</si>
  <si>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</si>
  <si>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</si>
  <si>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</si>
  <si>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</si>
  <si>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</si>
  <si>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</si>
  <si>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</si>
  <si>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</si>
  <si>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</si>
  <si>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</si>
  <si>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</si>
  <si>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</si>
  <si>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</si>
  <si>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</si>
  <si>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</si>
  <si>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</si>
  <si>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</si>
  <si>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</si>
  <si>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</si>
  <si>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</si>
  <si>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</si>
  <si>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</si>
  <si>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</si>
  <si>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</si>
  <si>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</si>
  <si>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</si>
  <si>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</si>
  <si>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</si>
  <si>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</si>
  <si>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</si>
  <si>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</si>
  <si>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</si>
  <si>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</si>
  <si>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</si>
  <si>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</si>
  <si>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</si>
  <si>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</si>
  <si>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</si>
  <si>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</si>
  <si>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</si>
  <si>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</si>
  <si>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</si>
  <si>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</si>
  <si>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</si>
  <si>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</si>
  <si>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</si>
  <si>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</si>
  <si>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</si>
  <si>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</si>
  <si>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</si>
  <si>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</si>
  <si>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</si>
  <si>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</si>
  <si>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</si>
  <si>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</si>
  <si>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</si>
  <si>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</si>
  <si>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</si>
  <si>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</si>
  <si>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</si>
  <si>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</si>
  <si>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</si>
  <si>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</si>
  <si>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</si>
  <si>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</si>
  <si>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</si>
  <si>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</si>
  <si>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</si>
  <si>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</si>
  <si>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</si>
  <si>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</si>
  <si>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</si>
  <si>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</si>
  <si>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</si>
  <si>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</si>
  <si>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</si>
  <si>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</si>
  <si>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</si>
  <si>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</si>
  <si>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</si>
  <si>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</si>
  <si>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</si>
  <si>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</si>
  <si>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</si>
  <si>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</si>
  <si>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</si>
  <si>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</si>
  <si>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</si>
  <si>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</si>
  <si>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</si>
  <si>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</si>
  <si>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</si>
  <si>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</si>
  <si>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</si>
  <si>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</si>
  <si>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</si>
  <si>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</si>
  <si>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</si>
  <si>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</si>
  <si>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</si>
  <si>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</si>
  <si>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</si>
  <si>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</si>
  <si>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</si>
  <si>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</si>
  <si>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</si>
  <si>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</si>
  <si>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</si>
  <si>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</si>
  <si>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</si>
  <si>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</si>
  <si>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</si>
  <si>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</si>
  <si>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</si>
  <si>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</si>
  <si>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</si>
  <si>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</si>
  <si>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</si>
  <si>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</si>
  <si>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</si>
  <si>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</si>
  <si>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</si>
  <si>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</si>
  <si>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</si>
  <si>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</si>
  <si>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</si>
  <si>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</si>
  <si>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</si>
  <si>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</si>
  <si>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</si>
  <si>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</si>
  <si>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</si>
  <si>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</si>
  <si>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</si>
  <si>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</si>
  <si>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</si>
  <si>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</si>
  <si>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</si>
  <si>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</si>
  <si>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</si>
  <si>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</si>
  <si>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</si>
  <si>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</si>
  <si>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</si>
  <si>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</si>
  <si>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</si>
  <si>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</si>
  <si>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</si>
  <si>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</si>
  <si>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</si>
  <si>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</si>
  <si>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</si>
  <si>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</si>
  <si>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</si>
  <si>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</si>
  <si>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</si>
  <si>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</si>
  <si>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</si>
  <si>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</si>
  <si>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</si>
  <si>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</si>
  <si>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</si>
  <si>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</si>
  <si>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</si>
  <si>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</si>
  <si>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</si>
  <si>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</si>
  <si>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</si>
  <si>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</si>
  <si>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</si>
  <si>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</si>
  <si>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</si>
  <si>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</si>
  <si>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</si>
  <si>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</si>
  <si>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</si>
  <si>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</si>
  <si>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</si>
  <si>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</si>
  <si>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</si>
  <si>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</si>
  <si>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</si>
  <si>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</si>
  <si>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</si>
  <si>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</si>
  <si>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</si>
  <si>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</si>
  <si>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</si>
  <si>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</si>
  <si>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</si>
  <si>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</si>
  <si>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</si>
  <si>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</si>
  <si>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</si>
  <si>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</si>
  <si>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</si>
  <si>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</si>
  <si>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</si>
  <si>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</si>
  <si>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</si>
  <si>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</si>
  <si>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</si>
  <si>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</si>
  <si>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</si>
  <si>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</si>
  <si>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</si>
  <si>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</si>
  <si>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</si>
  <si>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</si>
  <si>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</si>
  <si>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</si>
  <si>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</si>
  <si>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</si>
  <si>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</si>
  <si>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</si>
  <si>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</si>
  <si>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</si>
  <si>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</si>
  <si>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</si>
  <si>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</si>
  <si>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</si>
  <si>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</si>
  <si>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</si>
  <si>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</si>
  <si>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</si>
  <si>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</si>
  <si>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</si>
  <si>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</si>
  <si>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</si>
  <si>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</si>
  <si>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</si>
  <si>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</si>
  <si>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</si>
  <si>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</si>
  <si>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</si>
  <si>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</si>
  <si>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</si>
  <si>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</si>
  <si>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</si>
  <si>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</si>
  <si>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</si>
  <si>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</si>
  <si>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</si>
  <si>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</si>
  <si>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</si>
  <si>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</si>
  <si>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</si>
  <si>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</si>
  <si>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</si>
  <si>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</si>
  <si>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</si>
  <si>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</si>
  <si>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</si>
  <si>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</si>
  <si>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</si>
  <si>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</si>
  <si>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</si>
  <si>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</si>
  <si>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</si>
  <si>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</si>
  <si>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</si>
  <si>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</si>
  <si>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</si>
  <si>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</si>
  <si>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</si>
  <si>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</si>
  <si>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</si>
  <si>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</si>
  <si>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</si>
  <si>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</si>
  <si>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</si>
  <si>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</si>
  <si>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</si>
  <si>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</si>
  <si>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</si>
  <si>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</si>
  <si>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</si>
  <si>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</si>
  <si>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</si>
  <si>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</si>
  <si>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</si>
  <si>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</si>
  <si>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</si>
  <si>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</si>
  <si>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</si>
  <si>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</si>
  <si>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</si>
  <si>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</si>
  <si>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</si>
  <si>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</si>
  <si>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</si>
  <si>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</si>
  <si>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</si>
  <si>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</si>
  <si>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</si>
  <si>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</si>
  <si>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</si>
  <si>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</si>
  <si>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</si>
  <si>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</si>
  <si>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</si>
  <si>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</si>
  <si>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</si>
  <si>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</si>
  <si>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</si>
  <si>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</si>
  <si>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</si>
  <si>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</si>
  <si>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</si>
  <si>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</si>
  <si>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</si>
  <si>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</si>
  <si>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</si>
  <si>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</si>
  <si>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</si>
  <si>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</si>
  <si>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</si>
  <si>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</si>
  <si>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</si>
  <si>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</si>
  <si>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</si>
  <si>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</si>
  <si>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</si>
  <si>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</si>
  <si>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</si>
  <si>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</si>
  <si>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</si>
  <si>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</si>
  <si>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</si>
  <si>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</si>
  <si>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</si>
  <si>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</si>
  <si>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</si>
  <si>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</si>
  <si>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</si>
  <si>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</si>
  <si>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</si>
  <si>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</si>
  <si>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</si>
  <si>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</si>
  <si>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</si>
  <si>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</si>
  <si>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</si>
  <si>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</si>
  <si>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</si>
  <si>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</si>
  <si>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</si>
  <si>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</si>
  <si>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</si>
  <si>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</si>
  <si>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</si>
  <si>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</si>
  <si>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</si>
  <si>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</si>
  <si>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</si>
  <si>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</si>
  <si>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</si>
  <si>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</si>
  <si>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</si>
  <si>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</si>
  <si>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</si>
  <si>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</si>
  <si>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</si>
  <si>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</si>
  <si>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</si>
  <si>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</si>
  <si>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</si>
  <si>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</si>
  <si>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</si>
  <si>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</si>
  <si>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</si>
  <si>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</si>
  <si>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</si>
  <si>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</si>
  <si>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</si>
  <si>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</si>
  <si>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</si>
  <si>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</si>
  <si>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</si>
  <si>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</si>
  <si>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</si>
  <si>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</si>
  <si>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</si>
  <si>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</si>
  <si>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</si>
  <si>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</si>
  <si>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</si>
  <si>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</si>
  <si>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</si>
  <si>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</si>
  <si>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</si>
  <si>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</si>
  <si>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</si>
  <si>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</si>
  <si>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</si>
  <si>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</si>
  <si>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</si>
  <si>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</si>
  <si>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</si>
  <si>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</si>
  <si>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</si>
  <si>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</si>
  <si>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</si>
  <si>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</si>
  <si>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</si>
  <si>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</si>
  <si>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</si>
  <si>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</si>
  <si>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</si>
  <si>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</si>
  <si>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</si>
  <si>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</si>
  <si>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</si>
  <si>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</si>
  <si>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</si>
  <si>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</si>
  <si>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</si>
  <si>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</si>
  <si>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</si>
  <si>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</si>
  <si>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</si>
  <si>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</si>
  <si>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</si>
  <si>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</si>
  <si>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</si>
  <si>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</si>
  <si>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</si>
  <si>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</si>
  <si>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</si>
  <si>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</si>
  <si>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</si>
  <si>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</si>
  <si>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</si>
  <si>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</si>
  <si>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</si>
  <si>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</si>
  <si>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</si>
  <si>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</si>
  <si>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</si>
  <si>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</si>
  <si>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</si>
  <si>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</si>
  <si>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</si>
  <si>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</si>
  <si>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</si>
  <si>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</si>
  <si>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</si>
  <si>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</si>
  <si>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</si>
  <si>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</si>
  <si>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</si>
  <si>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</si>
  <si>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</si>
  <si>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</si>
  <si>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</si>
  <si>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</si>
  <si>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</si>
  <si>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</si>
  <si>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</si>
  <si>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</si>
  <si>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</si>
  <si>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</si>
  <si>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</si>
  <si>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</si>
  <si>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</si>
  <si>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</si>
  <si>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</si>
  <si>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</si>
  <si>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</si>
  <si>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</si>
  <si>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</si>
  <si>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</si>
  <si>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</si>
  <si>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</si>
  <si>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</si>
  <si>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</si>
  <si>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</si>
  <si>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</si>
  <si>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</si>
  <si>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</si>
  <si>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</si>
  <si>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</si>
  <si>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</si>
  <si>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</si>
  <si>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</si>
  <si>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</si>
  <si>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</si>
  <si>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</si>
  <si>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</si>
  <si>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</si>
  <si>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</si>
  <si>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</si>
  <si>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</si>
  <si>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</si>
  <si>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</si>
  <si>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</si>
  <si>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</si>
  <si>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</si>
  <si>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</si>
  <si>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</si>
  <si>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</si>
  <si>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</si>
  <si>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</si>
  <si>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</si>
  <si>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</si>
  <si>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</si>
  <si>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</si>
  <si>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</si>
  <si>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</si>
  <si>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</si>
  <si>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</si>
  <si>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</si>
  <si>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</si>
  <si>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</si>
  <si>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</si>
  <si>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</si>
  <si>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</si>
  <si>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</si>
  <si>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</si>
  <si>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</si>
  <si>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</si>
  <si>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</si>
  <si>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</si>
  <si>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</si>
  <si>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</si>
  <si>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</si>
  <si>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</si>
  <si>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</si>
  <si>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</si>
  <si>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</si>
  <si>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</si>
  <si>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</si>
  <si>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</si>
  <si>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</si>
  <si>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</si>
  <si>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</si>
  <si>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</si>
  <si>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</si>
  <si>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</si>
  <si>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</si>
  <si>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</si>
  <si>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</si>
  <si>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</si>
  <si>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</si>
  <si>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</si>
  <si>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</si>
  <si>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</si>
  <si>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</si>
  <si>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</si>
  <si>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</si>
  <si>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</si>
  <si>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</si>
  <si>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</si>
  <si>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</si>
  <si>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</si>
  <si>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</si>
  <si>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</si>
  <si>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</si>
  <si>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</si>
  <si>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</si>
  <si>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</si>
  <si>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</si>
  <si>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</si>
  <si>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</si>
  <si>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</si>
  <si>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</si>
  <si>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</si>
  <si>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</si>
  <si>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</si>
  <si>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</si>
  <si>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</si>
  <si>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</si>
  <si>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</si>
  <si>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</si>
  <si>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</si>
  <si>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</si>
  <si>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</si>
  <si>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</si>
  <si>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</si>
  <si>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</si>
  <si>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</si>
  <si>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</si>
  <si>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</si>
  <si>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</si>
  <si>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</si>
  <si>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</si>
  <si>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</si>
  <si>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</si>
  <si>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</si>
  <si>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</si>
  <si>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</si>
  <si>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</si>
  <si>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</si>
  <si>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</si>
  <si>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</si>
  <si>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</si>
  <si>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</si>
  <si>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</si>
  <si>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</si>
  <si>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</si>
  <si>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</si>
  <si>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</si>
  <si>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</si>
  <si>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</si>
  <si>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</si>
  <si>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</si>
  <si>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</si>
  <si>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</si>
  <si>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</si>
  <si>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</si>
  <si>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</si>
  <si>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</si>
  <si>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</si>
  <si>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</si>
  <si>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</si>
  <si>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</si>
  <si>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</si>
  <si>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</si>
  <si>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</si>
  <si>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</si>
  <si>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</si>
  <si>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</si>
  <si>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</si>
  <si>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</si>
  <si>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</si>
  <si>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</si>
  <si>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</si>
  <si>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</si>
  <si>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</si>
  <si>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</si>
  <si>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</si>
  <si>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</si>
  <si>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</si>
  <si>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</si>
  <si>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</si>
  <si>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</si>
  <si>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</si>
  <si>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</si>
  <si>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</si>
  <si>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</si>
  <si>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</si>
  <si>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</si>
  <si>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</si>
  <si>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</si>
  <si>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</si>
  <si>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</si>
  <si>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</si>
  <si>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</si>
  <si>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</si>
  <si>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</si>
  <si>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</si>
  <si>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</si>
  <si>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</si>
  <si>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</si>
  <si>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</si>
  <si>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</si>
  <si>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</si>
  <si>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</si>
  <si>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</si>
  <si>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</si>
  <si>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</si>
  <si>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</si>
  <si>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</si>
  <si>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</si>
  <si>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</si>
  <si>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</si>
  <si>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</si>
  <si>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</si>
  <si>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</si>
  <si>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</si>
  <si>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</si>
  <si>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</si>
  <si>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</si>
  <si>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</si>
  <si>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</si>
  <si>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</si>
  <si>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</si>
  <si>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</si>
  <si>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</si>
  <si>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</si>
  <si>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</si>
  <si>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</si>
  <si>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</si>
  <si>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</si>
  <si>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</si>
  <si>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</si>
  <si>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</si>
  <si>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</si>
  <si>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</si>
  <si>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</si>
  <si>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</si>
  <si>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</si>
  <si>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</si>
  <si>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</si>
  <si>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</si>
  <si>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</si>
  <si>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</si>
  <si>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</si>
  <si>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</si>
  <si>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</si>
  <si>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</si>
  <si>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</si>
  <si>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</si>
  <si>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</si>
  <si>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</si>
  <si>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</si>
  <si>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</si>
  <si>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</si>
  <si>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</si>
  <si>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</si>
  <si>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</si>
  <si>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</si>
  <si>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</si>
  <si>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</si>
  <si>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</si>
  <si>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</si>
  <si>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</si>
  <si>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</si>
  <si>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</si>
  <si>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</si>
  <si>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</si>
  <si>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</si>
  <si>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</si>
  <si>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</si>
  <si>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</si>
  <si>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</si>
  <si>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</si>
  <si>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</si>
  <si>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</si>
  <si>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</si>
  <si>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</si>
  <si>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</si>
  <si>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</si>
  <si>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</si>
  <si>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</si>
  <si>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</si>
  <si>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</si>
  <si>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</si>
  <si>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</si>
  <si>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</si>
  <si>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</si>
  <si>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</si>
  <si>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</si>
  <si>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</si>
  <si>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</si>
  <si>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</si>
  <si>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</si>
  <si>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</si>
  <si>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</si>
  <si>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</si>
  <si>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</si>
  <si>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</si>
  <si>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</si>
  <si>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</si>
  <si>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</si>
  <si>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</si>
  <si>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</si>
  <si>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</si>
  <si>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</si>
  <si>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</si>
  <si>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</si>
  <si>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</si>
  <si>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</si>
  <si>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</si>
  <si>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</si>
  <si>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</si>
  <si>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</si>
  <si>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</si>
  <si>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</si>
  <si>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</si>
  <si>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</si>
  <si>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</si>
  <si>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</si>
  <si>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</si>
  <si>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</si>
  <si>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</si>
  <si>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</si>
  <si>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</si>
  <si>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</si>
  <si>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</si>
  <si>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</si>
  <si>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</si>
  <si>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</si>
  <si>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</si>
  <si>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</si>
  <si>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</si>
  <si>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</si>
  <si>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</si>
  <si>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</si>
  <si>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</si>
  <si>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</si>
  <si>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</si>
  <si>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</si>
  <si>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</si>
  <si>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</si>
  <si>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</si>
  <si>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</si>
  <si>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</si>
  <si>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</si>
  <si>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</si>
  <si>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</si>
  <si>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</si>
  <si>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</si>
  <si>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</si>
  <si>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</si>
  <si>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</si>
  <si>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</si>
  <si>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</si>
  <si>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</si>
  <si>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</si>
  <si>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</si>
  <si>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</si>
  <si>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</si>
  <si>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</si>
  <si>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</si>
  <si>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</si>
  <si>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</si>
  <si>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</si>
  <si>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</si>
  <si>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</si>
  <si>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</si>
  <si>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</si>
  <si>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</si>
  <si>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</si>
  <si>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</si>
  <si>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</si>
  <si>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</si>
  <si>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</si>
  <si>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</si>
  <si>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</si>
  <si>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</si>
  <si>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</si>
  <si>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</si>
  <si>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</si>
  <si>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</si>
  <si>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</si>
  <si>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</si>
  <si>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</si>
  <si>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</si>
  <si>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</si>
  <si>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</si>
  <si>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</si>
  <si>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</si>
  <si>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</si>
  <si>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</si>
  <si>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</si>
  <si>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</si>
  <si>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</si>
  <si>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</si>
  <si>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</si>
  <si>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</si>
  <si>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</si>
  <si>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</si>
  <si>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</si>
  <si>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</si>
  <si>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</si>
  <si>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</si>
  <si>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</si>
  <si>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</si>
  <si>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</si>
  <si>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</si>
  <si>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</si>
  <si>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</si>
  <si>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</si>
  <si>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</si>
  <si>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</si>
  <si>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</si>
  <si>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</si>
  <si>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</si>
  <si>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</si>
  <si>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</si>
  <si>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</si>
  <si>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</si>
  <si>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</si>
  <si>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</si>
  <si>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</si>
  <si>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</si>
  <si>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</si>
  <si>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</si>
  <si>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</si>
  <si>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</si>
  <si>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</si>
  <si>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</si>
  <si>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</si>
  <si>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</si>
  <si>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</si>
  <si>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</si>
  <si>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</si>
  <si>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</si>
  <si>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</si>
  <si>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</si>
  <si>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</si>
  <si>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</si>
  <si>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</si>
  <si>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</si>
  <si>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</si>
  <si>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</si>
  <si>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</si>
  <si>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</si>
  <si>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</si>
  <si>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</si>
  <si>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</si>
  <si>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</si>
  <si>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</si>
  <si>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</si>
  <si>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</si>
  <si>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</si>
  <si>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</si>
  <si>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</si>
  <si>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</si>
  <si>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</si>
  <si>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</si>
  <si>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</si>
  <si>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</si>
  <si>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</si>
  <si>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</si>
  <si>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</si>
  <si>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</si>
  <si>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</si>
  <si>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</si>
  <si>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</si>
  <si>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</si>
  <si>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</si>
  <si>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</si>
  <si>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</si>
  <si>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</si>
  <si>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</si>
  <si>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</si>
  <si>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</si>
  <si>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</si>
  <si>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</si>
  <si>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</si>
  <si>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</si>
  <si>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</si>
  <si>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</si>
  <si>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</si>
  <si>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</si>
  <si>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</si>
  <si>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</si>
  <si>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</si>
  <si>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</si>
  <si>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</si>
  <si>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</si>
  <si>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</si>
  <si>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</si>
  <si>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</si>
  <si>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</si>
  <si>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</si>
  <si>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</si>
  <si>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</si>
  <si>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</si>
  <si>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</si>
  <si>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</si>
  <si>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</si>
  <si>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</si>
  <si>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</si>
  <si>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</si>
  <si>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</si>
  <si>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</si>
  <si>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</si>
  <si>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</si>
  <si>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</si>
  <si>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</si>
  <si>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</si>
  <si>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</si>
  <si>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</si>
  <si>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</si>
  <si>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</si>
  <si>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</si>
  <si>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</si>
  <si>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</si>
  <si>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</si>
  <si>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</si>
  <si>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</si>
  <si>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</si>
  <si>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</si>
  <si>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</si>
  <si>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</si>
  <si>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</si>
  <si>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</si>
  <si>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</si>
  <si>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</si>
  <si>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</si>
  <si>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</si>
  <si>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</si>
  <si>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</si>
  <si>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</si>
  <si>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</si>
  <si>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</si>
  <si>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</si>
  <si>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</si>
  <si>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</si>
  <si>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</si>
  <si>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</si>
  <si>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</si>
  <si>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</si>
  <si>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</si>
  <si>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</si>
  <si>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</si>
  <si>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</si>
  <si>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</si>
  <si>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</si>
  <si>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</si>
  <si>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</si>
  <si>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</si>
  <si>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</si>
  <si>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</si>
  <si>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</si>
  <si>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</si>
  <si>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</si>
  <si>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</si>
  <si>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</si>
  <si>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</si>
  <si>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</si>
  <si>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</si>
  <si>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</si>
  <si>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</si>
  <si>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</si>
  <si>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</si>
  <si>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</si>
  <si>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</si>
  <si>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</si>
  <si>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</si>
  <si>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</si>
  <si>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</si>
  <si>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</si>
  <si>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</si>
  <si>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</si>
  <si>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</si>
  <si>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</si>
  <si>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</si>
  <si>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</si>
  <si>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</si>
  <si>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</si>
  <si>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</si>
  <si>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</si>
  <si>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</si>
  <si>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</si>
  <si>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</si>
  <si>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</si>
  <si>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</si>
  <si>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</si>
  <si>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</si>
  <si>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</si>
  <si>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</si>
  <si>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</si>
  <si>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</si>
  <si>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</si>
  <si>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</si>
  <si>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</si>
  <si>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</si>
  <si>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</si>
  <si>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</si>
  <si>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</si>
  <si>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</si>
  <si>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</si>
  <si>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</si>
  <si>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</si>
  <si>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</si>
  <si>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</si>
  <si>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</si>
  <si>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</si>
  <si>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</si>
  <si>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</si>
  <si>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</si>
  <si>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</si>
  <si>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</si>
  <si>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</si>
  <si>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</si>
  <si>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</si>
  <si>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</si>
  <si>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</si>
  <si>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</si>
  <si>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</si>
  <si>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</si>
  <si>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</si>
  <si>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</si>
  <si>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</si>
  <si>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</si>
  <si>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</si>
  <si>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</si>
  <si>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</si>
  <si>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</si>
  <si>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</si>
  <si>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</si>
  <si>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</si>
  <si>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</si>
  <si>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</si>
  <si>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</si>
  <si>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</si>
  <si>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</si>
  <si>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</si>
  <si>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</si>
  <si>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</si>
  <si>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</si>
  <si>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</si>
  <si>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</si>
  <si>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</si>
  <si>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</si>
  <si>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</si>
  <si>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</si>
  <si>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</si>
  <si>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</si>
  <si>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</si>
  <si>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</si>
  <si>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</si>
  <si>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</si>
  <si>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</si>
  <si>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</si>
  <si>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</si>
  <si>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</si>
  <si>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</si>
  <si>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</si>
  <si>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</si>
  <si>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</si>
  <si>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</si>
  <si>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</si>
  <si>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</si>
  <si>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</si>
  <si>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</si>
  <si>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</si>
  <si>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</si>
  <si>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</si>
  <si>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</si>
  <si>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</si>
  <si>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</si>
  <si>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</si>
  <si>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</si>
  <si>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</si>
  <si>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</si>
  <si>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</si>
  <si>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</si>
  <si>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</si>
  <si>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</si>
  <si>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</si>
  <si>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</si>
  <si>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</si>
  <si>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</si>
  <si>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</si>
  <si>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</si>
  <si>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</si>
  <si>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</si>
  <si>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</si>
  <si>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</si>
  <si>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</si>
  <si>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</si>
  <si>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</si>
  <si>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</si>
  <si>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</si>
  <si>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</si>
  <si>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</si>
  <si>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</si>
  <si>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</si>
  <si>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</si>
  <si>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</si>
  <si>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</si>
  <si>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地上</t>
  </si>
  <si>
    <t>地下</t>
  </si>
  <si>
    <t>住宅</t>
  </si>
  <si>
    <t>核定资产</t>
  </si>
  <si>
    <t>房地产市场价值</t>
  </si>
  <si>
    <t>北京市</t>
  </si>
  <si>
    <t>企业</t>
  </si>
  <si>
    <t>是</t>
  </si>
  <si>
    <t>商业</t>
    <phoneticPr fontId="7" type="noConversion"/>
  </si>
  <si>
    <t>车库</t>
    <phoneticPr fontId="7" type="noConversion"/>
  </si>
  <si>
    <t>成新度</t>
  </si>
  <si>
    <t>用途</t>
    <phoneticPr fontId="134" type="noConversion"/>
  </si>
  <si>
    <t>销售单价</t>
    <phoneticPr fontId="134" type="noConversion"/>
  </si>
  <si>
    <t>正常</t>
  </si>
  <si>
    <t>挂牌</t>
  </si>
  <si>
    <t>挂牌</t>
    <phoneticPr fontId="30"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</si>
  <si>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</si>
  <si>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</si>
  <si>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</si>
  <si>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</si>
  <si>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</si>
  <si>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</si>
  <si>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</si>
  <si>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</si>
  <si>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商业街</t>
    <phoneticPr fontId="3" type="noConversion"/>
  </si>
  <si>
    <t>住宅底商</t>
    <phoneticPr fontId="3" type="noConversion"/>
  </si>
  <si>
    <t>一层</t>
    <phoneticPr fontId="3" type="noConversion"/>
  </si>
  <si>
    <t>钢混</t>
    <phoneticPr fontId="3" type="noConversion"/>
  </si>
  <si>
    <t>混合</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</si>
  <si>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</si>
  <si>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</si>
  <si>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</si>
  <si>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</si>
  <si>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</si>
  <si>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</si>
  <si>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</si>
  <si>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</si>
  <si>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</si>
  <si>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</si>
  <si>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</si>
  <si>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富力又一城商铺</t>
    <phoneticPr fontId="3" type="noConversion"/>
  </si>
  <si>
    <t>世纪东方城</t>
    <phoneticPr fontId="3" type="noConversion"/>
  </si>
  <si>
    <t>商业</t>
    <phoneticPr fontId="30" type="noConversion"/>
  </si>
  <si>
    <t>一般</t>
  </si>
  <si>
    <t>较好</t>
  </si>
  <si>
    <t>七通</t>
  </si>
  <si>
    <t>不临街</t>
  </si>
  <si>
    <t>单面临街</t>
  </si>
  <si>
    <t>较差</t>
  </si>
  <si>
    <t>较好</t>
    <phoneticPr fontId="30" type="noConversion"/>
  </si>
  <si>
    <t>一般</t>
    <phoneticPr fontId="30" type="noConversion"/>
  </si>
  <si>
    <t>一层</t>
  </si>
  <si>
    <t>住宅底商</t>
  </si>
  <si>
    <t>毛坯</t>
  </si>
  <si>
    <t>简单装修</t>
  </si>
  <si>
    <t>钢混</t>
  </si>
  <si>
    <t>六通</t>
  </si>
  <si>
    <t>翠城馨园商铺</t>
    <phoneticPr fontId="3" type="noConversion"/>
  </si>
  <si>
    <t>六通</t>
    <phoneticPr fontId="30" type="noConversion"/>
  </si>
  <si>
    <t>售价</t>
  </si>
  <si>
    <t>车位配比</t>
  </si>
  <si>
    <t>成交时间</t>
  </si>
  <si>
    <t>建筑面积</t>
  </si>
  <si>
    <t>地上住宅单价</t>
  </si>
  <si>
    <t>车库单价</t>
  </si>
  <si>
    <t>比例</t>
  </si>
  <si>
    <t>估价对象</t>
  </si>
  <si>
    <t xml:space="preserve">1:0.6 </t>
  </si>
  <si>
    <t>瑞晖嘉苑</t>
  </si>
  <si>
    <t>1：1.2</t>
  </si>
  <si>
    <t>澜悦景苑</t>
  </si>
  <si>
    <t>恒大领寓</t>
  </si>
  <si>
    <t>1:0.8</t>
  </si>
  <si>
    <t>富力又一城C区</t>
  </si>
  <si>
    <t>1:2</t>
  </si>
  <si>
    <t>华侨城2号院</t>
  </si>
  <si>
    <t>格林莱雅</t>
  </si>
  <si>
    <t>1:1</t>
  </si>
  <si>
    <t>恒大御景湾</t>
  </si>
  <si>
    <t>1：1.1</t>
  </si>
  <si>
    <t>美景东方</t>
  </si>
  <si>
    <t>首开住总熙悦安郡</t>
  </si>
  <si>
    <t>中海城香克林</t>
  </si>
  <si>
    <t>晶城秀府</t>
  </si>
  <si>
    <t>中海城北区</t>
  </si>
  <si>
    <t>1:0.7</t>
  </si>
  <si>
    <t>案例名称</t>
  </si>
  <si>
    <t>地址</t>
  </si>
  <si>
    <t>楼层</t>
  </si>
  <si>
    <t>单价（元/个）</t>
  </si>
  <si>
    <t>北京市朝阳豆各庄</t>
  </si>
  <si>
    <t>商住公寓</t>
  </si>
  <si>
    <r>
      <rPr>
        <sz val="11"/>
        <rFont val="宋体"/>
        <family val="3"/>
        <charset val="134"/>
      </rPr>
      <t>大于</t>
    </r>
    <r>
      <rPr>
        <sz val="11"/>
        <rFont val="Arial"/>
        <family val="2"/>
      </rPr>
      <t>1</t>
    </r>
  </si>
  <si>
    <r>
      <rPr>
        <sz val="11"/>
        <rFont val="宋体"/>
        <family val="3"/>
        <charset val="134"/>
      </rPr>
      <t>小于</t>
    </r>
    <r>
      <rPr>
        <sz val="11"/>
        <rFont val="Arial"/>
        <family val="2"/>
      </rPr>
      <t>1</t>
    </r>
  </si>
  <si>
    <t>精装</t>
  </si>
  <si>
    <t>普装</t>
  </si>
  <si>
    <t>简装</t>
  </si>
  <si>
    <t>差</t>
  </si>
  <si>
    <t>好</t>
  </si>
  <si>
    <t>平面车库</t>
  </si>
  <si>
    <t>否</t>
  </si>
  <si>
    <t>车库</t>
    <phoneticPr fontId="31" type="noConversion"/>
  </si>
  <si>
    <t>住宅</t>
    <phoneticPr fontId="31" type="noConversion"/>
  </si>
  <si>
    <r>
      <rPr>
        <sz val="11"/>
        <color indexed="8"/>
        <rFont val="宋体"/>
        <family val="3"/>
        <charset val="134"/>
      </rPr>
      <t>小于</t>
    </r>
    <r>
      <rPr>
        <sz val="11"/>
        <color indexed="8"/>
        <rFont val="Arial"/>
        <family val="2"/>
      </rPr>
      <t>1</t>
    </r>
    <phoneticPr fontId="31" type="noConversion"/>
  </si>
  <si>
    <r>
      <rPr>
        <sz val="11"/>
        <color indexed="8"/>
        <rFont val="宋体"/>
        <family val="3"/>
        <charset val="134"/>
      </rPr>
      <t>小于</t>
    </r>
    <r>
      <rPr>
        <sz val="11"/>
        <color indexed="8"/>
        <rFont val="Arial"/>
        <family val="2"/>
      </rPr>
      <t>1</t>
    </r>
    <phoneticPr fontId="31" type="noConversion"/>
  </si>
  <si>
    <r>
      <rPr>
        <sz val="11"/>
        <color indexed="8"/>
        <rFont val="宋体"/>
        <family val="3"/>
        <charset val="134"/>
      </rPr>
      <t>大于</t>
    </r>
    <r>
      <rPr>
        <sz val="11"/>
        <color indexed="8"/>
        <rFont val="Arial"/>
        <family val="2"/>
      </rPr>
      <t>1</t>
    </r>
    <phoneticPr fontId="31" type="noConversion"/>
  </si>
  <si>
    <t>地上一层商业</t>
    <phoneticPr fontId="134" type="noConversion"/>
  </si>
  <si>
    <t>地下一层车库</t>
    <phoneticPr fontId="134" type="noConversion"/>
  </si>
  <si>
    <t>元/个</t>
    <phoneticPr fontId="134" type="noConversion"/>
  </si>
  <si>
    <t>元/平方米</t>
    <phoneticPr fontId="134" type="noConversion"/>
  </si>
  <si>
    <t>单位</t>
    <phoneticPr fontId="134" type="noConversion"/>
  </si>
  <si>
    <t>地下一层商业</t>
    <phoneticPr fontId="134" type="noConversion"/>
  </si>
  <si>
    <t>地下二层商业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</si>
</sst>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5" fillId="0" borderId="0" xfId="10">
      <alignment vertical="center"/>
    </xf>
    <xf numFmtId="0" fontId="107" fillId="0" borderId="1" xfId="10" applyFont="1" applyBorder="1" applyAlignment="1">
      <alignment horizontal="left" vertical="center"/>
    </xf>
    <xf numFmtId="0" fontId="107" fillId="0" borderId="0" xfId="10" applyFont="1" applyAlignment="1">
      <alignment horizontal="left" vertical="center"/>
    </xf>
    <xf numFmtId="2" fontId="107" fillId="0" borderId="0" xfId="10" applyNumberFormat="1" applyFont="1" applyAlignment="1">
      <alignment horizontal="left" vertical="center"/>
    </xf>
    <xf numFmtId="1" fontId="107" fillId="0" borderId="0" xfId="10" applyNumberFormat="1" applyFont="1" applyAlignment="1">
      <alignment horizontal="left" vertical="center"/>
    </xf>
    <xf numFmtId="49" fontId="107" fillId="0" borderId="0" xfId="10" applyNumberFormat="1" applyFont="1" applyAlignment="1">
      <alignment horizontal="left" vertical="center"/>
    </xf>
    <xf numFmtId="0" fontId="94" fillId="6" borderId="41" xfId="0" applyNumberFormat="1" applyFont="1" applyFill="1" applyBorder="1" applyAlignment="1" applyProtection="1">
      <alignment horizontal="center" vertical="center" wrapText="1"/>
    </xf>
    <xf numFmtId="0" fontId="44" fillId="0" borderId="13" xfId="10" applyNumberFormat="1" applyFont="1" applyFill="1" applyBorder="1" applyAlignment="1" applyProtection="1">
      <alignment horizontal="center" vertical="center" wrapText="1"/>
      <protection locked="0"/>
    </xf>
    <xf numFmtId="0" fontId="128" fillId="0" borderId="2"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49" fontId="51" fillId="0" borderId="9"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9"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94" fillId="0" borderId="1" xfId="1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3" xfId="10" applyFont="1" applyFill="1" applyBorder="1" applyAlignment="1" applyProtection="1">
      <alignment horizontal="center" vertical="center" wrapText="1"/>
      <protection locked="0"/>
    </xf>
    <xf numFmtId="0" fontId="166" fillId="0" borderId="5" xfId="10" applyFont="1" applyFill="1" applyBorder="1" applyAlignment="1" applyProtection="1">
      <alignment horizontal="center" vertical="center" wrapText="1"/>
      <protection locked="0"/>
    </xf>
    <xf numFmtId="0" fontId="208" fillId="0" borderId="23" xfId="10" applyFont="1" applyFill="1" applyBorder="1" applyAlignment="1" applyProtection="1">
      <alignment horizontal="center" vertical="center" wrapText="1"/>
      <protection locked="0"/>
    </xf>
    <xf numFmtId="0" fontId="166" fillId="0" borderId="24" xfId="1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307669</xdr:colOff>
      <xdr:row>45</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97280"/>
          <a:ext cx="7523809" cy="7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389028</xdr:colOff>
      <xdr:row>14</xdr:row>
      <xdr:rowOff>96823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71428" cy="2657143"/>
        </a:xfrm>
        <a:prstGeom prst="rect">
          <a:avLst/>
        </a:prstGeom>
      </xdr:spPr>
    </xdr:pic>
    <xdr:clientData/>
  </xdr:twoCellAnchor>
  <xdr:twoCellAnchor editAs="oneCell">
    <xdr:from>
      <xdr:col>0</xdr:col>
      <xdr:colOff>0</xdr:colOff>
      <xdr:row>15</xdr:row>
      <xdr:rowOff>0</xdr:rowOff>
    </xdr:from>
    <xdr:to>
      <xdr:col>19</xdr:col>
      <xdr:colOff>322362</xdr:colOff>
      <xdr:row>52</xdr:row>
      <xdr:rowOff>176297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11904762" cy="6942857"/>
        </a:xfrm>
        <a:prstGeom prst="rect">
          <a:avLst/>
        </a:prstGeom>
      </xdr:spPr>
    </xdr:pic>
    <xdr:clientData/>
  </xdr:twoCellAnchor>
  <xdr:twoCellAnchor editAs="oneCell">
    <xdr:from>
      <xdr:col>0</xdr:col>
      <xdr:colOff>0</xdr:colOff>
      <xdr:row>53</xdr:row>
      <xdr:rowOff>60960</xdr:rowOff>
    </xdr:from>
    <xdr:to>
      <xdr:col>19</xdr:col>
      <xdr:colOff>265219</xdr:colOff>
      <xdr:row>79</xdr:row>
      <xdr:rowOff>87032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53600"/>
          <a:ext cx="11847619" cy="4780952"/>
        </a:xfrm>
        <a:prstGeom prst="rect">
          <a:avLst/>
        </a:prstGeom>
      </xdr:spPr>
    </xdr:pic>
    <xdr:clientData/>
  </xdr:twoCellAnchor>
  <xdr:twoCellAnchor editAs="oneCell">
    <xdr:from>
      <xdr:col>0</xdr:col>
      <xdr:colOff>0</xdr:colOff>
      <xdr:row>80</xdr:row>
      <xdr:rowOff>91440</xdr:rowOff>
    </xdr:from>
    <xdr:to>
      <xdr:col>20</xdr:col>
      <xdr:colOff>46095</xdr:colOff>
      <xdr:row>94</xdr:row>
      <xdr:rowOff>26358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21840"/>
          <a:ext cx="12238095" cy="2495238"/>
        </a:xfrm>
        <a:prstGeom prst="rect">
          <a:avLst/>
        </a:prstGeom>
      </xdr:spPr>
    </xdr:pic>
    <xdr:clientData/>
  </xdr:twoCellAnchor>
  <xdr:twoCellAnchor editAs="oneCell">
    <xdr:from>
      <xdr:col>19</xdr:col>
      <xdr:colOff>426720</xdr:colOff>
      <xdr:row>0</xdr:row>
      <xdr:rowOff>0</xdr:rowOff>
    </xdr:from>
    <xdr:to>
      <xdr:col>36</xdr:col>
      <xdr:colOff>596853</xdr:colOff>
      <xdr:row>39</xdr:row>
      <xdr:rowOff>115299</xdr:rowOff>
    </xdr:to>
    <xdr:pic>
      <xdr:nvPicPr>
        <xdr:cNvPr id="6" name="图片 5"/>
        <xdr:cNvPicPr>
          <a:picLocks noChangeAspect="1"/>
        </xdr:cNvPicPr>
      </xdr:nvPicPr>
      <xdr:blipFill>
        <a:blip xmlns:r="http://schemas.openxmlformats.org/officeDocument/2006/relationships" r:embed="rId5"/>
        <a:stretch>
          <a:fillRect/>
        </a:stretch>
      </xdr:blipFill>
      <xdr:spPr>
        <a:xfrm>
          <a:off x="12009120" y="0"/>
          <a:ext cx="10533333" cy="7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估价对象为北京市房地产，为所有。根据《国有土地使用证》[]，估价对象（分摊）出让国有建设用地使用权面积为0平方米，建筑面积为98801.98平方米。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估价对象为北京市房地产,属开发建设的，该项目尚在开发建设中。根据《国有土地使用证》[]，估价对象（分摊）出让国有建设用地使用权面积为0平方米，规划建筑面积为98801.98平方米。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2024年8月29日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98801.98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45" sqref="A45"/>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23" t="s">
        <v>2582</v>
      </c>
      <c r="J2" s="3523"/>
      <c r="K2" s="3523"/>
      <c r="L2" s="3523"/>
      <c r="M2" s="3523"/>
      <c r="N2" s="3523"/>
      <c r="O2" s="3523"/>
      <c r="P2" s="3523"/>
      <c r="Q2" s="3523"/>
      <c r="R2" s="3523"/>
    </row>
    <row r="3" spans="1:18">
      <c r="A3" s="3019" t="s">
        <v>2503</v>
      </c>
      <c r="B3" s="3020">
        <f>项目基本情况!D3</f>
        <v>45533</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32.32</v>
      </c>
      <c r="D7" s="3024">
        <f>IF(ISERROR(ROUND(POWER(1+E7,A7-C7)*(POWER(1+E7,C7)-1)/(POWER(1+E7,A7)-1),3)),0,ROUND(POWER(1+E7,A7-C7)*(POWER(1+E7,C7)-1)/(POWER(1+E7,A7)-1),4))</f>
        <v>0.76780000000000004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C41" sqref="C4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32" t="str">
        <f>IF(B10="北京市","北京市",C10)&amp;F10&amp;IF(结果表!G1="在建","出让国有建设用地使用权及在建建筑物",IF(结果表!G1="土地","出让国有建设用地使用权",))&amp;B9&amp;"预评估"</f>
        <v>北京市房地产市场价值预评估</v>
      </c>
      <c r="C1" s="3533"/>
      <c r="D1" s="3533"/>
      <c r="E1" s="3533"/>
      <c r="F1" s="3533"/>
      <c r="G1" s="3533"/>
      <c r="H1" s="3533"/>
      <c r="I1" s="3534"/>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35" t="s">
        <v>2177</v>
      </c>
      <c r="E8" s="2390"/>
      <c r="F8" s="2391"/>
      <c r="G8" s="2662"/>
      <c r="H8" s="2662"/>
      <c r="I8" s="2662"/>
      <c r="J8" s="2438"/>
      <c r="K8" s="2613"/>
      <c r="L8" s="2612"/>
      <c r="M8" s="2612"/>
      <c r="N8" s="2438"/>
      <c r="O8" s="2449"/>
      <c r="P8" s="2438"/>
      <c r="Q8" s="2438"/>
      <c r="R8" s="2438"/>
    </row>
    <row r="9" spans="1:30" ht="13.8" thickBot="1">
      <c r="A9" s="2392" t="s">
        <v>2178</v>
      </c>
      <c r="B9" s="2393" t="s">
        <v>3389</v>
      </c>
      <c r="C9" s="2394"/>
      <c r="D9" s="3536"/>
      <c r="E9" s="2393"/>
      <c r="F9" s="2395"/>
      <c r="G9" s="2664"/>
      <c r="H9" s="2664"/>
      <c r="I9" s="2664"/>
      <c r="J9" s="2438"/>
      <c r="K9" s="2615"/>
      <c r="L9" s="2612"/>
      <c r="M9" s="2612"/>
      <c r="N9" s="2438"/>
      <c r="O9" s="2449"/>
      <c r="P9" s="2438"/>
      <c r="Q9" s="2438"/>
      <c r="R9" s="2438"/>
    </row>
    <row r="10" spans="1:30" ht="13.8"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42"/>
      <c r="C16" s="3543"/>
      <c r="D16" s="3544"/>
      <c r="E16" s="2412" t="s">
        <v>2194</v>
      </c>
      <c r="F16" s="3545"/>
      <c r="G16" s="3546"/>
      <c r="H16" s="3546"/>
      <c r="I16" s="3547"/>
      <c r="J16" s="2438"/>
      <c r="K16" s="2616"/>
      <c r="L16" s="2450"/>
      <c r="M16" s="2450"/>
      <c r="N16" s="2508"/>
      <c r="O16" s="2450"/>
      <c r="P16" s="2508"/>
      <c r="Q16" s="2438"/>
      <c r="R16" s="2438"/>
    </row>
    <row r="17" spans="1:28">
      <c r="A17" s="313" t="s">
        <v>2195</v>
      </c>
      <c r="B17" s="302" t="s">
        <v>2196</v>
      </c>
      <c r="C17" s="8">
        <f>'数据-汇总表'!E3</f>
        <v>98801.98</v>
      </c>
      <c r="D17" s="2321" t="s">
        <v>2197</v>
      </c>
      <c r="E17" s="3548" t="s">
        <v>2198</v>
      </c>
      <c r="F17" s="3549"/>
      <c r="G17" s="3549"/>
      <c r="H17" s="3549"/>
      <c r="I17" s="3550"/>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51" t="s">
        <v>2202</v>
      </c>
      <c r="F18" s="3552"/>
      <c r="G18" s="3552"/>
      <c r="H18" s="3552"/>
      <c r="I18" s="3553"/>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8" t="s">
        <v>2206</v>
      </c>
      <c r="C20" s="3539"/>
      <c r="D20" s="3540" t="s">
        <v>2207</v>
      </c>
      <c r="E20" s="3541"/>
      <c r="F20" s="2646" t="s">
        <v>1056</v>
      </c>
      <c r="G20" s="2663"/>
      <c r="H20" s="2663"/>
      <c r="I20" s="2663"/>
      <c r="J20" s="2438"/>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2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6"/>
      <c r="B30" s="302" t="s">
        <v>2218</v>
      </c>
      <c r="C30" s="3527"/>
      <c r="D30" s="3528"/>
      <c r="E30" s="2663"/>
      <c r="F30" s="2663"/>
      <c r="G30" s="2663"/>
      <c r="H30" s="2663"/>
      <c r="I30" s="2663"/>
      <c r="J30" s="2438"/>
      <c r="K30" s="2615"/>
      <c r="L30" s="2612"/>
      <c r="M30" s="2612"/>
      <c r="N30" s="2438"/>
      <c r="O30" s="2449"/>
      <c r="P30" s="2438"/>
      <c r="Q30" s="2438"/>
      <c r="R30" s="2438"/>
      <c r="S30" s="2438"/>
      <c r="T30" s="2438"/>
      <c r="U30" s="2438"/>
      <c r="V30" s="2438"/>
    </row>
    <row r="31" spans="1:28">
      <c r="A31" s="3529"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0"/>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4" t="s">
        <v>2228</v>
      </c>
      <c r="T34" s="2427" t="str">
        <f>NUMBERSTRING(7-K34,1)&amp;"通"</f>
        <v>七通</v>
      </c>
      <c r="U34" s="2438"/>
      <c r="V34" s="2438"/>
    </row>
    <row r="35" spans="1:30">
      <c r="A35" s="2428"/>
      <c r="B35" s="3531" t="s">
        <v>2229</v>
      </c>
      <c r="C35" s="3531"/>
      <c r="D35" s="3531"/>
      <c r="E35" s="353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98801.98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98801.98</v>
      </c>
      <c r="H5" s="13">
        <f t="shared" ref="H5:AT5" si="0">SUM(H13:H656)</f>
        <v>98801.98</v>
      </c>
      <c r="I5" s="13">
        <f t="shared" si="0"/>
        <v>8234.93</v>
      </c>
      <c r="J5" s="13">
        <f t="shared" si="0"/>
        <v>0</v>
      </c>
      <c r="K5" s="13">
        <f t="shared" si="0"/>
        <v>34731.96</v>
      </c>
      <c r="L5" s="13">
        <f t="shared" si="0"/>
        <v>0</v>
      </c>
      <c r="M5" s="13">
        <f t="shared" si="0"/>
        <v>55835.09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98801.98</v>
      </c>
      <c r="BA5" s="15">
        <f t="shared" si="1"/>
        <v>98801.98</v>
      </c>
      <c r="BB5" s="15">
        <f t="shared" si="1"/>
        <v>8234.93</v>
      </c>
      <c r="BC5" s="15">
        <f t="shared" si="1"/>
        <v>34731.96</v>
      </c>
      <c r="BD5" s="15">
        <f t="shared" si="1"/>
        <v>55835.09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3385</v>
      </c>
      <c r="J9" s="809"/>
      <c r="K9" s="1603" t="s">
        <v>3386</v>
      </c>
      <c r="L9" s="809"/>
      <c r="M9" s="1603" t="s">
        <v>3386</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t="s">
        <v>3335</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98801.98</v>
      </c>
      <c r="H13" s="17">
        <f>SUMIF(I$12:AB$12,"总值",I13:AB13)</f>
        <v>98801.98</v>
      </c>
      <c r="I13" s="1626">
        <v>8234.93</v>
      </c>
      <c r="J13" s="1626"/>
      <c r="K13" s="1626">
        <f>25064.96+9667</f>
        <v>34731.96</v>
      </c>
      <c r="L13" s="1626"/>
      <c r="M13" s="1626">
        <v>55835.09</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98801.98</v>
      </c>
      <c r="BA13" s="13">
        <f>SUM(BB13:BK13)</f>
        <v>98801.98</v>
      </c>
      <c r="BB13" s="13">
        <f>IF($D13="是",I13-J13,0)</f>
        <v>8234.93</v>
      </c>
      <c r="BC13" s="13">
        <f>IF($D13="是",K13-L13,0)</f>
        <v>34731.96</v>
      </c>
      <c r="BD13" s="13">
        <f>IF($D13="是",M13-N13,0)</f>
        <v>55835.09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1" sqref="G3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8"/>
      <c r="G2" s="2649"/>
      <c r="H2" s="2650"/>
      <c r="I2" s="2324" t="s">
        <v>1132</v>
      </c>
      <c r="J2" s="2658"/>
      <c r="K2" s="2658"/>
      <c r="L2" s="2658"/>
      <c r="M2" s="2658"/>
      <c r="N2" s="2660"/>
      <c r="O2" s="2658"/>
      <c r="P2" s="2658"/>
    </row>
    <row r="3" spans="1:16" ht="15" thickBot="1">
      <c r="A3" s="3564" t="s">
        <v>1105</v>
      </c>
      <c r="B3" s="3564"/>
      <c r="C3" s="3564"/>
      <c r="D3" s="43">
        <f>'数据-基础表'!AY6</f>
        <v>0</v>
      </c>
      <c r="E3" s="43">
        <f>'数据-基础表'!AZ5</f>
        <v>98801.98</v>
      </c>
      <c r="F3" s="2658"/>
      <c r="G3" s="1145"/>
      <c r="H3" s="1026" t="s">
        <v>1106</v>
      </c>
      <c r="I3" s="855" t="e">
        <f>ROUND('数据-基础表'!B3/'数据-基础表'!A3,2)</f>
        <v>#DIV/0!</v>
      </c>
      <c r="J3" s="2658"/>
      <c r="K3" s="2658"/>
      <c r="L3" s="2658"/>
      <c r="M3" s="2658"/>
      <c r="N3" s="2660"/>
      <c r="O3" s="2658"/>
      <c r="P3" s="2658"/>
    </row>
    <row r="4" spans="1:16" ht="14.4">
      <c r="A4" s="3565"/>
      <c r="B4" s="3566"/>
      <c r="C4" s="356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8" t="s">
        <v>1110</v>
      </c>
      <c r="C5" s="3568"/>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8" t="s">
        <v>1111</v>
      </c>
      <c r="C6" s="3568"/>
      <c r="D6" s="45">
        <f>ROUND($D$3*E6/$E$3,2)</f>
        <v>0</v>
      </c>
      <c r="E6" s="46">
        <f>E3-E5</f>
        <v>98801.98</v>
      </c>
      <c r="F6" s="2658"/>
      <c r="G6" s="2652" t="s">
        <v>1112</v>
      </c>
      <c r="H6" s="1146" t="s">
        <v>1113</v>
      </c>
      <c r="I6" s="2653" t="e">
        <f>ROUND(F31/D31,2)</f>
        <v>#DIV/0!</v>
      </c>
      <c r="J6" s="2658"/>
      <c r="K6" s="2658"/>
      <c r="L6" s="2658"/>
      <c r="M6" s="2658"/>
      <c r="N6" s="2658"/>
      <c r="O6" s="2658"/>
      <c r="P6" s="2658"/>
    </row>
    <row r="7" spans="1:16" ht="15" thickBot="1">
      <c r="A7" s="3560"/>
      <c r="B7" s="3561"/>
      <c r="C7" s="3562"/>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8234.93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34731.96</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55835.09</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98801.98</v>
      </c>
      <c r="F16" s="2658"/>
      <c r="G16" s="2659"/>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3393</v>
      </c>
      <c r="D19" s="45">
        <f>ROUND($D$3*E19/$E$3,2)</f>
        <v>0</v>
      </c>
      <c r="E19" s="53">
        <f t="shared" ref="E19:E26" si="1">SUM(F19:G19)</f>
        <v>42966.89</v>
      </c>
      <c r="F19" s="2794">
        <f>'数据-基础表'!I13</f>
        <v>8234.93</v>
      </c>
      <c r="G19" s="2795">
        <f>'数据-基础表'!K13</f>
        <v>34731.96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42966.89</v>
      </c>
    </row>
    <row r="20" spans="1:19" ht="14.4">
      <c r="A20" s="1670"/>
      <c r="B20" s="47" t="s">
        <v>1153</v>
      </c>
      <c r="C20" s="3416" t="s">
        <v>3394</v>
      </c>
      <c r="D20" s="45">
        <f t="shared" ref="D20:D26" si="6">ROUND($D$3*E20/$E$3,2)</f>
        <v>0</v>
      </c>
      <c r="E20" s="53">
        <f t="shared" si="1"/>
        <v>55835.09</v>
      </c>
      <c r="F20" s="2794"/>
      <c r="G20" s="2795">
        <f>'数据-基础表'!M13</f>
        <v>55835.09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55835.09</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98801.98</v>
      </c>
      <c r="F27" s="1140">
        <f>IF(SUM(F19:F26)=E8,SUM(F19:F26),"地上面积有误")</f>
        <v>8234.93</v>
      </c>
      <c r="G27" s="1142">
        <f>SUM(G19:G26)</f>
        <v>90567.049999999988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98801.98</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98801.98</v>
      </c>
      <c r="F31" s="677">
        <f>F27+F30</f>
        <v>8234.93</v>
      </c>
      <c r="G31" s="678">
        <f>G27+G30</f>
        <v>90567.049999999988</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5.5E-2</v>
      </c>
      <c r="J6" s="66">
        <v>6.5000000000000002E-2</v>
      </c>
      <c r="K6" s="1030">
        <f>SUMIF('数据-汇总表'!C$19:C$33,A6,'数据-汇总表'!E$19:E$33)</f>
        <v>42966.89</v>
      </c>
      <c r="L6" s="733">
        <v>3000</v>
      </c>
      <c r="M6" s="67">
        <f t="shared" ref="M6:M14" si="0">ROUND(K6*L6/10000,0)</f>
        <v>12890</v>
      </c>
      <c r="N6" s="731">
        <v>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车库</v>
      </c>
      <c r="B7" s="1713" t="str">
        <f t="shared" ref="B7:B13" si="1">IF(A7=0,"","经营性")</f>
        <v>经营性</v>
      </c>
      <c r="C7" s="1714" t="s">
        <v>3335</v>
      </c>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v>4.4999999999999998E-2</v>
      </c>
      <c r="I7" s="732">
        <v>0.05</v>
      </c>
      <c r="J7" s="66">
        <v>6.5000000000000002E-2</v>
      </c>
      <c r="K7" s="1030">
        <f>SUMIF('数据-汇总表'!C$19:C$33,A7,'数据-汇总表'!E$19:E$33)</f>
        <v>55835.09</v>
      </c>
      <c r="L7" s="733">
        <v>3000</v>
      </c>
      <c r="M7" s="67">
        <f t="shared" si="0"/>
        <v>16751</v>
      </c>
      <c r="N7" s="731">
        <v>1</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98801.98</v>
      </c>
      <c r="L16" s="93">
        <f>ROUND(M16*10000/SUM(K6:K14),0)</f>
        <v>3000</v>
      </c>
      <c r="M16" s="93">
        <f>SUM(M6:M14)</f>
        <v>29641</v>
      </c>
      <c r="N16" s="94">
        <f>ROUND(SUMPRODUCT(M6:M14,N6:N14)/M16,3)</f>
        <v>1</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3</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69" t="s">
        <v>2286</v>
      </c>
      <c r="B1" s="3570"/>
      <c r="C1" s="3570"/>
      <c r="D1" s="3570"/>
      <c r="E1" s="3570"/>
      <c r="F1" s="3570"/>
      <c r="G1" s="357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3.2">
      <c r="A3" s="3609" t="s">
        <v>1264</v>
      </c>
      <c r="B3" s="3610"/>
      <c r="C3" s="3610"/>
      <c r="D3" s="3610"/>
      <c r="E3" s="3610"/>
      <c r="F3" s="3610"/>
      <c r="G3" s="3610"/>
      <c r="H3" s="3610"/>
      <c r="I3" s="3610"/>
    </row>
    <row r="4" spans="1:12" ht="14.4">
      <c r="A4" s="1754" t="s">
        <v>1265</v>
      </c>
      <c r="B4" s="1755" t="s">
        <v>1266</v>
      </c>
      <c r="C4" s="1756"/>
      <c r="D4" s="1756"/>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5" t="s">
        <v>1268</v>
      </c>
      <c r="B5" s="3572">
        <v>25</v>
      </c>
      <c r="C5" s="3588"/>
      <c r="D5" s="3608"/>
      <c r="E5" s="131" t="s">
        <v>1269</v>
      </c>
      <c r="F5" s="1757"/>
      <c r="G5" s="1757"/>
      <c r="H5" s="1757"/>
      <c r="I5" s="1373"/>
    </row>
    <row r="6" spans="1:12" ht="13.2">
      <c r="A6" s="3585"/>
      <c r="B6" s="3572"/>
      <c r="C6" s="3589"/>
      <c r="D6" s="3608"/>
      <c r="E6" s="131" t="s">
        <v>1270</v>
      </c>
      <c r="F6" s="1757"/>
      <c r="G6" s="1757"/>
      <c r="H6" s="1757"/>
      <c r="I6" s="1373"/>
    </row>
    <row r="7" spans="1:12" ht="13.2">
      <c r="A7" s="3585"/>
      <c r="B7" s="3572"/>
      <c r="C7" s="3590"/>
      <c r="D7" s="3608"/>
      <c r="E7" s="131" t="s">
        <v>1271</v>
      </c>
      <c r="F7" s="1757"/>
      <c r="G7" s="1757"/>
      <c r="H7" s="1757"/>
      <c r="I7" s="1373"/>
    </row>
    <row r="8" spans="1:12" ht="13.2">
      <c r="A8" s="3585" t="s">
        <v>1272</v>
      </c>
      <c r="B8" s="3572">
        <v>15</v>
      </c>
      <c r="C8" s="3588"/>
      <c r="D8" s="3608"/>
      <c r="E8" s="131" t="s">
        <v>1273</v>
      </c>
      <c r="F8" s="1757"/>
      <c r="G8" s="1757"/>
      <c r="H8" s="1757"/>
      <c r="I8" s="1373"/>
    </row>
    <row r="9" spans="1:12" ht="13.2">
      <c r="A9" s="3585"/>
      <c r="B9" s="3572"/>
      <c r="C9" s="3590"/>
      <c r="D9" s="3608"/>
      <c r="E9" s="131" t="s">
        <v>1274</v>
      </c>
      <c r="F9" s="1757"/>
      <c r="G9" s="1757"/>
      <c r="H9" s="1757"/>
      <c r="I9" s="1373"/>
    </row>
    <row r="10" spans="1:12" ht="13.2">
      <c r="A10" s="3585" t="s">
        <v>1275</v>
      </c>
      <c r="B10" s="3572">
        <v>15</v>
      </c>
      <c r="C10" s="3588"/>
      <c r="D10" s="3608"/>
      <c r="E10" s="131" t="s">
        <v>1276</v>
      </c>
      <c r="F10" s="1757"/>
      <c r="G10" s="1757"/>
      <c r="H10" s="1757"/>
      <c r="I10" s="1373"/>
    </row>
    <row r="11" spans="1:12" ht="13.2">
      <c r="A11" s="3585"/>
      <c r="B11" s="3572"/>
      <c r="C11" s="3590"/>
      <c r="D11" s="3608"/>
      <c r="E11" s="131" t="s">
        <v>1277</v>
      </c>
      <c r="F11" s="1757"/>
      <c r="G11" s="1757"/>
      <c r="H11" s="1757"/>
      <c r="I11" s="1373"/>
    </row>
    <row r="12" spans="1:12" ht="13.2">
      <c r="A12" s="3585" t="s">
        <v>1278</v>
      </c>
      <c r="B12" s="3572">
        <v>15</v>
      </c>
      <c r="C12" s="3588"/>
      <c r="D12" s="3608"/>
      <c r="E12" s="131" t="s">
        <v>1279</v>
      </c>
      <c r="F12" s="1757"/>
      <c r="G12" s="1757"/>
      <c r="H12" s="1757"/>
      <c r="I12" s="1373"/>
    </row>
    <row r="13" spans="1:12" ht="13.2">
      <c r="A13" s="3585"/>
      <c r="B13" s="3572"/>
      <c r="C13" s="3590"/>
      <c r="D13" s="3608"/>
      <c r="E13" s="131" t="s">
        <v>1280</v>
      </c>
      <c r="F13" s="1757"/>
      <c r="G13" s="1757"/>
      <c r="H13" s="1757"/>
      <c r="I13" s="1373"/>
    </row>
    <row r="14" spans="1:12" ht="13.2">
      <c r="A14" s="3585" t="s">
        <v>1281</v>
      </c>
      <c r="B14" s="3572">
        <v>30</v>
      </c>
      <c r="C14" s="3588"/>
      <c r="D14" s="3608"/>
      <c r="E14" s="131" t="s">
        <v>1282</v>
      </c>
      <c r="F14" s="1757"/>
      <c r="G14" s="1757"/>
      <c r="H14" s="1757"/>
      <c r="I14" s="1373"/>
    </row>
    <row r="15" spans="1:12" ht="13.2">
      <c r="A15" s="3585"/>
      <c r="B15" s="3572"/>
      <c r="C15" s="3589"/>
      <c r="D15" s="3608"/>
      <c r="E15" s="131" t="s">
        <v>1283</v>
      </c>
      <c r="F15" s="1757"/>
      <c r="G15" s="1757"/>
      <c r="H15" s="1757"/>
      <c r="I15" s="1373"/>
    </row>
    <row r="16" spans="1:12" ht="13.2">
      <c r="A16" s="3585"/>
      <c r="B16" s="3572"/>
      <c r="C16" s="3590"/>
      <c r="D16" s="3608"/>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95" t="s">
        <v>2131</v>
      </c>
      <c r="F18" s="3596"/>
      <c r="G18" s="3596"/>
      <c r="H18" s="3596"/>
      <c r="I18" s="3596"/>
      <c r="K18" s="302" t="s">
        <v>1289</v>
      </c>
      <c r="L18" s="302">
        <f>IF(C1="",'数据-汇总表'!E3,SUMIF(项目类型,C1,'数据-汇总表'!E17:E26)+SUMIF(项目类型,C1,'数据-汇总表'!I17:I26))</f>
        <v>98801.98</v>
      </c>
      <c r="M18" s="302">
        <f>IF(C1="",'数据-汇总表'!E3,SUMIF(项目类型,C1,'数据-汇总表'!E17:E26))</f>
        <v>98801.98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79" t="s">
        <v>1299</v>
      </c>
      <c r="B24" s="1762" t="s">
        <v>1291</v>
      </c>
      <c r="C24" s="136">
        <f>IF(B30=0,0,D30)</f>
        <v>0</v>
      </c>
      <c r="D24" s="1769"/>
      <c r="E24" s="129"/>
      <c r="F24" s="129"/>
      <c r="G24" s="129"/>
      <c r="H24" s="129"/>
      <c r="I24" s="129"/>
    </row>
    <row r="25" spans="1:36" ht="14.4">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9" t="s">
        <v>1312</v>
      </c>
      <c r="B36" s="1787" t="s">
        <v>1313</v>
      </c>
      <c r="C36" s="145"/>
      <c r="D36" s="1788"/>
      <c r="E36" s="1789"/>
      <c r="F36" s="1790"/>
      <c r="G36" s="129"/>
      <c r="H36" s="129"/>
      <c r="I36" s="129"/>
    </row>
    <row r="37" spans="1:15" ht="15" thickBot="1">
      <c r="A37" s="3600"/>
      <c r="B37" s="1674" t="s">
        <v>1314</v>
      </c>
      <c r="C37" s="147"/>
      <c r="D37" s="1139"/>
      <c r="E37" s="1139"/>
      <c r="F37" s="1790"/>
      <c r="G37" s="129"/>
      <c r="H37" s="129"/>
      <c r="I37" s="129"/>
    </row>
    <row r="38" spans="1:15" ht="15" thickBot="1">
      <c r="A38" s="360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t="e">
        <f ca="1">ROUND(H101*F45,0)</f>
        <v>#REF!</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2">
        <v>1</v>
      </c>
      <c r="K46" s="3635" t="s">
        <v>1331</v>
      </c>
      <c r="L46" s="3635"/>
      <c r="M46" s="3655"/>
      <c r="N46" s="3655"/>
      <c r="O46" s="3655"/>
    </row>
    <row r="47" spans="1:15" ht="12" customHeight="1">
      <c r="A47" s="160" t="s">
        <v>1332</v>
      </c>
      <c r="B47" s="161"/>
      <c r="C47" s="162"/>
      <c r="D47" s="1087" t="s">
        <v>1333</v>
      </c>
      <c r="E47" s="302" t="s">
        <v>1334</v>
      </c>
      <c r="F47" s="163" t="s">
        <v>1335</v>
      </c>
      <c r="G47" s="2545" t="s">
        <v>1336</v>
      </c>
      <c r="H47" s="2546"/>
      <c r="I47" s="159"/>
      <c r="J47" s="2522">
        <v>2</v>
      </c>
      <c r="K47" s="3635" t="s">
        <v>1337</v>
      </c>
      <c r="L47" s="3635"/>
      <c r="M47" s="3656">
        <f>'数据-取费表'!B2</f>
        <v>45533</v>
      </c>
      <c r="N47" s="3656"/>
      <c r="O47" s="3656"/>
    </row>
    <row r="48" spans="1:15" ht="26.4">
      <c r="A48" s="3604" t="s">
        <v>1338</v>
      </c>
      <c r="B48" s="3587"/>
      <c r="C48" s="358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35" t="s">
        <v>1340</v>
      </c>
      <c r="L48" s="3635"/>
      <c r="M48" s="3657" t="e">
        <f ca="1">H101</f>
        <v>#REF!</v>
      </c>
      <c r="N48" s="3657"/>
      <c r="O48" s="3657"/>
    </row>
    <row r="49" spans="1:35" ht="25.5" customHeight="1">
      <c r="A49" s="2332" t="s">
        <v>1341</v>
      </c>
      <c r="B49" s="3571" t="s">
        <v>1342</v>
      </c>
      <c r="C49" s="3571"/>
      <c r="D49" s="1590">
        <v>0</v>
      </c>
      <c r="E49" s="324" t="s">
        <v>1343</v>
      </c>
      <c r="F49" s="2423" t="s">
        <v>28</v>
      </c>
      <c r="G49" s="3641"/>
      <c r="H49" s="2309" t="s">
        <v>2134</v>
      </c>
      <c r="I49" s="2310"/>
      <c r="J49" s="2522">
        <v>4</v>
      </c>
      <c r="K49" s="3635" t="str">
        <f>IF(项目基本情况!E8="房地产抵押价值","房地产抵押价值","抵押担保权已注销时的房地产抵押价值")</f>
        <v>抵押担保权已注销时的房地产抵押价值</v>
      </c>
      <c r="L49" s="3635"/>
      <c r="M49" s="3657" t="str">
        <f>IF(项目基本情况!E8="房地产抵押价值",H107,H109)</f>
        <v>——</v>
      </c>
      <c r="N49" s="3657"/>
      <c r="O49" s="3657"/>
    </row>
    <row r="50" spans="1:35" ht="25.5" customHeight="1">
      <c r="A50" s="2550"/>
      <c r="B50" s="3571" t="s">
        <v>1344</v>
      </c>
      <c r="C50" s="3571"/>
      <c r="D50" s="2551"/>
      <c r="E50" s="332"/>
      <c r="F50" s="2423"/>
      <c r="G50" s="3642"/>
      <c r="H50" s="2311" t="s">
        <v>2135</v>
      </c>
      <c r="I50" s="2310"/>
      <c r="J50" s="3654" t="s">
        <v>1345</v>
      </c>
      <c r="K50" s="3654"/>
      <c r="L50" s="3654"/>
      <c r="M50" s="3654"/>
      <c r="N50" s="3654"/>
      <c r="O50" s="3654"/>
    </row>
    <row r="51" spans="1:35" ht="20.399999999999999" customHeight="1">
      <c r="A51" s="2552"/>
      <c r="B51" s="3571" t="s">
        <v>1346</v>
      </c>
      <c r="C51" s="3571"/>
      <c r="D51" s="1087"/>
      <c r="E51" s="327"/>
      <c r="F51" s="2423"/>
      <c r="G51" s="3643"/>
      <c r="H51" s="2311" t="s">
        <v>2136</v>
      </c>
      <c r="I51" s="2310"/>
      <c r="J51" s="2523" t="s">
        <v>1347</v>
      </c>
      <c r="K51" s="3635" t="s">
        <v>1348</v>
      </c>
      <c r="L51" s="3635"/>
      <c r="M51" s="2523" t="s">
        <v>1349</v>
      </c>
      <c r="N51" s="2523" t="s">
        <v>1350</v>
      </c>
      <c r="O51" s="2523" t="s">
        <v>1351</v>
      </c>
    </row>
    <row r="52" spans="1:35" ht="24" customHeight="1">
      <c r="A52" s="2334" t="s">
        <v>1352</v>
      </c>
      <c r="B52" s="3571" t="s">
        <v>1353</v>
      </c>
      <c r="C52" s="3571"/>
      <c r="D52" s="1087" t="e">
        <f ca="1">ROUND(D45*'数据-取费表'!B41/(1+'数据-取费表'!C42),0)</f>
        <v>#REF!</v>
      </c>
      <c r="E52" s="2333" t="s">
        <v>1354</v>
      </c>
      <c r="F52" s="2553">
        <f>'数据-取费表'!B41</f>
        <v>5.6000000000000001E-2</v>
      </c>
      <c r="G52" s="2554"/>
      <c r="H52" s="2543"/>
      <c r="I52" s="1807"/>
      <c r="J52" s="2522">
        <v>1</v>
      </c>
      <c r="K52" s="3636" t="s">
        <v>1355</v>
      </c>
      <c r="L52" s="3636"/>
      <c r="M52" s="2524" t="b">
        <f>D48</f>
        <v>0</v>
      </c>
      <c r="N52" s="2522" t="str">
        <f>E48</f>
        <v>销售额×税（费）率</v>
      </c>
      <c r="O52" s="2525">
        <f>F48</f>
        <v>5.6000000000000001E-2</v>
      </c>
    </row>
    <row r="53" spans="1:35" ht="12" customHeight="1">
      <c r="A53" s="2334" t="s">
        <v>1356</v>
      </c>
      <c r="B53" s="3597" t="s">
        <v>2291</v>
      </c>
      <c r="C53" s="3598"/>
      <c r="D53" s="1087" t="e">
        <f ca="1">ROUND(D45*'数据-取费表'!B41/(1+'数据-取费表'!C42),0)</f>
        <v>#REF!</v>
      </c>
      <c r="E53" s="2333" t="s">
        <v>1354</v>
      </c>
      <c r="F53" s="2553">
        <f>'数据-取费表'!B41</f>
        <v>5.6000000000000001E-2</v>
      </c>
      <c r="G53" s="2554"/>
      <c r="H53" s="2543"/>
      <c r="I53" s="1807"/>
      <c r="J53" s="2522">
        <v>2</v>
      </c>
      <c r="K53" s="3636" t="s">
        <v>1357</v>
      </c>
      <c r="L53" s="3636"/>
      <c r="M53" s="2524" t="e">
        <f t="shared" ref="M53:O54" ca="1" si="0">D55</f>
        <v>#REF!</v>
      </c>
      <c r="N53" s="2522" t="str">
        <f t="shared" si="0"/>
        <v>销售额×税（费）率</v>
      </c>
      <c r="O53" s="2525" t="str">
        <f t="shared" si="0"/>
        <v>免征</v>
      </c>
    </row>
    <row r="54" spans="1:35" ht="12" customHeight="1">
      <c r="A54" s="2334" t="s">
        <v>1358</v>
      </c>
      <c r="B54" s="3597" t="s">
        <v>2292</v>
      </c>
      <c r="C54" s="3598"/>
      <c r="D54" s="1087" t="e">
        <f ca="1">C68</f>
        <v>#REF!</v>
      </c>
      <c r="E54" s="327" t="s">
        <v>1359</v>
      </c>
      <c r="F54" s="2553">
        <f>'数据-取费表'!B41</f>
        <v>5.6000000000000001E-2</v>
      </c>
      <c r="G54" s="2554"/>
      <c r="H54" s="2555"/>
      <c r="I54" s="1807"/>
      <c r="J54" s="2522">
        <v>3</v>
      </c>
      <c r="K54" s="3636" t="s">
        <v>1360</v>
      </c>
      <c r="L54" s="3636"/>
      <c r="M54" s="2524" t="e">
        <f t="shared" ca="1" si="0"/>
        <v>#REF!</v>
      </c>
      <c r="N54" s="2522" t="str">
        <f t="shared" si="0"/>
        <v>增值额×税（费）率</v>
      </c>
      <c r="O54" s="2526" t="str">
        <f t="shared" si="0"/>
        <v>免征</v>
      </c>
    </row>
    <row r="55" spans="1:35" ht="24" customHeight="1">
      <c r="A55" s="3586" t="s">
        <v>1361</v>
      </c>
      <c r="B55" s="3587"/>
      <c r="C55" s="3587"/>
      <c r="D55" s="2323" t="e">
        <f ca="1">IF(H55="个人住宅",0,ROUND(D45*I55,0))</f>
        <v>#REF!</v>
      </c>
      <c r="E55" s="2333" t="s">
        <v>1362</v>
      </c>
      <c r="F55" s="2553" t="str">
        <f>IF(H55="正常",I55,"免征")</f>
        <v>免征</v>
      </c>
      <c r="G55" s="2554"/>
      <c r="H55" s="2549"/>
      <c r="I55" s="165">
        <f>'数据-取费表'!B49</f>
        <v>5.0000000000000001E-4</v>
      </c>
      <c r="J55" s="2522">
        <f>IF(H59="非个人房产","",4)</f>
        <v>4</v>
      </c>
      <c r="K55" s="3636" t="str">
        <f>IF(H59="非个人房产","——","个人所得税")</f>
        <v>个人所得税</v>
      </c>
      <c r="L55" s="3636"/>
      <c r="M55" s="2527" t="e">
        <f ca="1">D59</f>
        <v>#REF!</v>
      </c>
      <c r="N55" s="2039" t="str">
        <f>E59</f>
        <v>差额计税</v>
      </c>
      <c r="O55" s="2528">
        <f>F59</f>
        <v>0.01</v>
      </c>
    </row>
    <row r="56" spans="1:35" ht="25.2">
      <c r="A56" s="3586" t="s">
        <v>1363</v>
      </c>
      <c r="B56" s="3587"/>
      <c r="C56" s="3587"/>
      <c r="D56" s="2323" t="e">
        <f ca="1">IF(H56="个人住宅",D57,D58)</f>
        <v>#REF!</v>
      </c>
      <c r="E56" s="2333" t="s">
        <v>1364</v>
      </c>
      <c r="F56" s="2553" t="str">
        <f>IF(H56="正常",F58,"免征")</f>
        <v>免征</v>
      </c>
      <c r="G56" s="2556" t="s">
        <v>1365</v>
      </c>
      <c r="H56" s="2557"/>
      <c r="I56" s="1808"/>
      <c r="J56" s="2522" t="str">
        <f>IF(项目基本情况!K6="上海银行",IF(J55="",4,J55+1),"")</f>
        <v/>
      </c>
      <c r="K56" s="3659" t="str">
        <f>IF(项目基本情况!K6="上海银行","其他处置费用","")</f>
        <v/>
      </c>
      <c r="L56" s="3660"/>
      <c r="M56" s="2524" t="str">
        <f>IF(项目基本情况!K6="上海银行",M69,"")</f>
        <v/>
      </c>
      <c r="N56" s="3659" t="str">
        <f>IF(项目基本情况!K6="上海银行","包含处置中涉及的律师、诉讼、拍卖、评估等费用","")</f>
        <v/>
      </c>
      <c r="O56" s="3662"/>
    </row>
    <row r="57" spans="1:35" ht="13.2">
      <c r="A57" s="2334" t="s">
        <v>1341</v>
      </c>
      <c r="B57" s="3597" t="s">
        <v>1366</v>
      </c>
      <c r="C57" s="3598"/>
      <c r="D57" s="1590">
        <v>0</v>
      </c>
      <c r="E57" s="324" t="s">
        <v>1343</v>
      </c>
      <c r="F57" s="302"/>
      <c r="G57" s="2554"/>
      <c r="H57" s="2558"/>
      <c r="I57" s="1808"/>
      <c r="J57" s="3636">
        <f>IF(AND(J55="",J56=""),4,IF(项目基本情况!K6="上海银行",结果表!J56+1,结果表!J55+1))</f>
        <v>5</v>
      </c>
      <c r="K57" s="3636" t="s">
        <v>1367</v>
      </c>
      <c r="L57" s="2529" t="s">
        <v>1368</v>
      </c>
      <c r="M57" s="2530"/>
      <c r="N57" s="2531">
        <f ca="1">SUMIF(M52:M56,"&lt;9e307")</f>
        <v>0</v>
      </c>
      <c r="O57" s="2532"/>
      <c r="P57" s="2689" t="e">
        <f ca="1">N57/M49</f>
        <v>#VALUE!</v>
      </c>
    </row>
    <row r="58" spans="1:35" ht="25.2">
      <c r="A58" s="2334" t="s">
        <v>1352</v>
      </c>
      <c r="B58" s="3597" t="s">
        <v>1369</v>
      </c>
      <c r="C58" s="3571"/>
      <c r="D58" s="2323" t="e">
        <f ca="1">IF(H58="转让取得",C81,C97)</f>
        <v>#REF!</v>
      </c>
      <c r="E58" s="2333" t="s">
        <v>1364</v>
      </c>
      <c r="F58" s="302" t="s">
        <v>28</v>
      </c>
      <c r="G58" s="2554"/>
      <c r="H58" s="2557"/>
      <c r="I58" s="1808"/>
      <c r="J58" s="3636"/>
      <c r="K58" s="3636"/>
      <c r="L58" s="2529" t="s">
        <v>1370</v>
      </c>
      <c r="M58" s="2533"/>
      <c r="N58" s="2534" t="str">
        <f ca="1">NUMBERSTRING(INT(N57*10000),2)&amp;"元整"</f>
        <v>零元整</v>
      </c>
      <c r="O58" s="2535"/>
    </row>
    <row r="59" spans="1:35" ht="24.6" thickBot="1">
      <c r="A59" s="3639" t="s">
        <v>1371</v>
      </c>
      <c r="B59" s="3640"/>
      <c r="C59" s="364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7">
        <f>J57+1</f>
        <v>6</v>
      </c>
      <c r="K59" s="3636" t="s">
        <v>1372</v>
      </c>
      <c r="L59" s="2522" t="s">
        <v>1368</v>
      </c>
      <c r="M59" s="2536"/>
      <c r="N59" s="2537" t="e">
        <f ca="1">M49-N57</f>
        <v>#VALUE!</v>
      </c>
      <c r="O59" s="2538"/>
    </row>
    <row r="60" spans="1:35" ht="12" customHeight="1">
      <c r="A60" s="1809"/>
      <c r="B60" s="1747"/>
      <c r="C60" s="1747"/>
      <c r="D60" s="1747"/>
      <c r="E60" s="1578"/>
      <c r="F60" s="1808"/>
      <c r="G60" s="1808"/>
      <c r="H60" s="1810"/>
      <c r="I60" s="129"/>
      <c r="J60" s="3638"/>
      <c r="K60" s="3636"/>
      <c r="L60" s="2529" t="s">
        <v>1370</v>
      </c>
      <c r="M60" s="2533"/>
      <c r="N60" s="2534" t="e">
        <f ca="1">NUMBERSTRING(INT(N59*10000),2)&amp;"元整"</f>
        <v>#VALUE!</v>
      </c>
      <c r="O60" s="2535"/>
    </row>
    <row r="61" spans="1:35" ht="13.8" thickBot="1">
      <c r="A61" s="3584" t="s">
        <v>1373</v>
      </c>
      <c r="B61" s="3584"/>
      <c r="C61" s="3584"/>
      <c r="D61" s="3584"/>
      <c r="E61" s="3584"/>
      <c r="F61" s="1808"/>
      <c r="G61" s="1808"/>
      <c r="H61" s="1810"/>
      <c r="I61" s="129"/>
      <c r="J61" s="2522">
        <f>J59+1</f>
        <v>7</v>
      </c>
      <c r="K61" s="3636" t="s">
        <v>1374</v>
      </c>
      <c r="L61" s="3636"/>
      <c r="M61" s="2539"/>
      <c r="N61" s="2540" t="e">
        <f ca="1">ROUND(N59*10000/'数据-汇总表'!E3,0)</f>
        <v>#VALUE!</v>
      </c>
      <c r="O61" s="2541"/>
    </row>
    <row r="62" spans="1:35" ht="13.2">
      <c r="A62" s="3602" t="s">
        <v>1375</v>
      </c>
      <c r="B62" s="3603"/>
      <c r="C62" s="2020"/>
      <c r="D62" s="2020"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61"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61"/>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61"/>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61"/>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61"/>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3" t="s">
        <v>1394</v>
      </c>
      <c r="B70" s="3624"/>
      <c r="C70" s="3624"/>
      <c r="D70" s="3624"/>
      <c r="E70" s="3624"/>
      <c r="F70" s="3624"/>
      <c r="G70" s="3624"/>
      <c r="H70" s="362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2" t="s">
        <v>1375</v>
      </c>
      <c r="B71" s="3603"/>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2" t="s">
        <v>1375</v>
      </c>
      <c r="B84" s="3603"/>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6"/>
      <c r="G90" s="3663" t="s">
        <v>2129</v>
      </c>
      <c r="H90" s="366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1" t="s">
        <v>1422</v>
      </c>
      <c r="F92" s="3582"/>
      <c r="G92" s="3582"/>
      <c r="H92" s="3591"/>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4">
        <f>C4</f>
        <v>0</v>
      </c>
      <c r="D101" s="2585">
        <f>D4</f>
        <v>0</v>
      </c>
      <c r="E101" s="3658" t="s">
        <v>1431</v>
      </c>
      <c r="F101" s="3615"/>
      <c r="G101" s="1827" t="s">
        <v>1432</v>
      </c>
      <c r="H101" s="2594" t="e">
        <f ca="1">H118</f>
        <v>#REF!</v>
      </c>
      <c r="I101" s="129"/>
    </row>
    <row r="102" spans="1:35" ht="18.75" customHeight="1">
      <c r="A102" s="3617" t="s">
        <v>1433</v>
      </c>
      <c r="B102" s="2583" t="s">
        <v>1432</v>
      </c>
      <c r="C102" s="2584" t="e">
        <f ca="1">IF(D32="楼面单价",ROUND(C19,0),C19)</f>
        <v>#REF!</v>
      </c>
      <c r="D102" s="2585" t="e">
        <f ca="1">IF(D32="楼面单价",ROUND(D19,0),D19)</f>
        <v>#REF!</v>
      </c>
      <c r="E102" s="3658"/>
      <c r="F102" s="3615"/>
      <c r="G102" s="1827" t="s">
        <v>1434</v>
      </c>
      <c r="H102" s="2554" t="e">
        <f ca="1">I118</f>
        <v>#REF!</v>
      </c>
      <c r="I102" s="129"/>
    </row>
    <row r="103" spans="1:35" ht="42.75" customHeight="1">
      <c r="A103" s="3617"/>
      <c r="B103" s="2583" t="s">
        <v>1434</v>
      </c>
      <c r="C103" s="2586" t="e">
        <f ca="1">C20</f>
        <v>#REF!</v>
      </c>
      <c r="D103" s="2587" t="e">
        <f ca="1">D20</f>
        <v>#REF!</v>
      </c>
      <c r="E103" s="3652" t="s">
        <v>1435</v>
      </c>
      <c r="F103" s="3653"/>
      <c r="G103" s="1828" t="s">
        <v>1436</v>
      </c>
      <c r="H103" s="2594">
        <f>IF(D36="正常操作",H104+H105+H106,H105+H106)</f>
        <v>0</v>
      </c>
      <c r="I103" s="129"/>
    </row>
    <row r="104" spans="1:35" ht="18.75" customHeight="1">
      <c r="A104" s="361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18"/>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4" t="str">
        <f>IF(项目基本情况!E8="已注销","——","3.房地产抵押价值")</f>
        <v>3.房地产抵押价值</v>
      </c>
      <c r="F107" s="3615"/>
      <c r="G107" s="1827" t="s">
        <v>1432</v>
      </c>
      <c r="H107" s="2594" t="e">
        <f ca="1">IF(E107="——","——",H101-H103)</f>
        <v>#REF!</v>
      </c>
      <c r="I107" s="129"/>
    </row>
    <row r="108" spans="1:35" ht="18.75" customHeight="1">
      <c r="A108" s="129"/>
      <c r="B108" s="129"/>
      <c r="C108" s="129"/>
      <c r="D108" s="129"/>
      <c r="E108" s="3614"/>
      <c r="F108" s="3615"/>
      <c r="G108" s="1827" t="s">
        <v>1434</v>
      </c>
      <c r="H108" s="2554">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7" t="s">
        <v>1432</v>
      </c>
      <c r="H109" s="2597" t="str">
        <f>IF(E109="——","——",H101-H105-H106)</f>
        <v>——</v>
      </c>
      <c r="I109" s="129"/>
    </row>
    <row r="110" spans="1:35" ht="18.75" customHeight="1">
      <c r="A110" s="129"/>
      <c r="B110" s="129"/>
      <c r="C110" s="129"/>
      <c r="D110" s="129"/>
      <c r="E110" s="3614"/>
      <c r="F110" s="3615"/>
      <c r="G110" s="1827" t="s">
        <v>1434</v>
      </c>
      <c r="H110" s="2554"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4" t="str">
        <f>IF(E111="——","——",N59)</f>
        <v>——</v>
      </c>
      <c r="I111" s="129"/>
    </row>
    <row r="112" spans="1:35" ht="18.75" customHeight="1" thickBot="1">
      <c r="A112" s="129"/>
      <c r="B112" s="129"/>
      <c r="C112" s="129"/>
      <c r="D112" s="129"/>
      <c r="E112" s="3647"/>
      <c r="F112" s="3648"/>
      <c r="G112" s="1830" t="s">
        <v>1434</v>
      </c>
      <c r="H112" s="2598"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98801.98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85" t="s">
        <v>1452</v>
      </c>
      <c r="B119" s="3585"/>
      <c r="C119" s="3585"/>
      <c r="D119" s="3625" t="e">
        <f ca="1">NUMBERSTRING(INT(D118*10000),2)&amp;"元整"</f>
        <v>#REF!</v>
      </c>
      <c r="E119" s="3627"/>
      <c r="F119" s="3625" t="e">
        <f ca="1">NUMBERSTRING(INT(F118*10000),2)&amp;"元整"</f>
        <v>#REF!</v>
      </c>
      <c r="G119" s="3627"/>
      <c r="H119" s="3625" t="e">
        <f ca="1">NUMBERSTRING(INT(H118*10000),2)&amp;"元整"</f>
        <v>#REF!</v>
      </c>
      <c r="I119" s="3627"/>
    </row>
    <row r="120" spans="1:27" ht="18.75" customHeight="1">
      <c r="A120" s="3649" t="str">
        <f>IF(项目基本情况!B9="房地产市场价值","",MID(E103,3,LEN(E103)-2))</f>
        <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
      </c>
      <c r="B122" s="3616"/>
      <c r="C122" s="3616"/>
      <c r="D122" s="3649" t="e">
        <f ca="1">H107</f>
        <v>#REF!</v>
      </c>
      <c r="E122" s="3650"/>
      <c r="F122" s="3650"/>
      <c r="G122" s="3650"/>
      <c r="H122" s="3650"/>
      <c r="I122" s="3651"/>
      <c r="AA122" s="725"/>
    </row>
    <row r="123" spans="1:27" ht="18.75" customHeight="1">
      <c r="A123" s="3585" t="s">
        <v>1452</v>
      </c>
      <c r="B123" s="3585"/>
      <c r="C123" s="3585"/>
      <c r="D123" s="3625" t="e">
        <f ca="1">NUMBERSTRING(INT(D122*10000),2)&amp;"元整"</f>
        <v>#REF!</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45285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4583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1976</v>
      </c>
      <c r="D10" s="845">
        <f ca="1">IF(B1="",'数据-汇总表'!E6,IF(INDIRECT("'数据-取费表'!c"&amp;$G$1)="住宅",INDIRECT("'数据-取费表'!s"&amp;$G$1),INDIRECT("'数据-取费表'!k"&amp;$G$1)+INDIRECT("'数据-取费表'!s"&amp;$G$1)))</f>
        <v>98801.98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1976</v>
      </c>
      <c r="D19" s="849">
        <f ca="1">D9+D10</f>
        <v>98801.98</v>
      </c>
      <c r="E19" s="211">
        <f>'数据-取费表'!B31</f>
        <v>200</v>
      </c>
      <c r="F19" s="231"/>
      <c r="G19" s="1856"/>
    </row>
    <row r="20" spans="1:7" s="214" customFormat="1" ht="13.5" customHeight="1">
      <c r="A20" s="255" t="s">
        <v>1493</v>
      </c>
      <c r="B20" s="210" t="s">
        <v>1494</v>
      </c>
      <c r="C20" s="232">
        <f ca="1">ROUND((C5+C19)*F20,0)</f>
        <v>40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207</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205</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242</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242</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2670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32951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29641</v>
      </c>
      <c r="D34" s="217"/>
      <c r="E34" s="220"/>
      <c r="F34" s="257">
        <f ca="1">IF('数据-取费表'!B24=0,1,IF(B1="",'数据-取费表'!N16,INDIRECT("'数据-取费表'!n"&amp;$G$1)))</f>
        <v>1</v>
      </c>
      <c r="G34" s="219" t="s">
        <v>1526</v>
      </c>
    </row>
    <row r="35" spans="1:7" ht="13.5" customHeight="1">
      <c r="A35" s="780" t="s">
        <v>351</v>
      </c>
      <c r="B35" s="215" t="s">
        <v>1527</v>
      </c>
      <c r="C35" s="220">
        <f ca="1">ROUND(C34*F35,0)</f>
        <v>889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1976</v>
      </c>
      <c r="D37" s="217">
        <f ca="1">D19</f>
        <v>98801.98</v>
      </c>
      <c r="E37" s="249">
        <f>'数据-取费表'!B35</f>
        <v>200</v>
      </c>
      <c r="F37" s="259"/>
      <c r="G37" s="261" t="s">
        <v>1532</v>
      </c>
    </row>
    <row r="38" spans="1:7" ht="13.5" customHeight="1">
      <c r="A38" s="780" t="s">
        <v>354</v>
      </c>
      <c r="B38" s="215" t="s">
        <v>1533</v>
      </c>
      <c r="C38" s="220">
        <f ca="1">ROUND(C34*F38,0)</f>
        <v>445</v>
      </c>
      <c r="D38" s="220"/>
      <c r="E38" s="220"/>
      <c r="F38" s="259">
        <f>'数据-取费表'!B36</f>
        <v>1.4999999999999999E-2</v>
      </c>
      <c r="G38" s="219" t="s">
        <v>1528</v>
      </c>
    </row>
    <row r="39" spans="1:7" s="214" customFormat="1" ht="13.5" customHeight="1">
      <c r="A39" s="255" t="s">
        <v>1534</v>
      </c>
      <c r="B39" s="210" t="s">
        <v>1535</v>
      </c>
      <c r="C39" s="232">
        <f ca="1">ROUND(C33*F20,0)</f>
        <v>659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1703</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1670</v>
      </c>
      <c r="D42" s="238"/>
      <c r="E42" s="238"/>
      <c r="F42" s="239"/>
      <c r="G42" s="3665" t="s">
        <v>1544</v>
      </c>
    </row>
    <row r="43" spans="1:7" ht="13.5" customHeight="1">
      <c r="A43" s="780" t="s">
        <v>347</v>
      </c>
      <c r="B43" s="215" t="s">
        <v>1545</v>
      </c>
      <c r="C43" s="238">
        <f ca="1">ROUND(IF('数据-取费表'!B22&lt;=1,C39*F22*'数据-取费表'!B21/2,C39*(POWER((1+F22),'数据-取费表'!B21/2)-1)),0)</f>
        <v>33</v>
      </c>
      <c r="D43" s="238"/>
      <c r="E43" s="238"/>
      <c r="F43" s="239"/>
      <c r="G43" s="3666"/>
    </row>
    <row r="44" spans="1:7" ht="13.5" customHeight="1">
      <c r="A44" s="780" t="s">
        <v>348</v>
      </c>
      <c r="B44" s="215" t="s">
        <v>1546</v>
      </c>
      <c r="C44" s="238">
        <f ca="1">ROUND(IF('数据-取费表'!B22&lt;=1,C40*F22*'数据-取费表'!B21/2,C40*(POWER((1+F22),'数据-取费表'!B21/2)-1)),4)</f>
        <v>1E-3</v>
      </c>
      <c r="D44" s="238"/>
      <c r="E44" s="238"/>
      <c r="F44" s="239"/>
      <c r="G44" s="3667"/>
    </row>
    <row r="45" spans="1:7" s="214" customFormat="1" ht="13.5" customHeight="1">
      <c r="A45" s="255" t="s">
        <v>1547</v>
      </c>
      <c r="B45" s="244" t="s">
        <v>1513</v>
      </c>
      <c r="C45" s="245">
        <f ca="1">C46</f>
        <v>4033</v>
      </c>
      <c r="D45" s="235">
        <f ca="1">C47</f>
        <v>2.3999999999999998E-3</v>
      </c>
      <c r="E45" s="236" t="s">
        <v>1539</v>
      </c>
      <c r="F45" s="246">
        <f ca="1">F27</f>
        <v>0.12</v>
      </c>
      <c r="G45" s="247" t="s">
        <v>1548</v>
      </c>
    </row>
    <row r="46" spans="1:7" s="214" customFormat="1" ht="13.5" customHeight="1">
      <c r="A46" s="780" t="s">
        <v>346</v>
      </c>
      <c r="B46" s="248" t="s">
        <v>1549</v>
      </c>
      <c r="C46" s="249">
        <f ca="1">ROUND((C33+C39)*F27,0)</f>
        <v>4033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42615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42615</v>
      </c>
      <c r="D51" s="232"/>
      <c r="E51" s="232"/>
      <c r="F51" s="264"/>
      <c r="G51" s="234" t="s">
        <v>1560</v>
      </c>
    </row>
    <row r="52" spans="1:7" s="208" customFormat="1" ht="16.8" thickBot="1">
      <c r="A52" s="265" t="s">
        <v>1561</v>
      </c>
      <c r="B52" s="266"/>
      <c r="C52" s="267">
        <f ca="1">C31+C51</f>
        <v>45285</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47953.044999999998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19760396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19760396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19760396</v>
      </c>
      <c r="D10" s="845">
        <f ca="1">IF(B1="",'数据-汇总表'!E6,IF(INDIRECT("'数据-取费表'!c"&amp;$G$1)="住宅",INDIRECT("'数据-取费表'!s"&amp;$G$1),INDIRECT("'数据-取费表'!k"&amp;$G$1)+INDIRECT("'数据-取费表'!s"&amp;$G$1)))</f>
        <v>98801.98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19760396</v>
      </c>
      <c r="D19" s="849">
        <f ca="1">D9+D10</f>
        <v>98801.98</v>
      </c>
      <c r="E19" s="211">
        <f>'数据-取费表'!B31</f>
        <v>200</v>
      </c>
      <c r="F19" s="231"/>
      <c r="G19" s="1856"/>
    </row>
    <row r="20" spans="1:7" s="214" customFormat="1" ht="13.5" customHeight="1">
      <c r="A20" s="255" t="s">
        <v>1574</v>
      </c>
      <c r="B20" s="210" t="s">
        <v>1575</v>
      </c>
      <c r="C20" s="232">
        <f ca="1">ROUND((C5+C19)*F20,0)</f>
        <v>790416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4146431</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2053191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2053191</v>
      </c>
      <c r="D24" s="238"/>
      <c r="E24" s="238"/>
      <c r="F24" s="239"/>
      <c r="G24" s="240" t="s">
        <v>1586</v>
      </c>
    </row>
    <row r="25" spans="1:7" s="214" customFormat="1" ht="24">
      <c r="A25" s="780" t="s">
        <v>1476</v>
      </c>
      <c r="B25" s="215" t="s">
        <v>1587</v>
      </c>
      <c r="C25" s="1128">
        <f ca="1">ROUND(IF('数据-取费表'!B22&lt;=1,C20*F22*'数据-取费表'!B22/2,C20*(POWER((1+F22),'数据-取费表'!B22/2)-1)),0)</f>
        <v>40049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4837345</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4837345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53389997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329504603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296405940</v>
      </c>
      <c r="D34" s="217"/>
      <c r="E34" s="220"/>
      <c r="F34" s="257"/>
      <c r="G34" s="219"/>
    </row>
    <row r="35" spans="1:7" ht="13.5" customHeight="1">
      <c r="A35" s="780" t="s">
        <v>351</v>
      </c>
      <c r="B35" s="215" t="s">
        <v>1527</v>
      </c>
      <c r="C35" s="220">
        <f ca="1">ROUND(C34*F35,0)</f>
        <v>8892178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19760396</v>
      </c>
      <c r="D37" s="217">
        <f ca="1">D19</f>
        <v>98801.98</v>
      </c>
      <c r="E37" s="249">
        <f>'数据-取费表'!B35</f>
        <v>200</v>
      </c>
      <c r="F37" s="259"/>
      <c r="G37" s="261"/>
    </row>
    <row r="38" spans="1:7" ht="13.5" customHeight="1">
      <c r="A38" s="780" t="s">
        <v>354</v>
      </c>
      <c r="B38" s="215" t="s">
        <v>1533</v>
      </c>
      <c r="C38" s="220">
        <f ca="1">ROUND(C34*F38,0)</f>
        <v>4446089</v>
      </c>
      <c r="D38" s="220"/>
      <c r="E38" s="220"/>
      <c r="F38" s="259">
        <f>'数据-取费表'!B36</f>
        <v>1.4999999999999999E-2</v>
      </c>
      <c r="G38" s="219" t="s">
        <v>1528</v>
      </c>
    </row>
    <row r="39" spans="1:7" s="214" customFormat="1" ht="13.5" customHeight="1">
      <c r="A39" s="255" t="s">
        <v>1534</v>
      </c>
      <c r="B39" s="210" t="s">
        <v>1535</v>
      </c>
      <c r="C39" s="232">
        <f ca="1">ROUND(C33*F20,0)</f>
        <v>6590092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17029422</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16695512</v>
      </c>
      <c r="D42" s="238"/>
      <c r="E42" s="238"/>
      <c r="F42" s="239"/>
      <c r="G42" s="3665" t="s">
        <v>1591</v>
      </c>
    </row>
    <row r="43" spans="1:7" ht="13.5" customHeight="1">
      <c r="A43" s="780" t="s">
        <v>347</v>
      </c>
      <c r="B43" s="215" t="s">
        <v>1545</v>
      </c>
      <c r="C43" s="238">
        <f ca="1">ROUND(IF('数据-取费表'!B22&lt;=1,C39*F22*'数据-取费表'!B20/2,C39*(POWER((1+F22),'数据-取费表'!B20/2)-1)),0)</f>
        <v>333910</v>
      </c>
      <c r="D43" s="238"/>
      <c r="E43" s="238"/>
      <c r="F43" s="239"/>
      <c r="G43" s="3666"/>
    </row>
    <row r="44" spans="1:7" ht="13.5" customHeight="1">
      <c r="A44" s="780" t="s">
        <v>348</v>
      </c>
      <c r="B44" s="215" t="s">
        <v>1546</v>
      </c>
      <c r="C44" s="238">
        <f ca="1">ROUND(IF('数据-取费表'!B22&lt;=1,C40*F22*'数据-取费表'!B20/2,C40*(POWER((1+F22),'数据-取费表'!B20/2)-1)),4)</f>
        <v>1E-3</v>
      </c>
      <c r="D44" s="238"/>
      <c r="E44" s="238"/>
      <c r="F44" s="239"/>
      <c r="G44" s="3667"/>
    </row>
    <row r="45" spans="1:7" s="214" customFormat="1" ht="13.5" customHeight="1">
      <c r="A45" s="255" t="s">
        <v>1547</v>
      </c>
      <c r="B45" s="244" t="s">
        <v>1513</v>
      </c>
      <c r="C45" s="245">
        <f ca="1">C46</f>
        <v>40331363</v>
      </c>
      <c r="D45" s="235">
        <f ca="1">C47</f>
        <v>2.3999999999999998E-3</v>
      </c>
      <c r="E45" s="236" t="s">
        <v>1539</v>
      </c>
      <c r="F45" s="246">
        <f ca="1">F27</f>
        <v>0.12</v>
      </c>
      <c r="G45" s="247" t="s">
        <v>1548</v>
      </c>
    </row>
    <row r="46" spans="1:7" s="214" customFormat="1" ht="13.5" customHeight="1">
      <c r="A46" s="780" t="s">
        <v>346</v>
      </c>
      <c r="B46" s="248" t="s">
        <v>1549</v>
      </c>
      <c r="C46" s="249">
        <f ca="1">ROUND((C33+C39)*F27,0)</f>
        <v>40331363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426140453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426140453</v>
      </c>
      <c r="D51" s="232"/>
      <c r="E51" s="232"/>
      <c r="F51" s="264"/>
      <c r="G51" s="234" t="s">
        <v>1560</v>
      </c>
    </row>
    <row r="52" spans="1:7" s="208" customFormat="1" ht="16.8" thickBot="1">
      <c r="A52" s="265" t="s">
        <v>1561</v>
      </c>
      <c r="B52" s="266"/>
      <c r="C52" s="267">
        <f ca="1">C31+C51</f>
        <v>479530450</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8</v>
      </c>
    </row>
    <row r="2" spans="1:33" ht="18" customHeight="1">
      <c r="A2" s="201" t="s">
        <v>1462</v>
      </c>
      <c r="B2" s="204">
        <f ca="1">C32</f>
        <v>-2194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98801.98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98801.98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1976</v>
      </c>
      <c r="D20" s="846">
        <f ca="1">IF(C1="",'数据-汇总表'!E6,IF(INDIRECT("'数据-取费表'!c"&amp;$K$1)="住宅",INDIRECT("'数据-取费表'!s"&amp;$K$1),INDIRECT("'数据-取费表'!k"&amp;$K$1)+INDIRECT("'数据-取费表'!s"&amp;$K$1)))</f>
        <v>98801.98</v>
      </c>
      <c r="E20" s="21">
        <f>'数据-取费表'!B28</f>
        <v>200</v>
      </c>
      <c r="F20" s="804"/>
      <c r="G20" s="12"/>
      <c r="H20" s="809"/>
      <c r="I20" s="809"/>
      <c r="J20" s="809"/>
      <c r="K20" s="810"/>
    </row>
    <row r="21" spans="1:33" s="803" customFormat="1" ht="13.5" customHeight="1">
      <c r="A21" s="790" t="s">
        <v>357</v>
      </c>
      <c r="B21" s="813" t="s">
        <v>1628</v>
      </c>
      <c r="C21" s="814">
        <f ca="1">C16+C17+C18</f>
        <v>1976</v>
      </c>
      <c r="D21" s="815"/>
      <c r="E21" s="281"/>
      <c r="F21" s="281"/>
      <c r="G21" s="131" t="s">
        <v>1629</v>
      </c>
      <c r="H21" s="807"/>
      <c r="I21" s="807"/>
      <c r="J21" s="807"/>
      <c r="K21" s="808"/>
    </row>
    <row r="22" spans="1:33" s="803" customFormat="1" ht="13.5" customHeight="1">
      <c r="A22" s="790" t="s">
        <v>1601</v>
      </c>
      <c r="B22" s="813" t="s">
        <v>1630</v>
      </c>
      <c r="C22" s="814">
        <f ca="1">ROUND(C21*F22,0)</f>
        <v>40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242</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-2194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79" t="s">
        <v>2319</v>
      </c>
      <c r="K2" s="3680"/>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81" t="s">
        <v>2329</v>
      </c>
      <c r="K3" s="3682"/>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81" t="s">
        <v>2331</v>
      </c>
      <c r="K4" s="3682"/>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87" t="s">
        <v>2335</v>
      </c>
      <c r="B6" s="3688"/>
      <c r="C6" s="3689"/>
      <c r="D6" s="2869"/>
      <c r="E6" s="2870"/>
      <c r="F6" s="2871"/>
      <c r="G6" s="2872"/>
      <c r="H6" s="2847"/>
      <c r="I6" s="2848"/>
      <c r="J6" s="3673">
        <v>1</v>
      </c>
      <c r="K6" s="367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73"/>
      <c r="K7" s="3675"/>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90" t="s">
        <v>2349</v>
      </c>
      <c r="C8" s="3691"/>
      <c r="D8" s="2888" t="s">
        <v>2350</v>
      </c>
      <c r="E8" s="2889" t="s">
        <v>2351</v>
      </c>
      <c r="F8" s="2890" t="s">
        <v>2352</v>
      </c>
      <c r="G8" s="2891"/>
      <c r="H8" s="2847"/>
      <c r="I8" s="2848"/>
      <c r="J8" s="3673"/>
      <c r="K8" s="3675"/>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90" t="s">
        <v>2355</v>
      </c>
      <c r="C9" s="3691"/>
      <c r="D9" s="2888">
        <f>ROUND(D6*E9,0)</f>
        <v>0</v>
      </c>
      <c r="E9" s="2892"/>
      <c r="F9" s="2893" t="s">
        <v>2356</v>
      </c>
      <c r="G9" s="2872"/>
      <c r="H9" s="2847"/>
      <c r="I9" s="2848"/>
      <c r="J9" s="3673"/>
      <c r="K9" s="3675"/>
      <c r="L9" s="2882" t="s">
        <v>2357</v>
      </c>
      <c r="M9" s="2883"/>
      <c r="N9" s="2859"/>
      <c r="O9" s="2884"/>
      <c r="P9" s="2884"/>
      <c r="Q9" s="2885">
        <v>365</v>
      </c>
      <c r="R9" s="2886">
        <f t="shared" si="0"/>
        <v>0</v>
      </c>
      <c r="S9" s="2840"/>
      <c r="T9" s="2840"/>
      <c r="U9" s="2840"/>
      <c r="V9" s="2848"/>
    </row>
    <row r="10" spans="1:22" s="2852" customFormat="1" ht="13.2" customHeight="1">
      <c r="A10" s="2887">
        <v>2</v>
      </c>
      <c r="B10" s="3690" t="s">
        <v>2358</v>
      </c>
      <c r="C10" s="3691"/>
      <c r="D10" s="2888">
        <f>ROUND(D6*E10,0)</f>
        <v>0</v>
      </c>
      <c r="E10" s="2892"/>
      <c r="F10" s="2893" t="s">
        <v>2359</v>
      </c>
      <c r="G10" s="2872"/>
      <c r="H10" s="2847"/>
      <c r="I10" s="2848"/>
      <c r="J10" s="3673"/>
      <c r="K10" s="3675"/>
      <c r="L10" s="2882" t="s">
        <v>2360</v>
      </c>
      <c r="M10" s="2883"/>
      <c r="N10" s="2859"/>
      <c r="O10" s="2884"/>
      <c r="P10" s="2884"/>
      <c r="Q10" s="2885">
        <v>365</v>
      </c>
      <c r="R10" s="2886">
        <f t="shared" si="0"/>
        <v>0</v>
      </c>
      <c r="S10" s="2840"/>
      <c r="T10" s="2840"/>
      <c r="U10" s="2840"/>
      <c r="V10" s="2848"/>
    </row>
    <row r="11" spans="1:22" s="2852" customFormat="1" ht="13.2" customHeight="1">
      <c r="A11" s="2887">
        <v>3</v>
      </c>
      <c r="B11" s="3690" t="s">
        <v>2361</v>
      </c>
      <c r="C11" s="3691"/>
      <c r="D11" s="2888">
        <f>D12+D14+D15+D16</f>
        <v>0</v>
      </c>
      <c r="E11" s="2894" t="e">
        <f>D11/D6</f>
        <v>#DIV/0!</v>
      </c>
      <c r="F11" s="2890"/>
      <c r="G11" s="2891"/>
      <c r="H11" s="2847"/>
      <c r="I11" s="2848"/>
      <c r="J11" s="3673"/>
      <c r="K11" s="3675"/>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83" t="s">
        <v>2364</v>
      </c>
      <c r="C12" s="3684"/>
      <c r="D12" s="2896">
        <f>ROUND(D13*1.2%*(1-30%),0)</f>
        <v>0</v>
      </c>
      <c r="E12" s="2897">
        <v>1.2E-2</v>
      </c>
      <c r="F12" s="2890" t="s">
        <v>2365</v>
      </c>
      <c r="G12" s="2891"/>
      <c r="H12" s="2847"/>
      <c r="I12" s="2848"/>
      <c r="J12" s="3673"/>
      <c r="K12" s="3675"/>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73"/>
      <c r="K13" s="3675"/>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83" t="s">
        <v>2370</v>
      </c>
      <c r="C14" s="3684"/>
      <c r="D14" s="2896">
        <f>ROUND(E14*B5/10000,0)</f>
        <v>0</v>
      </c>
      <c r="E14" s="2885"/>
      <c r="F14" s="2890" t="s">
        <v>2371</v>
      </c>
      <c r="G14" s="2891"/>
      <c r="H14" s="2847"/>
      <c r="I14" s="2848"/>
      <c r="J14" s="3673"/>
      <c r="K14" s="367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83" t="s">
        <v>2374</v>
      </c>
      <c r="C15" s="3684"/>
      <c r="D15" s="2896">
        <f>ROUND(D6*E15,0)</f>
        <v>0</v>
      </c>
      <c r="E15" s="2897">
        <v>5.5E-2</v>
      </c>
      <c r="F15" s="2890" t="s">
        <v>2375</v>
      </c>
      <c r="G15" s="2872"/>
      <c r="H15" s="2847"/>
      <c r="I15" s="2848"/>
      <c r="J15" s="3673">
        <v>2</v>
      </c>
      <c r="K15" s="367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83" t="s">
        <v>2383</v>
      </c>
      <c r="C16" s="3684"/>
      <c r="D16" s="2907">
        <f>D6*E16</f>
        <v>0</v>
      </c>
      <c r="E16" s="2908"/>
      <c r="F16" s="2893" t="s">
        <v>2384</v>
      </c>
      <c r="G16" s="2872"/>
      <c r="H16" s="2847"/>
      <c r="I16" s="2848"/>
      <c r="J16" s="3673"/>
      <c r="K16" s="3675"/>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85" t="s">
        <v>2386</v>
      </c>
      <c r="C17" s="3686"/>
      <c r="D17" s="2910">
        <f>ROUND(D6*E17,0)</f>
        <v>0</v>
      </c>
      <c r="E17" s="2911"/>
      <c r="F17" s="2912" t="s">
        <v>2387</v>
      </c>
      <c r="G17" s="2872"/>
      <c r="H17" s="2847"/>
      <c r="I17" s="2848"/>
      <c r="J17" s="3673"/>
      <c r="K17" s="3675"/>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73"/>
      <c r="K18" s="3675"/>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73"/>
      <c r="K19" s="367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73">
        <v>3</v>
      </c>
      <c r="K20" s="367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73"/>
      <c r="K21" s="3675"/>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73"/>
      <c r="K22" s="3675"/>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73"/>
      <c r="K23" s="3675"/>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73"/>
      <c r="K24" s="367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7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79" t="s">
        <v>2319</v>
      </c>
      <c r="K32" s="3680"/>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81" t="s">
        <v>2329</v>
      </c>
      <c r="K33" s="3682"/>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81" t="s">
        <v>2331</v>
      </c>
      <c r="K34" s="3682"/>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73">
        <v>1</v>
      </c>
      <c r="K36" s="3674"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73"/>
      <c r="K37" s="3675"/>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73"/>
      <c r="K38" s="3675"/>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73"/>
      <c r="K39" s="3675"/>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73"/>
      <c r="K40" s="3676"/>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77">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ht="14.4">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98801.98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4"/>
      <c r="M4" s="2715"/>
      <c r="N4" s="2715"/>
      <c r="O4" s="2715"/>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c r="A5" s="358"/>
      <c r="B5" s="359"/>
      <c r="C5" s="3731" t="s">
        <v>1673</v>
      </c>
      <c r="D5" s="3732"/>
      <c r="E5" s="3738" t="s">
        <v>1674</v>
      </c>
      <c r="F5" s="3739"/>
      <c r="G5" s="3731" t="s">
        <v>1675</v>
      </c>
      <c r="H5" s="3732"/>
      <c r="I5" s="3731" t="s">
        <v>1676</v>
      </c>
      <c r="J5" s="3732"/>
      <c r="K5" s="1890"/>
      <c r="L5" s="2714"/>
      <c r="M5" s="2715"/>
      <c r="N5" s="2715"/>
      <c r="O5" s="2715"/>
      <c r="P5" s="3718"/>
      <c r="Q5" s="3719"/>
      <c r="R5" s="3724"/>
      <c r="S5" s="3725"/>
      <c r="T5" s="3724"/>
      <c r="U5" s="3725"/>
      <c r="V5" s="3728"/>
      <c r="W5" s="3728"/>
      <c r="X5" s="1355"/>
      <c r="Y5" s="3724"/>
      <c r="Z5" s="3725"/>
      <c r="AA5" s="3710"/>
      <c r="AB5" s="3710"/>
      <c r="AC5" s="3710"/>
    </row>
    <row r="6" spans="1:29" ht="15" thickBot="1">
      <c r="A6" s="360"/>
      <c r="B6" s="361"/>
      <c r="C6" s="3729" t="s">
        <v>1677</v>
      </c>
      <c r="D6" s="3730"/>
      <c r="E6" s="3736" t="s">
        <v>1677</v>
      </c>
      <c r="F6" s="3737"/>
      <c r="G6" s="3729" t="s">
        <v>1677</v>
      </c>
      <c r="H6" s="3730"/>
      <c r="I6" s="3729" t="s">
        <v>1677</v>
      </c>
      <c r="J6" s="3730"/>
      <c r="K6" s="1890" t="s">
        <v>1678</v>
      </c>
      <c r="L6" s="2714"/>
      <c r="M6" s="2715"/>
      <c r="N6" s="2715"/>
      <c r="O6" s="2715"/>
      <c r="P6" s="3720"/>
      <c r="Q6" s="3721"/>
      <c r="R6" s="3724"/>
      <c r="S6" s="3725"/>
      <c r="T6" s="3726"/>
      <c r="U6" s="3727"/>
      <c r="V6" s="3728"/>
      <c r="W6" s="3728"/>
      <c r="X6" s="1355"/>
      <c r="Y6" s="3726"/>
      <c r="Z6" s="3727"/>
      <c r="AA6" s="3711"/>
      <c r="AB6" s="3711"/>
      <c r="AC6" s="3711"/>
    </row>
    <row r="7" spans="1:29" s="108" customFormat="1" ht="15" thickBot="1">
      <c r="A7" s="362" t="s">
        <v>1679</v>
      </c>
      <c r="B7" s="363"/>
      <c r="C7" s="364">
        <f>'数据-取费表'!B2</f>
        <v>45533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8"/>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8"/>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8"/>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8"/>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7"/>
      <c r="Q16" s="1352"/>
      <c r="R16" s="705"/>
      <c r="S16" s="706"/>
      <c r="T16" s="705"/>
      <c r="U16" s="706"/>
      <c r="V16" s="705"/>
      <c r="W16" s="706"/>
      <c r="X16" s="1355"/>
      <c r="Y16" s="370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7"/>
      <c r="Q18" s="1352"/>
      <c r="R18" s="705"/>
      <c r="S18" s="706"/>
      <c r="T18" s="705"/>
      <c r="U18" s="706"/>
      <c r="V18" s="705"/>
      <c r="W18" s="706"/>
      <c r="X18" s="1355"/>
      <c r="Y18" s="370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7"/>
      <c r="Q20" s="1352"/>
      <c r="R20" s="705"/>
      <c r="S20" s="706"/>
      <c r="T20" s="705"/>
      <c r="U20" s="706"/>
      <c r="V20" s="705"/>
      <c r="W20" s="706"/>
      <c r="X20" s="1355"/>
      <c r="Y20" s="370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7"/>
      <c r="Q22" s="1352"/>
      <c r="R22" s="705"/>
      <c r="S22" s="706"/>
      <c r="T22" s="705"/>
      <c r="U22" s="706"/>
      <c r="V22" s="705"/>
      <c r="W22" s="706"/>
      <c r="X22" s="1355"/>
      <c r="Y22" s="370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
  <sheetViews>
    <sheetView workbookViewId="0">
      <selection activeCell="M10" sqref="M10"/>
    </sheetView>
  </sheetViews>
  <sheetFormatPr defaultRowHeight="14.4"/>
  <cols>
    <col min="2" max="2" width="12.77734375" bestFit="1" customWidth="1"/>
    <col min="3" max="3" width="12.44140625" customWidth="1"/>
  </cols>
  <sheetData>
    <row r="1" spans="2:4">
      <c r="B1" s="3448" t="s">
        <v>3396</v>
      </c>
      <c r="C1" s="3448" t="s">
        <v>3397</v>
      </c>
      <c r="D1" s="3448" t="s">
        <v>3495</v>
      </c>
    </row>
    <row r="2" spans="2:4">
      <c r="B2" s="3448" t="s">
        <v>3491</v>
      </c>
      <c r="C2">
        <f>'比较法-商业'!C49</f>
        <v>25076</v>
      </c>
      <c r="D2" s="3448" t="s">
        <v>3494</v>
      </c>
    </row>
    <row r="3" spans="2:4" hidden="1">
      <c r="B3" s="3448" t="s">
        <v>3496</v>
      </c>
      <c r="C3">
        <f>ROUND(C2*0.6,0)</f>
        <v>15046</v>
      </c>
      <c r="D3" t="str">
        <f>D2</f>
        <v>元/平方米</v>
      </c>
    </row>
    <row r="4" spans="2:4">
      <c r="B4" s="3448" t="s">
        <v>3497</v>
      </c>
      <c r="C4">
        <f>ROUND(C2*0.4,0)</f>
        <v>10030</v>
      </c>
      <c r="D4" t="str">
        <f>D3</f>
        <v>元/平方米</v>
      </c>
    </row>
    <row r="5" spans="2:4">
      <c r="B5" s="3448" t="s">
        <v>3492</v>
      </c>
      <c r="C5">
        <f>'比较法-车位'!C38</f>
        <v>142186</v>
      </c>
      <c r="D5" s="3448" t="s">
        <v>3493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6" zoomScale="90" zoomScaleNormal="70" zoomScaleSheetLayoutView="90" workbookViewId="0">
      <selection activeCell="L65" sqref="L6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6.88671875" style="357" customWidth="1"/>
    <col min="6" max="6" width="12.21875" style="357" customWidth="1"/>
    <col min="7" max="7" width="15.77734375" style="357" customWidth="1"/>
    <col min="8" max="8" width="12.21875" style="357" customWidth="1"/>
    <col min="9" max="9" width="17.10937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5"/>
      <c r="F1" s="1879" t="s">
        <v>3444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25076</v>
      </c>
      <c r="C3" s="354" t="s">
        <v>1768</v>
      </c>
      <c r="D3" s="353">
        <f>IF(D1="",'数据-汇总表'!E3,SUMIF('数据-汇总表'!$C19:$C33,D1,'数据-汇总表'!$E19:$E33))</f>
        <v>42966.89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c r="A5" s="358"/>
      <c r="B5" s="359"/>
      <c r="C5" s="3731" t="s">
        <v>1673</v>
      </c>
      <c r="D5" s="3732"/>
      <c r="E5" s="3741" t="s">
        <v>3425</v>
      </c>
      <c r="F5" s="3739"/>
      <c r="G5" s="3740" t="s">
        <v>3442</v>
      </c>
      <c r="H5" s="3732"/>
      <c r="I5" s="3740" t="s">
        <v>3426</v>
      </c>
      <c r="J5" s="3732"/>
      <c r="K5" s="559"/>
      <c r="L5" s="2714"/>
      <c r="M5" s="2715"/>
      <c r="N5" s="2715"/>
      <c r="O5" s="2715"/>
      <c r="P5" s="3718"/>
      <c r="Q5" s="3719"/>
      <c r="R5" s="3724"/>
      <c r="S5" s="3725"/>
      <c r="T5" s="3724"/>
      <c r="U5" s="3725"/>
      <c r="V5" s="3728"/>
      <c r="W5" s="3728"/>
      <c r="X5" s="1355"/>
      <c r="Y5" s="3724"/>
      <c r="Z5" s="3725"/>
      <c r="AA5" s="3710"/>
      <c r="AB5" s="3728"/>
      <c r="AC5" s="3710"/>
    </row>
    <row r="6" spans="1:29" ht="15" thickBot="1">
      <c r="A6" s="360"/>
      <c r="B6" s="361"/>
      <c r="C6" s="3729" t="s">
        <v>1677</v>
      </c>
      <c r="D6" s="3730"/>
      <c r="E6" s="3736" t="s">
        <v>1677</v>
      </c>
      <c r="F6" s="3737"/>
      <c r="G6" s="3729" t="s">
        <v>1677</v>
      </c>
      <c r="H6" s="3730"/>
      <c r="I6" s="3729" t="s">
        <v>1677</v>
      </c>
      <c r="J6" s="3730"/>
      <c r="K6" s="559" t="s">
        <v>1678</v>
      </c>
      <c r="L6" s="2714"/>
      <c r="M6" s="2715"/>
      <c r="N6" s="2715"/>
      <c r="O6" s="2715"/>
      <c r="P6" s="3720"/>
      <c r="Q6" s="3721"/>
      <c r="R6" s="3724"/>
      <c r="S6" s="3725"/>
      <c r="T6" s="3726"/>
      <c r="U6" s="3727"/>
      <c r="V6" s="3728"/>
      <c r="W6" s="3728"/>
      <c r="X6" s="1355"/>
      <c r="Y6" s="3726"/>
      <c r="Z6" s="3727"/>
      <c r="AA6" s="3711"/>
      <c r="AB6" s="3728"/>
      <c r="AC6" s="3711"/>
    </row>
    <row r="7" spans="1:29" s="108" customFormat="1" ht="15" thickBot="1">
      <c r="A7" s="362" t="s">
        <v>1679</v>
      </c>
      <c r="B7" s="363"/>
      <c r="C7" s="364">
        <f>'数据-取费表'!B2</f>
        <v>45533</v>
      </c>
      <c r="D7" s="365">
        <v>100</v>
      </c>
      <c r="E7" s="366">
        <f>C7</f>
        <v>45533</v>
      </c>
      <c r="F7" s="367">
        <f>SUMIF(58:58,YEAR(E7)&amp;"-"&amp;MONTH(E7),59:59)</f>
        <v>100</v>
      </c>
      <c r="G7" s="366">
        <f>C7</f>
        <v>45533</v>
      </c>
      <c r="H7" s="365">
        <f>SUMIF(58:58,YEAR(G7)&amp;"-"&amp;MONTH(G7),59:59)</f>
        <v>100</v>
      </c>
      <c r="I7" s="366">
        <f>C7</f>
        <v>45533</v>
      </c>
      <c r="J7" s="365">
        <f>SUMIF(58:58,YEAR(I7)&amp;"-"&amp;MONTH(I7),59:59)</f>
        <v>100</v>
      </c>
      <c r="K7" s="560"/>
      <c r="L7" s="2716"/>
      <c r="M7" s="2717"/>
      <c r="N7" s="2717"/>
      <c r="O7" s="2717"/>
      <c r="P7" s="3733" t="s">
        <v>1680</v>
      </c>
      <c r="Q7" s="3735"/>
      <c r="R7" s="701" t="s">
        <v>14</v>
      </c>
      <c r="S7" s="702">
        <f t="shared" ref="S7:S15" si="0">F7</f>
        <v>100</v>
      </c>
      <c r="T7" s="701" t="s">
        <v>14</v>
      </c>
      <c r="U7" s="702">
        <f t="shared" ref="U7:U15" si="1">H7</f>
        <v>100</v>
      </c>
      <c r="V7" s="701" t="s">
        <v>14</v>
      </c>
      <c r="W7" s="702">
        <f t="shared" ref="W7:W15" si="2">J7</f>
        <v>100</v>
      </c>
      <c r="X7" s="703"/>
      <c r="Y7" s="3733" t="s">
        <v>1680</v>
      </c>
      <c r="Z7" s="3734"/>
      <c r="AA7" s="704">
        <f>D7/F7</f>
        <v>1</v>
      </c>
      <c r="AB7" s="704">
        <f>D7/H7</f>
        <v>1</v>
      </c>
      <c r="AC7" s="704">
        <f>D7/J7</f>
        <v>1</v>
      </c>
    </row>
    <row r="8" spans="1:29" s="108" customFormat="1" ht="15" thickBot="1">
      <c r="A8" s="362" t="s">
        <v>1681</v>
      </c>
      <c r="B8" s="363"/>
      <c r="C8" s="368" t="s">
        <v>3398</v>
      </c>
      <c r="D8" s="365">
        <v>100</v>
      </c>
      <c r="E8" s="368" t="s">
        <v>3399</v>
      </c>
      <c r="F8" s="367">
        <f>SUMIF(61:61,E8,62:62)-SUMIF(61:61,C8,62:62)+100</f>
        <v>105</v>
      </c>
      <c r="G8" s="368" t="s">
        <v>3399</v>
      </c>
      <c r="H8" s="365">
        <f>SUMIF(61:61,G8,62:62)-SUMIF(61:61,C8,62:62)+100</f>
        <v>105</v>
      </c>
      <c r="I8" s="368" t="s">
        <v>3399</v>
      </c>
      <c r="J8" s="365">
        <f>SUMIF(61:61,I8,62:62)-SUMIF(61:61,C8,62:62)+100</f>
        <v>105</v>
      </c>
      <c r="K8" s="560"/>
      <c r="L8" s="2716"/>
      <c r="M8" s="2717"/>
      <c r="N8" s="2717"/>
      <c r="O8" s="2717"/>
      <c r="P8" s="3733" t="s">
        <v>1683</v>
      </c>
      <c r="Q8" s="3734"/>
      <c r="R8" s="701" t="s">
        <v>14</v>
      </c>
      <c r="S8" s="702">
        <f t="shared" si="0"/>
        <v>105</v>
      </c>
      <c r="T8" s="701" t="s">
        <v>14</v>
      </c>
      <c r="U8" s="702">
        <f t="shared" si="1"/>
        <v>105</v>
      </c>
      <c r="V8" s="701" t="s">
        <v>14</v>
      </c>
      <c r="W8" s="702">
        <f t="shared" si="2"/>
        <v>105</v>
      </c>
      <c r="X8" s="703"/>
      <c r="Y8" s="3733" t="s">
        <v>1683</v>
      </c>
      <c r="Z8" s="3734"/>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53"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0"/>
      <c r="M11" s="2715"/>
      <c r="N11" s="2715"/>
      <c r="O11" s="2715"/>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103</v>
      </c>
      <c r="G15" s="395"/>
      <c r="H15" s="392">
        <f>SUMIF(76:76,G16,77:77)-SUMIF(76:76,C16,77:77)+100</f>
        <v>103</v>
      </c>
      <c r="I15" s="393"/>
      <c r="J15" s="392">
        <f>SUMIF(76:76,I16,77:77)-SUMIF(76:76,C16,77:77)+100</f>
        <v>103</v>
      </c>
      <c r="K15" s="563">
        <v>3</v>
      </c>
      <c r="L15" s="2721"/>
      <c r="M15" s="2715"/>
      <c r="N15" s="2715"/>
      <c r="O15" s="2715"/>
      <c r="P15" s="3706" t="s">
        <v>1691</v>
      </c>
      <c r="Q15" s="1352" t="str">
        <f t="shared" si="6"/>
        <v>商业繁华度</v>
      </c>
      <c r="R15" s="705" t="s">
        <v>14</v>
      </c>
      <c r="S15" s="706">
        <f t="shared" si="0"/>
        <v>103</v>
      </c>
      <c r="T15" s="705" t="s">
        <v>14</v>
      </c>
      <c r="U15" s="706">
        <f t="shared" si="1"/>
        <v>103</v>
      </c>
      <c r="V15" s="705" t="s">
        <v>14</v>
      </c>
      <c r="W15" s="706">
        <f t="shared" si="2"/>
        <v>103</v>
      </c>
      <c r="X15" s="1355"/>
      <c r="Y15" s="3699" t="s">
        <v>1691</v>
      </c>
      <c r="Z15" s="1356" t="str">
        <f t="shared" si="7"/>
        <v>商业繁华度</v>
      </c>
      <c r="AA15" s="1353">
        <f t="shared" si="3"/>
        <v>0.970873786407767</v>
      </c>
      <c r="AB15" s="1353">
        <f t="shared" si="4"/>
        <v>0.970873786407767</v>
      </c>
      <c r="AC15" s="1353">
        <f t="shared" si="5"/>
        <v>0.970873786407767</v>
      </c>
    </row>
    <row r="16" spans="1:29" ht="15">
      <c r="A16" s="379"/>
      <c r="B16" s="397"/>
      <c r="C16" s="398" t="s">
        <v>3428</v>
      </c>
      <c r="D16" s="399"/>
      <c r="E16" s="398" t="s">
        <v>3429</v>
      </c>
      <c r="F16" s="400"/>
      <c r="G16" s="398" t="s">
        <v>3429</v>
      </c>
      <c r="H16" s="401"/>
      <c r="I16" s="398" t="s">
        <v>3429</v>
      </c>
      <c r="J16" s="399"/>
      <c r="K16" s="564"/>
      <c r="L16" s="2721"/>
      <c r="M16" s="2715"/>
      <c r="N16" s="2715"/>
      <c r="O16" s="2715"/>
      <c r="P16" s="3707"/>
      <c r="Q16" s="1352"/>
      <c r="R16" s="705"/>
      <c r="S16" s="706"/>
      <c r="T16" s="705"/>
      <c r="U16" s="706"/>
      <c r="V16" s="705"/>
      <c r="W16" s="706"/>
      <c r="X16" s="1355"/>
      <c r="Y16" s="370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t="s">
        <v>3429</v>
      </c>
      <c r="D18" s="401"/>
      <c r="E18" s="1901" t="s">
        <v>3429</v>
      </c>
      <c r="F18" s="404"/>
      <c r="G18" s="1901" t="s">
        <v>3429</v>
      </c>
      <c r="H18" s="399"/>
      <c r="I18" s="1901" t="s">
        <v>3429</v>
      </c>
      <c r="J18" s="399"/>
      <c r="K18" s="564"/>
      <c r="L18" s="2721"/>
      <c r="M18" s="2715"/>
      <c r="N18" s="2715"/>
      <c r="O18" s="2715"/>
      <c r="P18" s="3707"/>
      <c r="Q18" s="1352"/>
      <c r="R18" s="705"/>
      <c r="S18" s="706"/>
      <c r="T18" s="705"/>
      <c r="U18" s="706"/>
      <c r="V18" s="705"/>
      <c r="W18" s="706"/>
      <c r="X18" s="1355"/>
      <c r="Y18" s="370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103</v>
      </c>
      <c r="G19" s="410"/>
      <c r="H19" s="401">
        <f>SUMIF(80:80,G20,81:81)-SUMIF(80:80,C20,81:81)+100</f>
        <v>103</v>
      </c>
      <c r="I19" s="408"/>
      <c r="J19" s="401">
        <f>SUMIF(80:80,I20,81:81)-SUMIF(80:80,C20,81:81)+100</f>
        <v>103</v>
      </c>
      <c r="K19" s="563">
        <v>3</v>
      </c>
      <c r="L19" s="2721"/>
      <c r="M19" s="2715"/>
      <c r="N19" s="2715"/>
      <c r="O19" s="2715"/>
      <c r="P19" s="3707"/>
      <c r="Q19" s="1352" t="str">
        <f>B19</f>
        <v>公共配套设施</v>
      </c>
      <c r="R19" s="705" t="s">
        <v>14</v>
      </c>
      <c r="S19" s="706">
        <f>F19</f>
        <v>103</v>
      </c>
      <c r="T19" s="705" t="s">
        <v>14</v>
      </c>
      <c r="U19" s="706">
        <f>H19</f>
        <v>103</v>
      </c>
      <c r="V19" s="705" t="s">
        <v>14</v>
      </c>
      <c r="W19" s="706">
        <f>J19</f>
        <v>103</v>
      </c>
      <c r="X19" s="1355"/>
      <c r="Y19" s="3700"/>
      <c r="Z19" s="1356" t="str">
        <f>Q19</f>
        <v>公共配套设施</v>
      </c>
      <c r="AA19" s="1353">
        <f t="shared" si="3"/>
        <v>0.970873786407767</v>
      </c>
      <c r="AB19" s="1353">
        <f t="shared" si="4"/>
        <v>0.970873786407767</v>
      </c>
      <c r="AC19" s="1353">
        <f t="shared" si="5"/>
        <v>0.970873786407767</v>
      </c>
    </row>
    <row r="20" spans="1:29" ht="15">
      <c r="A20" s="379"/>
      <c r="B20" s="407"/>
      <c r="C20" s="398" t="s">
        <v>3428</v>
      </c>
      <c r="D20" s="399"/>
      <c r="E20" s="398" t="s">
        <v>3429</v>
      </c>
      <c r="F20" s="400"/>
      <c r="G20" s="398" t="s">
        <v>3429</v>
      </c>
      <c r="H20" s="399"/>
      <c r="I20" s="398" t="s">
        <v>3429</v>
      </c>
      <c r="J20" s="399"/>
      <c r="K20" s="564"/>
      <c r="L20" s="2721"/>
      <c r="M20" s="2715"/>
      <c r="N20" s="2715"/>
      <c r="O20" s="2715"/>
      <c r="P20" s="3707"/>
      <c r="Q20" s="1352"/>
      <c r="R20" s="705"/>
      <c r="S20" s="706"/>
      <c r="T20" s="705"/>
      <c r="U20" s="706"/>
      <c r="V20" s="705"/>
      <c r="W20" s="706"/>
      <c r="X20" s="1355"/>
      <c r="Y20" s="370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1901" t="s">
        <v>3430</v>
      </c>
      <c r="F22" s="400"/>
      <c r="G22" s="1901" t="s">
        <v>3430</v>
      </c>
      <c r="H22" s="399"/>
      <c r="I22" s="1901" t="s">
        <v>3430</v>
      </c>
      <c r="J22" s="399"/>
      <c r="K22" s="1130"/>
      <c r="L22" s="2721"/>
      <c r="M22" s="2715"/>
      <c r="N22" s="2715"/>
      <c r="O22" s="2715"/>
      <c r="P22" s="3707"/>
      <c r="Q22" s="1352"/>
      <c r="R22" s="705"/>
      <c r="S22" s="706"/>
      <c r="T22" s="705"/>
      <c r="U22" s="706"/>
      <c r="V22" s="705"/>
      <c r="W22" s="706"/>
      <c r="X22" s="1355"/>
      <c r="Y22" s="370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t="s">
        <v>3428</v>
      </c>
      <c r="D24" s="399"/>
      <c r="E24" s="398" t="s">
        <v>3428</v>
      </c>
      <c r="F24" s="400"/>
      <c r="G24" s="398" t="s">
        <v>3428</v>
      </c>
      <c r="H24" s="399"/>
      <c r="I24" s="398" t="s">
        <v>3428</v>
      </c>
      <c r="J24" s="399"/>
      <c r="K24" s="564"/>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1780</v>
      </c>
      <c r="C25" s="565" t="s">
        <v>3431</v>
      </c>
      <c r="D25" s="386">
        <v>100</v>
      </c>
      <c r="E25" s="565" t="s">
        <v>3432</v>
      </c>
      <c r="F25" s="412">
        <f>SUMIF(86:86,E25,87:87)-SUMIF(86:86,C25,87:87)+100</f>
        <v>103</v>
      </c>
      <c r="G25" s="565" t="s">
        <v>3432</v>
      </c>
      <c r="H25" s="386">
        <f>SUMIF(86:86,G25,87:87)-SUMIF(86:86,C25,87:87)+100</f>
        <v>103</v>
      </c>
      <c r="I25" s="565" t="s">
        <v>3432</v>
      </c>
      <c r="J25" s="386">
        <f>SUMIF(86:86,I25,87:87)-SUMIF(86:86,C25,87:87)+100</f>
        <v>103</v>
      </c>
      <c r="K25" s="561">
        <v>3</v>
      </c>
      <c r="L25" s="2721"/>
      <c r="M25" s="2715"/>
      <c r="N25" s="2715"/>
      <c r="O25" s="2715"/>
      <c r="P25" s="3707"/>
      <c r="Q25" s="1352" t="str">
        <f t="shared" ref="Q25:Q46" si="11">B25</f>
        <v>临街状况</v>
      </c>
      <c r="R25" s="705" t="s">
        <v>14</v>
      </c>
      <c r="S25" s="706">
        <f>F25</f>
        <v>103</v>
      </c>
      <c r="T25" s="705" t="s">
        <v>14</v>
      </c>
      <c r="U25" s="706">
        <f>H25</f>
        <v>103</v>
      </c>
      <c r="V25" s="705" t="s">
        <v>14</v>
      </c>
      <c r="W25" s="706">
        <f>J25</f>
        <v>103</v>
      </c>
      <c r="X25" s="1355"/>
      <c r="Y25" s="3700"/>
      <c r="Z25" s="1356" t="str">
        <f>Q25</f>
        <v>临街状况</v>
      </c>
      <c r="AA25" s="1353">
        <f t="shared" si="3"/>
        <v>0.970873786407767</v>
      </c>
      <c r="AB25" s="1353">
        <f t="shared" si="4"/>
        <v>0.970873786407767</v>
      </c>
      <c r="AC25" s="1353">
        <f t="shared" si="5"/>
        <v>0.970873786407767</v>
      </c>
    </row>
    <row r="26" spans="1:29" ht="15">
      <c r="A26" s="379"/>
      <c r="B26" s="1133" t="s">
        <v>1781</v>
      </c>
      <c r="C26" s="3454" t="s">
        <v>3435</v>
      </c>
      <c r="D26" s="386">
        <v>100</v>
      </c>
      <c r="E26" s="3454" t="s">
        <v>3434</v>
      </c>
      <c r="F26" s="412">
        <f>SUMIF(88:88,E26,89:89)-SUMIF(88:88,C26,89:89)+100</f>
        <v>102</v>
      </c>
      <c r="G26" s="3454" t="s">
        <v>3434</v>
      </c>
      <c r="H26" s="386">
        <f>SUMIF(88:88,G26,89:89)-SUMIF(88:88,C26,89:89)+100</f>
        <v>102</v>
      </c>
      <c r="I26" s="3454" t="s">
        <v>3434</v>
      </c>
      <c r="J26" s="386">
        <f>SUMIF(88:88,I26,89:89)-SUMIF(88:88,C26,89:89)+100</f>
        <v>102</v>
      </c>
      <c r="K26" s="562"/>
      <c r="L26" s="2721"/>
      <c r="M26" s="2715"/>
      <c r="N26" s="2715"/>
      <c r="O26" s="2715"/>
      <c r="P26" s="3707"/>
      <c r="Q26" s="1352" t="str">
        <f t="shared" si="11"/>
        <v>平面位置/可视性</v>
      </c>
      <c r="R26" s="705" t="s">
        <v>14</v>
      </c>
      <c r="S26" s="706">
        <f>F26</f>
        <v>102</v>
      </c>
      <c r="T26" s="705" t="s">
        <v>14</v>
      </c>
      <c r="U26" s="706">
        <f>H26</f>
        <v>102</v>
      </c>
      <c r="V26" s="705" t="s">
        <v>14</v>
      </c>
      <c r="W26" s="706">
        <f>J26</f>
        <v>102</v>
      </c>
      <c r="X26" s="1355"/>
      <c r="Y26" s="3700"/>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1782</v>
      </c>
      <c r="C27" s="1956" t="s">
        <v>3428</v>
      </c>
      <c r="D27" s="413">
        <v>100</v>
      </c>
      <c r="E27" s="1956" t="s">
        <v>3429</v>
      </c>
      <c r="F27" s="415">
        <f>SUMIF(90:90,E27,91:91)-SUMIF(90:90,C27,91:91)+100</f>
        <v>103</v>
      </c>
      <c r="G27" s="1956" t="s">
        <v>3429</v>
      </c>
      <c r="H27" s="413">
        <f>SUMIF(90:90,G27,91:91)-SUMIF(90:90,C27,91:91)+100</f>
        <v>103</v>
      </c>
      <c r="I27" s="1956" t="s">
        <v>3429</v>
      </c>
      <c r="J27" s="413">
        <f>SUMIF(90:90,I27,91:91)-SUMIF(90:90,C27,91:91)+100</f>
        <v>103</v>
      </c>
      <c r="K27" s="561">
        <v>3</v>
      </c>
      <c r="L27" s="2716"/>
      <c r="M27" s="2717"/>
      <c r="N27" s="2717"/>
      <c r="O27" s="2717"/>
      <c r="P27" s="3707"/>
      <c r="Q27" s="1343" t="str">
        <f t="shared" si="11"/>
        <v>人流量</v>
      </c>
      <c r="R27" s="701" t="s">
        <v>14</v>
      </c>
      <c r="S27" s="702">
        <f>F27</f>
        <v>103</v>
      </c>
      <c r="T27" s="701" t="s">
        <v>14</v>
      </c>
      <c r="U27" s="702">
        <f>H27</f>
        <v>103</v>
      </c>
      <c r="V27" s="701" t="s">
        <v>14</v>
      </c>
      <c r="W27" s="702">
        <f>J27</f>
        <v>103</v>
      </c>
      <c r="X27" s="703"/>
      <c r="Y27" s="3700"/>
      <c r="Z27" s="52" t="str">
        <f>Q27</f>
        <v>人流量</v>
      </c>
      <c r="AA27" s="1353">
        <f>D27/F27</f>
        <v>0.970873786407767</v>
      </c>
      <c r="AB27" s="1353">
        <f>D27/H27</f>
        <v>0.970873786407767</v>
      </c>
      <c r="AC27" s="1353">
        <f>D27/J27</f>
        <v>0.970873786407767</v>
      </c>
    </row>
    <row r="28" spans="1:29" ht="15">
      <c r="A28" s="379"/>
      <c r="B28" s="375" t="s">
        <v>1783</v>
      </c>
      <c r="C28" s="565" t="s">
        <v>3436</v>
      </c>
      <c r="D28" s="386">
        <v>100</v>
      </c>
      <c r="E28" s="565" t="s">
        <v>3436</v>
      </c>
      <c r="F28" s="412">
        <f>SUMIF(92:92,E28,93:93)-SUMIF(92:92,C28,93:93)+100</f>
        <v>100</v>
      </c>
      <c r="G28" s="565" t="s">
        <v>3436</v>
      </c>
      <c r="H28" s="386">
        <f>SUMIF(92:92,G28,93:93)-SUMIF(92:92,C28,93:93)+100</f>
        <v>100</v>
      </c>
      <c r="I28" s="565" t="s">
        <v>3436</v>
      </c>
      <c r="J28" s="386">
        <f>SUMIF(92:92,I28,93:93)-SUMIF(92:92,C28,93:93)+100</f>
        <v>100</v>
      </c>
      <c r="K28" s="562"/>
      <c r="L28" s="2721"/>
      <c r="M28" s="2715"/>
      <c r="N28" s="2715"/>
      <c r="O28" s="2715"/>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t="s">
        <v>3437</v>
      </c>
      <c r="D32" s="418">
        <v>100</v>
      </c>
      <c r="E32" s="1910" t="s">
        <v>3437</v>
      </c>
      <c r="F32" s="412">
        <f>SUMIF(100:100,E32,101:101)-SUMIF(100:100,C32,101:101)+100</f>
        <v>100</v>
      </c>
      <c r="G32" s="1910" t="s">
        <v>3437</v>
      </c>
      <c r="H32" s="386">
        <f>SUMIF(100:100,G32,101:101)-SUMIF(100:100,C32,101:101)+100</f>
        <v>100</v>
      </c>
      <c r="I32" s="1910" t="s">
        <v>3437</v>
      </c>
      <c r="J32" s="418">
        <f>SUMIF(100:100,I32,101:101)-SUMIF(100:100,C32,101:101)+100</f>
        <v>100</v>
      </c>
      <c r="K32" s="561">
        <v>2</v>
      </c>
      <c r="L32" s="2721"/>
      <c r="M32" s="2715"/>
      <c r="N32" s="2715"/>
      <c r="O32" s="2715"/>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v>150</v>
      </c>
      <c r="D33" s="127">
        <v>100</v>
      </c>
      <c r="E33" s="381">
        <v>167</v>
      </c>
      <c r="F33" s="376">
        <f>LOOKUP(E33,103:103,104:104)-LOOKUP(C33,103:103,104:104)+100</f>
        <v>100</v>
      </c>
      <c r="G33" s="380">
        <v>168</v>
      </c>
      <c r="H33" s="127">
        <f>LOOKUP(G33,103:103,104:104)-LOOKUP(C33,103:103,104:104)+100</f>
        <v>100</v>
      </c>
      <c r="I33" s="380">
        <v>100</v>
      </c>
      <c r="J33" s="127">
        <f>LOOKUP(I33,103:103,104:104)-LOOKUP(C33,103:103,104:104)+100</f>
        <v>100</v>
      </c>
      <c r="K33" s="562"/>
      <c r="L33" s="2720"/>
      <c r="M33" s="2722"/>
      <c r="N33" s="2722"/>
      <c r="O33" s="2722"/>
      <c r="P33" s="3702"/>
      <c r="Q33" s="707" t="str">
        <f t="shared" si="11"/>
        <v>项目建筑规模</v>
      </c>
      <c r="R33" s="708" t="s">
        <v>14</v>
      </c>
      <c r="S33" s="709">
        <f t="shared" si="12"/>
        <v>100</v>
      </c>
      <c r="T33" s="708" t="s">
        <v>14</v>
      </c>
      <c r="U33" s="709">
        <f t="shared" si="13"/>
        <v>100</v>
      </c>
      <c r="V33" s="708" t="s">
        <v>14</v>
      </c>
      <c r="W33" s="709">
        <f t="shared" si="14"/>
        <v>100</v>
      </c>
      <c r="X33" s="710"/>
      <c r="Y33" s="3704"/>
      <c r="Z33" s="711" t="str">
        <f t="shared" si="15"/>
        <v>项目建筑规模</v>
      </c>
      <c r="AA33" s="1353">
        <f t="shared" si="3"/>
        <v>1</v>
      </c>
      <c r="AB33" s="1353">
        <f t="shared" si="4"/>
        <v>1</v>
      </c>
      <c r="AC33" s="1353">
        <f t="shared" si="5"/>
        <v>1</v>
      </c>
    </row>
    <row r="34" spans="1:29" ht="15">
      <c r="A34" s="423"/>
      <c r="B34" s="375" t="s">
        <v>1698</v>
      </c>
      <c r="C34" s="1912" t="s">
        <v>3440</v>
      </c>
      <c r="D34" s="386">
        <v>100</v>
      </c>
      <c r="E34" s="1912" t="s">
        <v>3440</v>
      </c>
      <c r="F34" s="412">
        <f>SUMIF(105:105,E34,106:106)-SUMIF(105:105,C34,106:106)+100</f>
        <v>100</v>
      </c>
      <c r="G34" s="1912" t="s">
        <v>3440</v>
      </c>
      <c r="H34" s="386">
        <f>SUMIF(105:105,G34,106:106)-SUMIF(105:105,C34,106:106)+100</f>
        <v>100</v>
      </c>
      <c r="I34" s="1912" t="s">
        <v>3440</v>
      </c>
      <c r="J34" s="386">
        <f>SUMIF(105:105,I34,106:106)-SUMIF(105:105,C34,106:106)+100</f>
        <v>100</v>
      </c>
      <c r="K34" s="561">
        <v>1</v>
      </c>
      <c r="L34" s="2721"/>
      <c r="M34" s="2715"/>
      <c r="N34" s="2715"/>
      <c r="O34" s="2715"/>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v>0.95</v>
      </c>
      <c r="D36" s="386">
        <v>100</v>
      </c>
      <c r="E36" s="425">
        <v>0.8</v>
      </c>
      <c r="F36" s="412">
        <f>LOOKUP(E36,110:110,111:111)-LOOKUP(C36,110:110,111:111)+100</f>
        <v>99</v>
      </c>
      <c r="G36" s="425">
        <v>0.9</v>
      </c>
      <c r="H36" s="412">
        <f>LOOKUP(G36,110:110,111:111)-LOOKUP(C36,110:110,111:111)+100</f>
        <v>100</v>
      </c>
      <c r="I36" s="425">
        <v>0.8</v>
      </c>
      <c r="J36" s="386">
        <f>LOOKUP(I36,110:110,111:111)-LOOKUP(C36,110:110,111:111)+100</f>
        <v>99</v>
      </c>
      <c r="K36" s="561">
        <v>1</v>
      </c>
      <c r="L36" s="2721"/>
      <c r="M36" s="2715"/>
      <c r="N36" s="2715"/>
      <c r="O36" s="2715"/>
      <c r="P36" s="3702"/>
      <c r="Q36" s="1352" t="str">
        <f t="shared" si="11"/>
        <v>成新度</v>
      </c>
      <c r="R36" s="705" t="s">
        <v>14</v>
      </c>
      <c r="S36" s="706">
        <f t="shared" si="12"/>
        <v>99</v>
      </c>
      <c r="T36" s="705" t="s">
        <v>14</v>
      </c>
      <c r="U36" s="706">
        <f t="shared" si="13"/>
        <v>100</v>
      </c>
      <c r="V36" s="705" t="s">
        <v>14</v>
      </c>
      <c r="W36" s="706">
        <f t="shared" si="14"/>
        <v>99</v>
      </c>
      <c r="X36" s="1355"/>
      <c r="Y36" s="3704"/>
      <c r="Z36" s="1356" t="str">
        <f t="shared" si="15"/>
        <v>成新度</v>
      </c>
      <c r="AA36" s="1353">
        <f t="shared" si="3"/>
        <v>1.0101010101010102</v>
      </c>
      <c r="AB36" s="1353">
        <f t="shared" si="4"/>
        <v>1</v>
      </c>
      <c r="AC36" s="1353">
        <f t="shared" si="5"/>
        <v>1.0101010101010102</v>
      </c>
    </row>
    <row r="37" spans="1:29" s="108" customFormat="1" ht="15">
      <c r="A37" s="424"/>
      <c r="B37" s="375" t="s">
        <v>1787</v>
      </c>
      <c r="C37" s="1906" t="s">
        <v>3441</v>
      </c>
      <c r="D37" s="127">
        <v>100</v>
      </c>
      <c r="E37" s="1906" t="s">
        <v>3441</v>
      </c>
      <c r="F37" s="412">
        <f>SUMIF(112:112,E37,113:113)-SUMIF(112:112,C37,113:113)+100</f>
        <v>100</v>
      </c>
      <c r="G37" s="3455" t="s">
        <v>3443</v>
      </c>
      <c r="H37" s="386">
        <f>SUMIF(112:112,G37,113:113)-SUMIF(112:112,C37,113:113)+100</f>
        <v>100</v>
      </c>
      <c r="I37" s="1906" t="s">
        <v>3441</v>
      </c>
      <c r="J37" s="386">
        <f>SUMIF(112:112,I37,113:113)-SUMIF(112:112,C37,113:113)+100</f>
        <v>100</v>
      </c>
      <c r="K37" s="561"/>
      <c r="L37" s="2716"/>
      <c r="M37" s="2717"/>
      <c r="N37" s="2717"/>
      <c r="O37" s="2717"/>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2</v>
      </c>
      <c r="L41" s="2720"/>
      <c r="M41" s="2722"/>
      <c r="N41" s="2722"/>
      <c r="O41" s="272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t="s">
        <v>3439</v>
      </c>
      <c r="D42" s="386">
        <v>100</v>
      </c>
      <c r="E42" s="1906" t="s">
        <v>3439</v>
      </c>
      <c r="F42" s="412">
        <f>SUMIF(122:122,E42,123:123)-SUMIF(122:122,C42,123:123)+100</f>
        <v>100</v>
      </c>
      <c r="G42" s="1906" t="s">
        <v>3439</v>
      </c>
      <c r="H42" s="386">
        <f>SUMIF(122:122,G42,123:123)-SUMIF(122:122,C42,123:123)+100</f>
        <v>100</v>
      </c>
      <c r="I42" s="1906" t="s">
        <v>3439</v>
      </c>
      <c r="J42" s="386">
        <f>SUMIF(122:122,I42,123:123)-SUMIF(122:122,C42,123:123)+100</f>
        <v>100</v>
      </c>
      <c r="K42" s="561">
        <v>3</v>
      </c>
      <c r="L42" s="2721"/>
      <c r="M42" s="2715"/>
      <c r="N42" s="2715"/>
      <c r="O42" s="2715"/>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v>2009</v>
      </c>
      <c r="F44" s="376">
        <f>SUMIF(126:126,E44,127:127)-SUMIF(126:126,C44,127:127)+100</f>
        <v>100</v>
      </c>
      <c r="G44" s="385">
        <v>2013</v>
      </c>
      <c r="H44" s="127">
        <f>SUMIF(126:126,G44,127:127)-SUMIF(126:126,C44,127:127)+100</f>
        <v>100</v>
      </c>
      <c r="I44" s="385">
        <v>2005</v>
      </c>
      <c r="J44" s="127">
        <f>SUMIF(126:126,I44,127:127)-SUMIF(126:126,C44,127:127)+100</f>
        <v>100</v>
      </c>
      <c r="K44" s="562"/>
      <c r="L44" s="2716"/>
      <c r="M44" s="2717"/>
      <c r="N44" s="2717"/>
      <c r="O44" s="2717"/>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4.4">
      <c r="A47" s="430" t="s">
        <v>1708</v>
      </c>
      <c r="B47" s="431"/>
      <c r="C47" s="1154" t="s">
        <v>0</v>
      </c>
      <c r="D47" s="1155"/>
      <c r="E47" s="1156">
        <v>30065</v>
      </c>
      <c r="F47" s="1157"/>
      <c r="G47" s="1158">
        <v>30011</v>
      </c>
      <c r="H47" s="1159"/>
      <c r="I47" s="1156">
        <v>30000</v>
      </c>
      <c r="J47" s="1159"/>
      <c r="K47" s="714"/>
      <c r="L47" s="2723"/>
      <c r="M47" s="2724"/>
      <c r="N47" s="2715"/>
      <c r="O47" s="2724"/>
      <c r="P47" s="3697" t="str">
        <f>A47</f>
        <v>成交单价（元/平方米）</v>
      </c>
      <c r="Q47" s="3697"/>
      <c r="R47" s="3728">
        <f>E47</f>
        <v>30065</v>
      </c>
      <c r="S47" s="3728"/>
      <c r="T47" s="3728">
        <f>G47</f>
        <v>30011</v>
      </c>
      <c r="U47" s="3728"/>
      <c r="V47" s="3728">
        <f>I47</f>
        <v>30000</v>
      </c>
      <c r="W47" s="3728"/>
      <c r="X47" s="690"/>
      <c r="Y47" s="712"/>
      <c r="Z47" s="690"/>
      <c r="AA47" s="690"/>
      <c r="AB47" s="690"/>
      <c r="AC47" s="690"/>
    </row>
    <row r="48" spans="1:29" ht="15" thickBot="1">
      <c r="A48" s="437" t="s">
        <v>1793</v>
      </c>
      <c r="B48" s="438"/>
      <c r="C48" s="1160">
        <f>R49</f>
        <v>25076</v>
      </c>
      <c r="D48" s="2316" t="s">
        <v>2138</v>
      </c>
      <c r="E48" s="1161">
        <f>R48</f>
        <v>25193</v>
      </c>
      <c r="F48" s="2317"/>
      <c r="G48" s="1160">
        <f>T48</f>
        <v>24897</v>
      </c>
      <c r="H48" s="2317"/>
      <c r="I48" s="1161">
        <f>V48</f>
        <v>25139</v>
      </c>
      <c r="J48" s="2317"/>
      <c r="K48" s="2319">
        <f>F48+H48+J48</f>
        <v>0</v>
      </c>
      <c r="L48" s="2723"/>
      <c r="M48" s="2724"/>
      <c r="N48" s="2715"/>
      <c r="O48" s="2724"/>
      <c r="P48" s="3697" t="str">
        <f>A48</f>
        <v>比较价值（元/平方米）</v>
      </c>
      <c r="Q48" s="3697"/>
      <c r="R48" s="3698">
        <f>IF(F1="售价",ROUND(PRODUCT(R47,AA7:AA46),0),ROUND(PRODUCT(R47,AA7:AA46),1))</f>
        <v>25193</v>
      </c>
      <c r="S48" s="3698"/>
      <c r="T48" s="3698">
        <f>IF(F1="售价",ROUND(PRODUCT(T47,AB7:AB46),0),ROUND(PRODUCT(T47,AB7:AB46),1))</f>
        <v>24897</v>
      </c>
      <c r="U48" s="3698"/>
      <c r="V48" s="3698">
        <f>IF(F1="售价",ROUND(PRODUCT(V47,AC7:AC46),0),ROUND(PRODUCT(V47,AC7:AC46),1))</f>
        <v>25139</v>
      </c>
      <c r="W48" s="3698"/>
      <c r="X48" s="690"/>
      <c r="Y48" s="690"/>
      <c r="Z48" s="690"/>
      <c r="AA48" s="690"/>
      <c r="AB48" s="690"/>
      <c r="AC48" s="690"/>
    </row>
    <row r="49" spans="1:29" ht="15" thickBot="1">
      <c r="A49" s="441" t="s">
        <v>1794</v>
      </c>
      <c r="B49" s="442"/>
      <c r="C49" s="1163">
        <f>R49</f>
        <v>25076</v>
      </c>
      <c r="D49" s="1163"/>
      <c r="E49" s="1163"/>
      <c r="F49" s="1163"/>
      <c r="G49" s="1163"/>
      <c r="H49" s="1163"/>
      <c r="I49" s="1163"/>
      <c r="J49" s="1163"/>
      <c r="K49" s="715"/>
      <c r="L49" s="2723"/>
      <c r="M49" s="2724"/>
      <c r="N49" s="2715"/>
      <c r="O49" s="2724"/>
      <c r="P49" s="3694" t="str">
        <f>A49</f>
        <v>估价对象XX用房的比较价值（楼面单价，元/平方米）</v>
      </c>
      <c r="Q49" s="3695"/>
      <c r="R49" s="3696">
        <f>IF(F1="售价",ROUND(IF(D48="简单平均",AVERAGE(R48:V48),R48*F48+T48*H48+V48*J48),0),ROUND(IF(D48="简单平均",AVERAGE(R48:V48),R48*F48+T48*H48+V48*J48),1))</f>
        <v>25076</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0.1933870519588774</v>
      </c>
      <c r="F52" s="449" t="str">
        <f>IF(OR(E52&gt;=0.3,E52&lt;=-0.3),"超过30%","")</f>
        <v/>
      </c>
      <c r="G52" s="448">
        <f>IF(G47&lt;G48,G48/G47-1,G47/G48-1)</f>
        <v>0.20540627384825472</v>
      </c>
      <c r="H52" s="449" t="str">
        <f>IF(OR(G52&gt;=0.3,G52&lt;=-0.3),"超过30%","")</f>
        <v/>
      </c>
      <c r="I52" s="448">
        <f>IF(I47&lt;I48,I48/I47-1,I47/I48-1)</f>
        <v>0.19336489120490086</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1.1888982608346366E-2</v>
      </c>
      <c r="F53" s="449" t="str">
        <f>IF(OR(E53&gt;=0.2,E53&lt;=-0.2),"超过20%","")</f>
        <v/>
      </c>
      <c r="G53" s="448">
        <f>IF(G48&lt;I48,I48/G48-1,G48/I48-1)</f>
        <v>9.7200465919589085E-3</v>
      </c>
      <c r="H53" s="449" t="str">
        <f>IF(OR(G53&gt;=0.2,G53&lt;=-0.2),"超过20%","")</f>
        <v/>
      </c>
      <c r="I53" s="448">
        <f>IF(I48&lt;E48,E48/I48-1,I48/E48-1)</f>
        <v>2.1480568041687409E-3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1.7993402419111959E-3</v>
      </c>
      <c r="F54" s="449" t="str">
        <f>IF(OR(E54&gt;=0.3,E54&lt;=-0.3),"超过30%","")</f>
        <v/>
      </c>
      <c r="G54" s="448">
        <f>IF(G47&lt;I47,I47/G47-1,G47/I47-1)</f>
        <v>3.6666666666662628E-4</v>
      </c>
      <c r="H54" s="449" t="str">
        <f>IF(OR(G54&gt;=0.3,G54&lt;=-0.3),"超过30%","")</f>
        <v/>
      </c>
      <c r="I54" s="448">
        <f>IF(I47&lt;E47,E47/I47-1,I47/E47-1)</f>
        <v>2.1666666666666501E-3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49" t="s">
        <v>3400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v>1</v>
      </c>
      <c r="E68" s="498">
        <v>2</v>
      </c>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50" t="s">
        <v>3401</v>
      </c>
      <c r="D86" s="3450" t="s">
        <v>3402</v>
      </c>
      <c r="E86" s="3450" t="s">
        <v>3403</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 thickTop="1">
      <c r="A88" s="528"/>
      <c r="B88" s="487" t="str">
        <f>B26</f>
        <v>平面位置/可视性</v>
      </c>
      <c r="C88" s="3450" t="s">
        <v>3404</v>
      </c>
      <c r="D88" s="3450" t="s">
        <v>3405</v>
      </c>
      <c r="E88" s="3450" t="s">
        <v>3406</v>
      </c>
      <c r="F88" s="3450" t="s">
        <v>3407</v>
      </c>
      <c r="G88" s="3450" t="s">
        <v>3408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v>100</v>
      </c>
      <c r="D89" s="485">
        <v>98</v>
      </c>
      <c r="E89" s="485">
        <v>96</v>
      </c>
      <c r="F89" s="485">
        <v>94</v>
      </c>
      <c r="G89" s="485">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 thickTop="1">
      <c r="A90" s="502"/>
      <c r="B90" s="487" t="str">
        <f>B27</f>
        <v>人流量</v>
      </c>
      <c r="C90" s="3450" t="s">
        <v>3404</v>
      </c>
      <c r="D90" s="3450" t="s">
        <v>3405</v>
      </c>
      <c r="E90" s="3450" t="s">
        <v>3406</v>
      </c>
      <c r="F90" s="3450" t="s">
        <v>3407</v>
      </c>
      <c r="G90" s="3450"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 thickTop="1">
      <c r="A92" s="483"/>
      <c r="B92" s="487" t="str">
        <f>B28</f>
        <v>楼层</v>
      </c>
      <c r="C92" s="3450" t="s">
        <v>3411</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1" t="s">
        <v>3409</v>
      </c>
      <c r="D100" s="3451" t="s">
        <v>3410</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1(含)-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1</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3450" t="s">
        <v>3413</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0" t="s">
        <v>3414</v>
      </c>
      <c r="D112" s="3450" t="s">
        <v>3415</v>
      </c>
      <c r="E112" s="3450" t="s">
        <v>3416</v>
      </c>
      <c r="F112" s="3450" t="s">
        <v>3417</v>
      </c>
      <c r="G112" s="3450" t="s">
        <v>3418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0" t="s">
        <v>3404</v>
      </c>
      <c r="D120" s="3450" t="s">
        <v>3405</v>
      </c>
      <c r="E120" s="3450" t="s">
        <v>3419</v>
      </c>
      <c r="F120" s="3450" t="s">
        <v>3407</v>
      </c>
      <c r="G120" s="3450" t="s">
        <v>3420</v>
      </c>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3421</v>
      </c>
      <c r="D122" s="3450" t="s">
        <v>3422</v>
      </c>
      <c r="E122" s="3450" t="s">
        <v>3423</v>
      </c>
      <c r="F122" s="3452"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98801.98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48" t="s">
        <v>1775</v>
      </c>
      <c r="Q4" s="3749"/>
      <c r="R4" s="3752" t="s">
        <v>1771</v>
      </c>
      <c r="S4" s="3753"/>
      <c r="T4" s="3752" t="s">
        <v>1772</v>
      </c>
      <c r="U4" s="3753"/>
      <c r="V4" s="3754" t="s">
        <v>1773</v>
      </c>
      <c r="W4" s="3754"/>
      <c r="X4" s="1958"/>
      <c r="Y4" s="3752" t="s">
        <v>1775</v>
      </c>
      <c r="Z4" s="3753"/>
      <c r="AA4" s="3756" t="s">
        <v>1771</v>
      </c>
      <c r="AB4" s="3756" t="s">
        <v>1772</v>
      </c>
      <c r="AC4" s="3745" t="s">
        <v>1773</v>
      </c>
    </row>
    <row r="5" spans="1:29">
      <c r="A5" s="358"/>
      <c r="B5" s="359"/>
      <c r="C5" s="3731" t="s">
        <v>1673</v>
      </c>
      <c r="D5" s="3732"/>
      <c r="E5" s="3738" t="s">
        <v>1674</v>
      </c>
      <c r="F5" s="3739"/>
      <c r="G5" s="3731" t="s">
        <v>1675</v>
      </c>
      <c r="H5" s="3732"/>
      <c r="I5" s="3731" t="s">
        <v>1676</v>
      </c>
      <c r="J5" s="3732"/>
      <c r="K5" s="559"/>
      <c r="L5" s="2714"/>
      <c r="M5" s="2715"/>
      <c r="N5" s="2715"/>
      <c r="O5" s="2715"/>
      <c r="P5" s="3750"/>
      <c r="Q5" s="3719"/>
      <c r="R5" s="3724"/>
      <c r="S5" s="3725"/>
      <c r="T5" s="3724"/>
      <c r="U5" s="3725"/>
      <c r="V5" s="3728"/>
      <c r="W5" s="3728"/>
      <c r="X5" s="1355"/>
      <c r="Y5" s="3724"/>
      <c r="Z5" s="3725"/>
      <c r="AA5" s="3710"/>
      <c r="AB5" s="3710"/>
      <c r="AC5" s="3746"/>
    </row>
    <row r="6" spans="1:29" ht="15" thickBot="1">
      <c r="A6" s="360"/>
      <c r="B6" s="361"/>
      <c r="C6" s="3729" t="s">
        <v>1677</v>
      </c>
      <c r="D6" s="3730"/>
      <c r="E6" s="3736" t="s">
        <v>1677</v>
      </c>
      <c r="F6" s="3737"/>
      <c r="G6" s="3729" t="s">
        <v>1677</v>
      </c>
      <c r="H6" s="3730"/>
      <c r="I6" s="3729" t="s">
        <v>1677</v>
      </c>
      <c r="J6" s="3730"/>
      <c r="K6" s="559" t="s">
        <v>1678</v>
      </c>
      <c r="L6" s="2714"/>
      <c r="M6" s="2715"/>
      <c r="N6" s="2715"/>
      <c r="O6" s="2715"/>
      <c r="P6" s="3751"/>
      <c r="Q6" s="3721"/>
      <c r="R6" s="3724"/>
      <c r="S6" s="3725"/>
      <c r="T6" s="3726"/>
      <c r="U6" s="3727"/>
      <c r="V6" s="3728"/>
      <c r="W6" s="3728"/>
      <c r="X6" s="1355"/>
      <c r="Y6" s="3726"/>
      <c r="Z6" s="3727"/>
      <c r="AA6" s="3711"/>
      <c r="AB6" s="3711"/>
      <c r="AC6" s="3747"/>
    </row>
    <row r="7" spans="1:29" s="108" customFormat="1" ht="15" thickBot="1">
      <c r="A7" s="362" t="s">
        <v>1679</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7"/>
      <c r="Q16" s="1352"/>
      <c r="R16" s="705"/>
      <c r="S16" s="706"/>
      <c r="T16" s="705"/>
      <c r="U16" s="706"/>
      <c r="V16" s="705"/>
      <c r="W16" s="706"/>
      <c r="X16" s="1355"/>
      <c r="Y16" s="370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7"/>
      <c r="Q18" s="1352"/>
      <c r="R18" s="705"/>
      <c r="S18" s="706"/>
      <c r="T18" s="705"/>
      <c r="U18" s="706"/>
      <c r="V18" s="705"/>
      <c r="W18" s="706"/>
      <c r="X18" s="1355"/>
      <c r="Y18" s="370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7"/>
      <c r="Q20" s="1352"/>
      <c r="R20" s="705"/>
      <c r="S20" s="706"/>
      <c r="T20" s="705"/>
      <c r="U20" s="706"/>
      <c r="V20" s="705"/>
      <c r="W20" s="706"/>
      <c r="X20" s="1355"/>
      <c r="Y20" s="370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7"/>
      <c r="Q22" s="1352"/>
      <c r="R22" s="705"/>
      <c r="S22" s="706"/>
      <c r="T22" s="705"/>
      <c r="U22" s="706"/>
      <c r="V22" s="705"/>
      <c r="W22" s="706"/>
      <c r="X22" s="1355"/>
      <c r="Y22" s="370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7"/>
      <c r="Q24" s="1352"/>
      <c r="R24" s="705"/>
      <c r="S24" s="706"/>
      <c r="T24" s="705"/>
      <c r="U24" s="706"/>
      <c r="V24" s="705"/>
      <c r="W24" s="706"/>
      <c r="X24" s="1355"/>
      <c r="Y24" s="370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98801.98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c r="A5" s="358"/>
      <c r="B5" s="359"/>
      <c r="C5" s="3731" t="s">
        <v>1673</v>
      </c>
      <c r="D5" s="3732"/>
      <c r="E5" s="3738" t="s">
        <v>1674</v>
      </c>
      <c r="F5" s="3739"/>
      <c r="G5" s="3731" t="s">
        <v>1675</v>
      </c>
      <c r="H5" s="3732"/>
      <c r="I5" s="3731" t="s">
        <v>1676</v>
      </c>
      <c r="J5" s="3732"/>
      <c r="K5" s="559"/>
      <c r="L5" s="913"/>
      <c r="M5" s="914"/>
      <c r="N5" s="914"/>
      <c r="O5" s="914"/>
      <c r="P5" s="3718"/>
      <c r="Q5" s="3719"/>
      <c r="R5" s="3724"/>
      <c r="S5" s="3725"/>
      <c r="T5" s="3724"/>
      <c r="U5" s="3725"/>
      <c r="V5" s="3728"/>
      <c r="W5" s="3728"/>
      <c r="X5" s="1355"/>
      <c r="Y5" s="3724"/>
      <c r="Z5" s="3725"/>
      <c r="AA5" s="3710"/>
      <c r="AB5" s="3710"/>
      <c r="AC5" s="3710"/>
    </row>
    <row r="6" spans="1:29" ht="1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 thickBot="1">
      <c r="A7" s="362" t="s">
        <v>1679</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估价对象为北京市房地产，为所有。根据《国有土地使用证》[]，估价对象（分摊）出让国有建设用地使用权面积为0平方米，建筑面积为98801.98平方米。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估价对象为北京市房地产,属开发建设的，该项目尚在开发建设中。根据《国有土地使用证》[]，估价对象（分摊）出让国有建设用地使用权面积为0平方米，规划建筑面积为98801.98平方米。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2024年8月29日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70" zoomScaleNormal="70" workbookViewId="0">
      <selection activeCell="AM64" sqref="AM64"/>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B3" zoomScale="90" zoomScaleNormal="60" zoomScaleSheetLayoutView="90" workbookViewId="0">
      <selection activeCell="I20" sqref="I20"/>
    </sheetView>
  </sheetViews>
  <sheetFormatPr defaultColWidth="9" defaultRowHeight="13.8"/>
  <cols>
    <col min="1" max="1" width="10.44140625" style="357" customWidth="1"/>
    <col min="2" max="2" width="15.77734375" style="357" customWidth="1"/>
    <col min="3" max="3" width="16.6640625" style="357" customWidth="1"/>
    <col min="4" max="4" width="12.21875" style="357" customWidth="1"/>
    <col min="5" max="5" width="15.88671875" style="357" customWidth="1"/>
    <col min="6" max="6" width="12.21875" style="357" customWidth="1"/>
    <col min="7" max="7" width="16.2187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t="s">
        <v>3444</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#REF!</v>
      </c>
      <c r="N3" s="2734"/>
      <c r="O3" s="2734"/>
      <c r="P3" s="1165"/>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3.8" customHeight="1">
      <c r="A5" s="358"/>
      <c r="B5" s="359"/>
      <c r="C5" s="3731" t="s">
        <v>1673</v>
      </c>
      <c r="D5" s="3732"/>
      <c r="E5" s="3759" t="s">
        <v>3456</v>
      </c>
      <c r="F5" s="3760"/>
      <c r="G5" s="3761" t="s">
        <v>3458</v>
      </c>
      <c r="H5" s="3762"/>
      <c r="I5" s="3761" t="s">
        <v>3458</v>
      </c>
      <c r="J5" s="3762"/>
      <c r="K5" s="559"/>
      <c r="L5" s="2714"/>
      <c r="M5" s="2715"/>
      <c r="N5" s="2715"/>
      <c r="O5" s="2715"/>
      <c r="P5" s="3718"/>
      <c r="Q5" s="3719"/>
      <c r="R5" s="3724"/>
      <c r="S5" s="3725"/>
      <c r="T5" s="3724"/>
      <c r="U5" s="3725"/>
      <c r="V5" s="3728"/>
      <c r="W5" s="3728"/>
      <c r="X5" s="1355"/>
      <c r="Y5" s="3724"/>
      <c r="Z5" s="3725"/>
      <c r="AA5" s="3710"/>
      <c r="AB5" s="3710"/>
      <c r="AC5" s="3710"/>
    </row>
    <row r="6" spans="1:29" ht="15" thickBot="1">
      <c r="A6" s="360"/>
      <c r="B6" s="361"/>
      <c r="C6" s="3729" t="s">
        <v>1677</v>
      </c>
      <c r="D6" s="3730"/>
      <c r="E6" s="3736" t="s">
        <v>1677</v>
      </c>
      <c r="F6" s="3737"/>
      <c r="G6" s="3729" t="s">
        <v>1677</v>
      </c>
      <c r="H6" s="3730"/>
      <c r="I6" s="3729" t="s">
        <v>1677</v>
      </c>
      <c r="J6" s="3730"/>
      <c r="K6" s="559" t="s">
        <v>1678</v>
      </c>
      <c r="L6" s="2714"/>
      <c r="M6" s="2715"/>
      <c r="N6" s="2715"/>
      <c r="O6" s="2715"/>
      <c r="P6" s="3720"/>
      <c r="Q6" s="3721"/>
      <c r="R6" s="3724"/>
      <c r="S6" s="3725"/>
      <c r="T6" s="3726"/>
      <c r="U6" s="3727"/>
      <c r="V6" s="3728"/>
      <c r="W6" s="3728"/>
      <c r="X6" s="1355"/>
      <c r="Y6" s="3726"/>
      <c r="Z6" s="3727"/>
      <c r="AA6" s="3711"/>
      <c r="AB6" s="3711"/>
      <c r="AC6" s="3711"/>
    </row>
    <row r="7" spans="1:29" s="108" customFormat="1" ht="15" thickBot="1">
      <c r="A7" s="362" t="s">
        <v>1679</v>
      </c>
      <c r="B7" s="363"/>
      <c r="C7" s="364">
        <f>'数据-取费表'!B2</f>
        <v>45533</v>
      </c>
      <c r="D7" s="365">
        <v>100</v>
      </c>
      <c r="E7" s="366">
        <f>C7</f>
        <v>45533</v>
      </c>
      <c r="F7" s="367">
        <f>SUMIF(48:48,YEAR(E7)&amp;"-"&amp;MONTH(E7),49:49)</f>
        <v>100</v>
      </c>
      <c r="G7" s="366">
        <f>C7</f>
        <v>45533</v>
      </c>
      <c r="H7" s="365">
        <f>SUMIF(48:48,YEAR(G7)&amp;"-"&amp;MONTH(G7),49:49)</f>
        <v>100</v>
      </c>
      <c r="I7" s="366">
        <f>C7</f>
        <v>45533</v>
      </c>
      <c r="J7" s="365">
        <f>SUMIF(48:48,YEAR(I7)&amp;"-"&amp;MONTH(I7),49:49)</f>
        <v>100</v>
      </c>
      <c r="K7" s="560"/>
      <c r="L7" s="2716"/>
      <c r="M7" s="2717"/>
      <c r="N7" s="2717"/>
      <c r="O7" s="2717"/>
      <c r="P7" s="3733" t="s">
        <v>1680</v>
      </c>
      <c r="Q7" s="3735"/>
      <c r="R7" s="701" t="s">
        <v>14</v>
      </c>
      <c r="S7" s="702">
        <f t="shared" ref="S7:S14" si="0">F7</f>
        <v>100</v>
      </c>
      <c r="T7" s="701" t="s">
        <v>14</v>
      </c>
      <c r="U7" s="702">
        <f t="shared" ref="U7:U14" si="1">H7</f>
        <v>100</v>
      </c>
      <c r="V7" s="701" t="s">
        <v>14</v>
      </c>
      <c r="W7" s="702">
        <f t="shared" ref="W7:W14" si="2">J7</f>
        <v>100</v>
      </c>
      <c r="X7" s="703"/>
      <c r="Y7" s="3733" t="s">
        <v>1680</v>
      </c>
      <c r="Z7" s="3734"/>
      <c r="AA7" s="704">
        <f>D7/F7</f>
        <v>1</v>
      </c>
      <c r="AB7" s="704">
        <f>D7/H7</f>
        <v>1</v>
      </c>
      <c r="AC7" s="704">
        <f>D7/J7</f>
        <v>1</v>
      </c>
    </row>
    <row r="8" spans="1:29" s="108" customFormat="1" ht="15" thickBot="1">
      <c r="A8" s="362" t="s">
        <v>1681</v>
      </c>
      <c r="B8" s="363"/>
      <c r="C8" s="368" t="s">
        <v>3398</v>
      </c>
      <c r="D8" s="365">
        <v>100</v>
      </c>
      <c r="E8" s="368" t="s">
        <v>3399</v>
      </c>
      <c r="F8" s="367">
        <f>SUMIF(51:51,E8,52:52)-SUMIF(51:51,C8,52:52)+100</f>
        <v>105</v>
      </c>
      <c r="G8" s="368" t="s">
        <v>3399</v>
      </c>
      <c r="H8" s="365">
        <f>SUMIF(51:51,G8,52:52)-SUMIF(51:51,C8,52:52)+100</f>
        <v>105</v>
      </c>
      <c r="I8" s="368" t="s">
        <v>3399</v>
      </c>
      <c r="J8" s="365">
        <f>SUMIF(51:51,I8,52:52)-SUMIF(51:51,C8,52:52)+100</f>
        <v>105</v>
      </c>
      <c r="K8" s="560"/>
      <c r="L8" s="2716"/>
      <c r="M8" s="2717"/>
      <c r="N8" s="2717"/>
      <c r="O8" s="2717"/>
      <c r="P8" s="3733" t="s">
        <v>1683</v>
      </c>
      <c r="Q8" s="3734"/>
      <c r="R8" s="701" t="s">
        <v>14</v>
      </c>
      <c r="S8" s="702">
        <f t="shared" si="0"/>
        <v>105</v>
      </c>
      <c r="T8" s="701" t="s">
        <v>14</v>
      </c>
      <c r="U8" s="702">
        <f t="shared" si="1"/>
        <v>105</v>
      </c>
      <c r="V8" s="701" t="s">
        <v>14</v>
      </c>
      <c r="W8" s="702">
        <f t="shared" si="2"/>
        <v>105</v>
      </c>
      <c r="X8" s="703"/>
      <c r="Y8" s="3733" t="s">
        <v>1683</v>
      </c>
      <c r="Z8" s="3734"/>
      <c r="AA8" s="704">
        <f t="shared" ref="AA8:AA36" si="3">D8/F8</f>
        <v>0.95238095238095233</v>
      </c>
      <c r="AB8" s="704">
        <f t="shared" ref="AB8:AB36" si="4">D8/H8</f>
        <v>0.95238095238095233</v>
      </c>
      <c r="AC8" s="704">
        <f t="shared" ref="AC8:AC36" si="5">D8/J8</f>
        <v>0.95238095238095233</v>
      </c>
    </row>
    <row r="9" spans="1:29" s="108" customFormat="1" ht="15" thickBot="1">
      <c r="A9" s="60" t="s">
        <v>1684</v>
      </c>
      <c r="B9" s="588" t="s">
        <v>1685</v>
      </c>
      <c r="C9" s="3453" t="s">
        <v>3486</v>
      </c>
      <c r="D9" s="126">
        <v>100</v>
      </c>
      <c r="E9" s="373" t="s">
        <v>3335</v>
      </c>
      <c r="F9" s="126">
        <f>SUMIF(53:53,E9,54:54)-SUMIF(53:53,C9,54:54)+100</f>
        <v>100</v>
      </c>
      <c r="G9" s="371" t="s">
        <v>3335</v>
      </c>
      <c r="H9" s="126">
        <f>SUMIF(53:53,G9,54:54)-SUMIF(53:53,C9,54:54)+100</f>
        <v>100</v>
      </c>
      <c r="I9" s="371" t="s">
        <v>3335</v>
      </c>
      <c r="J9" s="126">
        <f>SUMIF(53:53,I9,54:54)-SUMIF(53:53,C9,54:54)+100</f>
        <v>100</v>
      </c>
      <c r="K9" s="560"/>
      <c r="L9" s="2716"/>
      <c r="M9" s="2717"/>
      <c r="N9" s="2717"/>
      <c r="O9" s="2717"/>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8.8" hidden="1">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6"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2.8">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v>2</v>
      </c>
      <c r="L14" s="2721"/>
      <c r="M14" s="2715"/>
      <c r="N14" s="2715"/>
      <c r="O14" s="2715"/>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t="s">
        <v>3429</v>
      </c>
      <c r="D15" s="399"/>
      <c r="E15" s="398" t="s">
        <v>3429</v>
      </c>
      <c r="F15" s="400"/>
      <c r="G15" s="398" t="s">
        <v>3429</v>
      </c>
      <c r="H15" s="401"/>
      <c r="I15" s="398" t="s">
        <v>3429</v>
      </c>
      <c r="J15" s="399"/>
      <c r="K15" s="564"/>
      <c r="L15" s="2721"/>
      <c r="M15" s="2715"/>
      <c r="N15" s="2715"/>
      <c r="O15" s="2715"/>
      <c r="P15" s="3700"/>
      <c r="Q15" s="1352"/>
      <c r="R15" s="705"/>
      <c r="S15" s="706"/>
      <c r="T15" s="705"/>
      <c r="U15" s="706"/>
      <c r="V15" s="705"/>
      <c r="W15" s="706"/>
      <c r="X15" s="1355"/>
      <c r="Y15" s="370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110</v>
      </c>
      <c r="G16" s="410"/>
      <c r="H16" s="406">
        <f>SUMIF(65:65,G17,66:66)-SUMIF(65:65,C17,66:66)+100</f>
        <v>110</v>
      </c>
      <c r="I16" s="408"/>
      <c r="J16" s="406">
        <f>SUMIF(65:65,I17,66:66)-SUMIF(65:65,C17,66:66)+100</f>
        <v>110</v>
      </c>
      <c r="K16" s="563">
        <v>10</v>
      </c>
      <c r="L16" s="2721"/>
      <c r="M16" s="2715"/>
      <c r="N16" s="2715"/>
      <c r="O16" s="2715"/>
      <c r="P16" s="3700"/>
      <c r="Q16" s="1352" t="str">
        <f>B16</f>
        <v>公共配套设施</v>
      </c>
      <c r="R16" s="705" t="s">
        <v>14</v>
      </c>
      <c r="S16" s="706">
        <f>F16</f>
        <v>110</v>
      </c>
      <c r="T16" s="705" t="s">
        <v>14</v>
      </c>
      <c r="U16" s="706">
        <f>H16</f>
        <v>110</v>
      </c>
      <c r="V16" s="705" t="s">
        <v>14</v>
      </c>
      <c r="W16" s="706">
        <f>J16</f>
        <v>110</v>
      </c>
      <c r="X16" s="1355"/>
      <c r="Y16" s="3700"/>
      <c r="Z16" s="1356" t="str">
        <f>Q16</f>
        <v>公共配套设施</v>
      </c>
      <c r="AA16" s="1353">
        <f t="shared" si="3"/>
        <v>0.90909090909090906</v>
      </c>
      <c r="AB16" s="1353">
        <f t="shared" si="4"/>
        <v>0.90909090909090906</v>
      </c>
      <c r="AC16" s="1353">
        <f t="shared" si="5"/>
        <v>0.90909090909090906</v>
      </c>
    </row>
    <row r="17" spans="1:29" ht="15">
      <c r="A17" s="358"/>
      <c r="B17" s="580"/>
      <c r="C17" s="1901" t="s">
        <v>3428</v>
      </c>
      <c r="D17" s="399"/>
      <c r="E17" s="1901" t="s">
        <v>3429</v>
      </c>
      <c r="F17" s="400"/>
      <c r="G17" s="398" t="s">
        <v>3429</v>
      </c>
      <c r="H17" s="399"/>
      <c r="I17" s="398" t="s">
        <v>3429</v>
      </c>
      <c r="J17" s="399"/>
      <c r="K17" s="564"/>
      <c r="L17" s="2721"/>
      <c r="M17" s="2715"/>
      <c r="N17" s="2715"/>
      <c r="O17" s="2715"/>
      <c r="P17" s="3700"/>
      <c r="Q17" s="1352"/>
      <c r="R17" s="705"/>
      <c r="S17" s="706"/>
      <c r="T17" s="705"/>
      <c r="U17" s="706"/>
      <c r="V17" s="705"/>
      <c r="W17" s="706"/>
      <c r="X17" s="1355"/>
      <c r="Y17" s="3700"/>
      <c r="Z17" s="1356"/>
      <c r="AA17" s="1353">
        <v>1</v>
      </c>
      <c r="AB17" s="1353">
        <v>1</v>
      </c>
      <c r="AC17" s="1353">
        <v>1</v>
      </c>
    </row>
    <row r="18" spans="1:29" ht="27.6">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21"/>
      <c r="M18" s="2715"/>
      <c r="N18" s="2715"/>
      <c r="O18" s="2715"/>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t="s">
        <v>3430</v>
      </c>
      <c r="D19" s="401"/>
      <c r="E19" s="1901" t="s">
        <v>3430</v>
      </c>
      <c r="F19" s="404"/>
      <c r="G19" s="1901" t="s">
        <v>3430</v>
      </c>
      <c r="H19" s="399"/>
      <c r="I19" s="398" t="s">
        <v>3430</v>
      </c>
      <c r="J19" s="399"/>
      <c r="K19" s="1130"/>
      <c r="L19" s="2721"/>
      <c r="M19" s="2715"/>
      <c r="N19" s="2715"/>
      <c r="O19" s="2715"/>
      <c r="P19" s="3700"/>
      <c r="Q19" s="1352"/>
      <c r="R19" s="705"/>
      <c r="S19" s="706"/>
      <c r="T19" s="705"/>
      <c r="U19" s="706"/>
      <c r="V19" s="705"/>
      <c r="W19" s="706"/>
      <c r="X19" s="1355"/>
      <c r="Y19" s="370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21"/>
      <c r="M20" s="2715"/>
      <c r="N20" s="2715"/>
      <c r="O20" s="2715"/>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t="s">
        <v>3428</v>
      </c>
      <c r="D21" s="399"/>
      <c r="E21" s="398" t="s">
        <v>3428</v>
      </c>
      <c r="F21" s="400"/>
      <c r="G21" s="398" t="s">
        <v>3428</v>
      </c>
      <c r="H21" s="399"/>
      <c r="I21" s="398" t="s">
        <v>3428</v>
      </c>
      <c r="J21" s="399"/>
      <c r="K21" s="564"/>
      <c r="L21" s="2721"/>
      <c r="M21" s="2715"/>
      <c r="N21" s="2715"/>
      <c r="O21" s="2715"/>
      <c r="P21" s="3700"/>
      <c r="Q21" s="1352"/>
      <c r="R21" s="705"/>
      <c r="S21" s="706"/>
      <c r="T21" s="705"/>
      <c r="U21" s="706"/>
      <c r="V21" s="705"/>
      <c r="W21" s="706"/>
      <c r="X21" s="1355"/>
      <c r="Y21" s="3700"/>
      <c r="Z21" s="1356"/>
      <c r="AA21" s="1353">
        <v>1</v>
      </c>
      <c r="AB21" s="1353">
        <v>1</v>
      </c>
      <c r="AC21" s="1353">
        <v>1</v>
      </c>
    </row>
    <row r="22" spans="1:29" ht="15.6" thickBot="1">
      <c r="A22" s="358"/>
      <c r="B22" s="579" t="s">
        <v>1835</v>
      </c>
      <c r="C22" s="565">
        <v>-1</v>
      </c>
      <c r="D22" s="401">
        <v>100</v>
      </c>
      <c r="E22" s="565">
        <v>-2</v>
      </c>
      <c r="F22" s="412">
        <f>SUMIF(71:71,E22,72:72)-SUMIF(71:71,C22,72:72)+100</f>
        <v>95</v>
      </c>
      <c r="G22" s="565">
        <v>-2</v>
      </c>
      <c r="H22" s="386">
        <f>SUMIF(71:71,G22,72:72)-SUMIF(71:71,C22,72:72)+100</f>
        <v>95</v>
      </c>
      <c r="I22" s="565">
        <v>-2</v>
      </c>
      <c r="J22" s="386">
        <f>SUMIF(71:71,I22,72:72)-SUMIF(71:71,C22,72:72)+100</f>
        <v>95</v>
      </c>
      <c r="K22" s="561">
        <v>5</v>
      </c>
      <c r="L22" s="2721"/>
      <c r="M22" s="2715"/>
      <c r="N22" s="2715"/>
      <c r="O22" s="2715"/>
      <c r="P22" s="3700"/>
      <c r="Q22" s="1352" t="str">
        <f>B22</f>
        <v>楼层</v>
      </c>
      <c r="R22" s="705" t="s">
        <v>14</v>
      </c>
      <c r="S22" s="706">
        <f>F22</f>
        <v>95</v>
      </c>
      <c r="T22" s="705" t="s">
        <v>14</v>
      </c>
      <c r="U22" s="706">
        <f>H22</f>
        <v>95</v>
      </c>
      <c r="V22" s="705" t="s">
        <v>14</v>
      </c>
      <c r="W22" s="706">
        <f>J22</f>
        <v>95</v>
      </c>
      <c r="X22" s="1355"/>
      <c r="Y22" s="3700"/>
      <c r="Z22" s="1356" t="str">
        <f>Q22</f>
        <v>楼层</v>
      </c>
      <c r="AA22" s="1353">
        <f t="shared" si="3"/>
        <v>1.0526315789473684</v>
      </c>
      <c r="AB22" s="1353">
        <f t="shared" si="4"/>
        <v>1.0526315789473684</v>
      </c>
      <c r="AC22" s="1353">
        <f t="shared" si="5"/>
        <v>1.0526315789473684</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6"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30">
      <c r="A26" s="600" t="s">
        <v>1694</v>
      </c>
      <c r="B26" s="62" t="s">
        <v>1836</v>
      </c>
      <c r="C26" s="3462" t="s">
        <v>3487</v>
      </c>
      <c r="D26" s="399">
        <v>100</v>
      </c>
      <c r="E26" s="398" t="s">
        <v>3476</v>
      </c>
      <c r="F26" s="400">
        <f>SUMIF(79:79,E26,80:80)-SUMIF(79:79,C26,80:80)+100</f>
        <v>100</v>
      </c>
      <c r="G26" s="398" t="s">
        <v>3387</v>
      </c>
      <c r="H26" s="399">
        <f>SUMIF(79:79,G26,80:80)-SUMIF(79:79,C26,80:80)+100</f>
        <v>100</v>
      </c>
      <c r="I26" s="398" t="s">
        <v>3387</v>
      </c>
      <c r="J26" s="399">
        <f>SUMIF(79:79,I26,80:80)-SUMIF(79:79,C26,80:80)+100</f>
        <v>100</v>
      </c>
      <c r="K26" s="561"/>
      <c r="L26" s="2721"/>
      <c r="M26" s="2715"/>
      <c r="N26" s="2715"/>
      <c r="O26" s="2715"/>
      <c r="P26" s="3757"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04" t="s">
        <v>1696</v>
      </c>
      <c r="Z26" s="1356" t="str">
        <f t="shared" ref="Z26:Z36" si="15">Q26</f>
        <v>配套类型</v>
      </c>
      <c r="AA26" s="1353">
        <f t="shared" si="3"/>
        <v>1</v>
      </c>
      <c r="AB26" s="1353">
        <f t="shared" si="4"/>
        <v>1</v>
      </c>
      <c r="AC26" s="1353">
        <f t="shared" si="5"/>
        <v>1</v>
      </c>
    </row>
    <row r="27" spans="1:29" s="422" customFormat="1" ht="15">
      <c r="A27" s="601"/>
      <c r="B27" s="602" t="s">
        <v>1837</v>
      </c>
      <c r="C27" s="603" t="s">
        <v>3488</v>
      </c>
      <c r="D27" s="127">
        <v>100</v>
      </c>
      <c r="E27" s="603" t="s">
        <v>3489</v>
      </c>
      <c r="F27" s="412">
        <f>SUMIF(81:81,E27,82:82)-SUMIF(81:81,C27,82:82)+100</f>
        <v>100</v>
      </c>
      <c r="G27" s="603" t="s">
        <v>3490</v>
      </c>
      <c r="H27" s="386">
        <f>SUMIF(81:81,G27,82:82)-SUMIF(81:81,C27,82:82)+100</f>
        <v>97</v>
      </c>
      <c r="I27" s="603" t="s">
        <v>3490</v>
      </c>
      <c r="J27" s="386">
        <f>SUMIF(81:81,I27,82:82)-SUMIF(81:81,C27,82:82)+100</f>
        <v>97</v>
      </c>
      <c r="K27" s="562"/>
      <c r="L27" s="2720"/>
      <c r="M27" s="2722"/>
      <c r="N27" s="2722"/>
      <c r="O27" s="2722"/>
      <c r="P27" s="3704"/>
      <c r="Q27" s="707" t="str">
        <f t="shared" si="11"/>
        <v>项目停车位配比</v>
      </c>
      <c r="R27" s="708" t="s">
        <v>14</v>
      </c>
      <c r="S27" s="709">
        <f t="shared" si="12"/>
        <v>100</v>
      </c>
      <c r="T27" s="708" t="s">
        <v>14</v>
      </c>
      <c r="U27" s="709">
        <f t="shared" si="13"/>
        <v>97</v>
      </c>
      <c r="V27" s="708" t="s">
        <v>14</v>
      </c>
      <c r="W27" s="709">
        <f t="shared" si="14"/>
        <v>97</v>
      </c>
      <c r="X27" s="710"/>
      <c r="Y27" s="3704"/>
      <c r="Z27" s="711" t="str">
        <f t="shared" si="15"/>
        <v>项目停车位配比</v>
      </c>
      <c r="AA27" s="1353">
        <f t="shared" si="3"/>
        <v>1</v>
      </c>
      <c r="AB27" s="1353">
        <f t="shared" si="4"/>
        <v>1.0309278350515463</v>
      </c>
      <c r="AC27" s="1353">
        <f t="shared" si="5"/>
        <v>1.0309278350515463</v>
      </c>
    </row>
    <row r="28" spans="1:29" ht="15">
      <c r="A28" s="604"/>
      <c r="B28" s="602" t="s">
        <v>1838</v>
      </c>
      <c r="C28" s="411" t="s">
        <v>3481</v>
      </c>
      <c r="D28" s="386">
        <v>100</v>
      </c>
      <c r="E28" s="411" t="s">
        <v>3480</v>
      </c>
      <c r="F28" s="412">
        <f>SUMIF(83:83,E28,84:84)-SUMIF(83:83,C28,84:84)+100</f>
        <v>115</v>
      </c>
      <c r="G28" s="411" t="s">
        <v>3480</v>
      </c>
      <c r="H28" s="386">
        <f>SUMIF(83:83,G28,84:84)-SUMIF(83:83,C28,84:84)+100</f>
        <v>115</v>
      </c>
      <c r="I28" s="411" t="s">
        <v>3480</v>
      </c>
      <c r="J28" s="386">
        <f>SUMIF(83:83,I28,84:84)-SUMIF(83:83,C28,84:84)+100</f>
        <v>115</v>
      </c>
      <c r="K28" s="561">
        <v>15</v>
      </c>
      <c r="L28" s="2721"/>
      <c r="M28" s="2715"/>
      <c r="N28" s="2715"/>
      <c r="O28" s="2715"/>
      <c r="P28" s="3704"/>
      <c r="Q28" s="1352" t="str">
        <f t="shared" si="11"/>
        <v>公共部分装修</v>
      </c>
      <c r="R28" s="705" t="s">
        <v>14</v>
      </c>
      <c r="S28" s="706">
        <f t="shared" si="12"/>
        <v>115</v>
      </c>
      <c r="T28" s="705" t="s">
        <v>14</v>
      </c>
      <c r="U28" s="706">
        <f t="shared" si="13"/>
        <v>115</v>
      </c>
      <c r="V28" s="705" t="s">
        <v>14</v>
      </c>
      <c r="W28" s="706">
        <f t="shared" si="14"/>
        <v>115</v>
      </c>
      <c r="X28" s="1355"/>
      <c r="Y28" s="3704"/>
      <c r="Z28" s="1356" t="str">
        <f t="shared" si="15"/>
        <v>公共部分装修</v>
      </c>
      <c r="AA28" s="1353">
        <f t="shared" si="3"/>
        <v>0.86956521739130432</v>
      </c>
      <c r="AB28" s="1353">
        <f t="shared" si="4"/>
        <v>0.86956521739130432</v>
      </c>
      <c r="AC28" s="1353">
        <f t="shared" si="5"/>
        <v>0.86956521739130432</v>
      </c>
    </row>
    <row r="29" spans="1:29" ht="15">
      <c r="A29" s="604"/>
      <c r="B29" s="602" t="s">
        <v>1839</v>
      </c>
      <c r="C29" s="425">
        <v>0.95</v>
      </c>
      <c r="D29" s="386">
        <v>100</v>
      </c>
      <c r="E29" s="425">
        <v>0.83</v>
      </c>
      <c r="F29" s="412">
        <f>LOOKUP(E29,86:86,87:87)-LOOKUP(C29,86:86,87:87)+100</f>
        <v>99.5</v>
      </c>
      <c r="G29" s="425">
        <v>0.8</v>
      </c>
      <c r="H29" s="412">
        <f>LOOKUP(G29,86:86,87:87)-LOOKUP(C29,86:86,87:87)+100</f>
        <v>99.5</v>
      </c>
      <c r="I29" s="425">
        <v>0.8</v>
      </c>
      <c r="J29" s="386">
        <f>LOOKUP(I29,86:86,87:87)-LOOKUP(C29,86:86,87:87)+100</f>
        <v>99.5</v>
      </c>
      <c r="K29" s="561">
        <v>0.5</v>
      </c>
      <c r="L29" s="2721"/>
      <c r="M29" s="2715"/>
      <c r="N29" s="2715"/>
      <c r="O29" s="2715"/>
      <c r="P29" s="3704"/>
      <c r="Q29" s="1352" t="str">
        <f t="shared" si="11"/>
        <v>成新率</v>
      </c>
      <c r="R29" s="705" t="s">
        <v>14</v>
      </c>
      <c r="S29" s="706">
        <f t="shared" si="12"/>
        <v>99.5</v>
      </c>
      <c r="T29" s="705" t="s">
        <v>14</v>
      </c>
      <c r="U29" s="706">
        <f t="shared" si="13"/>
        <v>99.5</v>
      </c>
      <c r="V29" s="705" t="s">
        <v>14</v>
      </c>
      <c r="W29" s="706">
        <f t="shared" si="14"/>
        <v>99.5</v>
      </c>
      <c r="X29" s="1355"/>
      <c r="Y29" s="3704"/>
      <c r="Z29" s="1356" t="str">
        <f t="shared" si="15"/>
        <v>成新率</v>
      </c>
      <c r="AA29" s="1353">
        <f t="shared" si="3"/>
        <v>1.0050251256281406</v>
      </c>
      <c r="AB29" s="1353">
        <f t="shared" si="4"/>
        <v>1.0050251256281406</v>
      </c>
      <c r="AC29" s="1353">
        <f t="shared" si="5"/>
        <v>1.0050251256281406</v>
      </c>
    </row>
    <row r="30" spans="1:29" ht="15">
      <c r="A30" s="604"/>
      <c r="B30" s="602" t="s">
        <v>1840</v>
      </c>
      <c r="C30" s="605" t="s">
        <v>3428</v>
      </c>
      <c r="D30" s="386">
        <v>100</v>
      </c>
      <c r="E30" s="605" t="s">
        <v>3429</v>
      </c>
      <c r="F30" s="412">
        <f>SUMIF(88:88,E30,89:89)-SUMIF(88:88,C30,89:89)+100</f>
        <v>103</v>
      </c>
      <c r="G30" s="605" t="s">
        <v>3429</v>
      </c>
      <c r="H30" s="386">
        <f>SUMIF(88:88,E30,89:89)-SUMIF(88:88,C30,89:89)+100</f>
        <v>103</v>
      </c>
      <c r="I30" s="605" t="s">
        <v>3429</v>
      </c>
      <c r="J30" s="386">
        <f>SUMIF(88:88,E30,89:89)-SUMIF(88:88,C30,89:89)+100</f>
        <v>103</v>
      </c>
      <c r="K30" s="561">
        <v>3</v>
      </c>
      <c r="L30" s="2721"/>
      <c r="M30" s="2715"/>
      <c r="N30" s="2715"/>
      <c r="O30" s="2715"/>
      <c r="P30" s="3704"/>
      <c r="Q30" s="1352" t="str">
        <f t="shared" si="11"/>
        <v>物业等级</v>
      </c>
      <c r="R30" s="705" t="s">
        <v>14</v>
      </c>
      <c r="S30" s="706">
        <f t="shared" si="12"/>
        <v>103</v>
      </c>
      <c r="T30" s="705" t="s">
        <v>14</v>
      </c>
      <c r="U30" s="706">
        <f t="shared" si="13"/>
        <v>103</v>
      </c>
      <c r="V30" s="705" t="s">
        <v>14</v>
      </c>
      <c r="W30" s="706">
        <f t="shared" si="14"/>
        <v>103</v>
      </c>
      <c r="X30" s="1355"/>
      <c r="Y30" s="3704"/>
      <c r="Z30" s="1356" t="str">
        <f t="shared" si="15"/>
        <v>物业等级</v>
      </c>
      <c r="AA30" s="1353">
        <f t="shared" si="3"/>
        <v>0.970873786407767</v>
      </c>
      <c r="AB30" s="1353">
        <f t="shared" si="4"/>
        <v>0.970873786407767</v>
      </c>
      <c r="AC30" s="1353">
        <f t="shared" si="5"/>
        <v>0.970873786407767</v>
      </c>
    </row>
    <row r="31" spans="1:29" s="108" customFormat="1" ht="15">
      <c r="A31" s="606"/>
      <c r="B31" s="602" t="s">
        <v>1841</v>
      </c>
      <c r="C31" s="420">
        <v>34.14</v>
      </c>
      <c r="D31" s="127">
        <v>100</v>
      </c>
      <c r="E31" s="420">
        <v>42.6</v>
      </c>
      <c r="F31" s="412">
        <f>LOOKUP(E31,91:91,92:92)-LOOKUP(C31,91:91,92:92)+100</f>
        <v>106</v>
      </c>
      <c r="G31" s="420">
        <v>28.94</v>
      </c>
      <c r="H31" s="386">
        <f>LOOKUP(G31,91:91,92:92)-LOOKUP(C31,91:91,92:92)+100</f>
        <v>97</v>
      </c>
      <c r="I31" s="420">
        <v>28.94</v>
      </c>
      <c r="J31" s="386">
        <f>LOOKUP(I31,91:91,92:92)-LOOKUP(C31,91:91,92:92)+100</f>
        <v>97</v>
      </c>
      <c r="K31" s="561">
        <v>3</v>
      </c>
      <c r="L31" s="2716"/>
      <c r="M31" s="2717"/>
      <c r="N31" s="2717"/>
      <c r="O31" s="2717"/>
      <c r="P31" s="3704"/>
      <c r="Q31" s="1343" t="str">
        <f t="shared" si="11"/>
        <v>停车位面积</v>
      </c>
      <c r="R31" s="701" t="s">
        <v>14</v>
      </c>
      <c r="S31" s="702">
        <f t="shared" si="12"/>
        <v>106</v>
      </c>
      <c r="T31" s="701" t="s">
        <v>14</v>
      </c>
      <c r="U31" s="702">
        <f t="shared" si="13"/>
        <v>97</v>
      </c>
      <c r="V31" s="701" t="s">
        <v>14</v>
      </c>
      <c r="W31" s="702">
        <f t="shared" si="14"/>
        <v>97</v>
      </c>
      <c r="X31" s="703"/>
      <c r="Y31" s="3704"/>
      <c r="Z31" s="52" t="str">
        <f t="shared" si="15"/>
        <v>停车位面积</v>
      </c>
      <c r="AA31" s="704">
        <f t="shared" si="3"/>
        <v>0.94339622641509435</v>
      </c>
      <c r="AB31" s="704">
        <f t="shared" si="4"/>
        <v>1.0309278350515463</v>
      </c>
      <c r="AC31" s="704">
        <f t="shared" si="5"/>
        <v>1.0309278350515463</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4.4">
      <c r="A37" s="430" t="s">
        <v>1844</v>
      </c>
      <c r="B37" s="1972" t="s">
        <v>3356</v>
      </c>
      <c r="C37" s="1154" t="s">
        <v>0</v>
      </c>
      <c r="D37" s="1155"/>
      <c r="E37" s="1156">
        <v>160000</v>
      </c>
      <c r="F37" s="1157"/>
      <c r="G37" s="1158">
        <v>187000</v>
      </c>
      <c r="H37" s="1159"/>
      <c r="I37" s="1156">
        <v>190000</v>
      </c>
      <c r="J37" s="1159"/>
      <c r="K37" s="568"/>
      <c r="L37" s="2723"/>
      <c r="M37" s="2724"/>
      <c r="N37" s="2715"/>
      <c r="O37" s="2724"/>
      <c r="P37" s="3697" t="str">
        <f>A37</f>
        <v>成交单价</v>
      </c>
      <c r="Q37" s="3697"/>
      <c r="R37" s="3698">
        <f>E37</f>
        <v>160000</v>
      </c>
      <c r="S37" s="3698"/>
      <c r="T37" s="3698">
        <f>G37</f>
        <v>187000</v>
      </c>
      <c r="U37" s="3698"/>
      <c r="V37" s="3698">
        <f>I37</f>
        <v>190000</v>
      </c>
      <c r="W37" s="3698"/>
      <c r="X37" s="690"/>
      <c r="Y37" s="712"/>
      <c r="Z37" s="690"/>
      <c r="AA37" s="690"/>
      <c r="AB37" s="690"/>
      <c r="AC37" s="690"/>
    </row>
    <row r="38" spans="1:29" ht="15" thickBot="1">
      <c r="A38" s="437" t="s">
        <v>1845</v>
      </c>
      <c r="B38" s="438" t="str">
        <f>B37</f>
        <v>元/平方米</v>
      </c>
      <c r="C38" s="1160">
        <f>R39</f>
        <v>142186</v>
      </c>
      <c r="D38" s="2316" t="s">
        <v>2138</v>
      </c>
      <c r="E38" s="1161">
        <f>R38</f>
        <v>116721</v>
      </c>
      <c r="F38" s="2317"/>
      <c r="G38" s="1160">
        <f>T38</f>
        <v>153686</v>
      </c>
      <c r="H38" s="2317"/>
      <c r="I38" s="1161">
        <f>V38</f>
        <v>156152</v>
      </c>
      <c r="J38" s="2317"/>
      <c r="K38" s="2319">
        <f>F38+H38+J38</f>
        <v>0</v>
      </c>
      <c r="L38" s="2723"/>
      <c r="M38" s="2724"/>
      <c r="N38" s="2724"/>
      <c r="O38" s="2724"/>
      <c r="P38" s="3697" t="str">
        <f>A38</f>
        <v>比较价值（元/平方米）</v>
      </c>
      <c r="Q38" s="3697"/>
      <c r="R38" s="3698">
        <f>IF(F1="售价",ROUND(PRODUCT(R37,AA7:AA36),0),ROUND(PRODUCT(R37,AA7:AA36),1))</f>
        <v>116721</v>
      </c>
      <c r="S38" s="3698"/>
      <c r="T38" s="3698">
        <f>IF(F1="售价",ROUND(PRODUCT(T37,AB7:AB36),0),ROUND(PRODUCT(T37,AB7:AB36),1))</f>
        <v>153686</v>
      </c>
      <c r="U38" s="3698"/>
      <c r="V38" s="3698">
        <f>IF(F1="售价",ROUND(PRODUCT(V37,AC7:AC36),0),ROUND(PRODUCT(V37,AC7:AC36),1))</f>
        <v>156152</v>
      </c>
      <c r="W38" s="3698"/>
      <c r="X38" s="690"/>
      <c r="Y38" s="690"/>
      <c r="Z38" s="690"/>
      <c r="AA38" s="690"/>
      <c r="AB38" s="690"/>
      <c r="AC38" s="690"/>
    </row>
    <row r="39" spans="1:29" ht="15" thickBot="1">
      <c r="A39" s="441" t="s">
        <v>1846</v>
      </c>
      <c r="B39" s="442"/>
      <c r="C39" s="1163">
        <f>R39</f>
        <v>142186</v>
      </c>
      <c r="D39" s="1163"/>
      <c r="E39" s="1163"/>
      <c r="F39" s="1163"/>
      <c r="G39" s="1163"/>
      <c r="H39" s="1163"/>
      <c r="I39" s="1163"/>
      <c r="J39" s="1163"/>
      <c r="K39" s="569"/>
      <c r="L39" s="2723"/>
      <c r="M39" s="2724"/>
      <c r="N39" s="2724"/>
      <c r="O39" s="2724"/>
      <c r="P39" s="3694" t="str">
        <f>A39</f>
        <v>估价对象XX用房的比较价值（楼面单价，元/平方米）</v>
      </c>
      <c r="Q39" s="3695"/>
      <c r="R39" s="3758">
        <f>IF(F1="售价",ROUND(IF(D38="简单平均",AVERAGE(R38:W38),R38*F38+T38*H38+V38*J38),0),ROUND(IF(D38="简单平均",AVERAGE(R38:V38),R38*F38+T38*H38+V38*J38),1))</f>
        <v>142186</v>
      </c>
      <c r="S39" s="3758"/>
      <c r="T39" s="3758"/>
      <c r="U39" s="3758"/>
      <c r="V39" s="3758"/>
      <c r="W39" s="375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f>IF(E37&lt;E38,E38/E37-1,E37/E38-1)</f>
        <v>0.37079017486142174</v>
      </c>
      <c r="F42" s="449" t="str">
        <f>IF(OR(E42&gt;=0.3,E42&lt;=-0.3),"超过30%","")</f>
        <v>超过30%</v>
      </c>
      <c r="G42" s="448">
        <f>IF(G37&lt;G38,G38/G37-1,G37/G38-1)</f>
        <v>0.21676665408690443</v>
      </c>
      <c r="H42" s="449" t="str">
        <f>IF(OR(G42&gt;=0.3,G42&lt;=-0.3),"超过30%","")</f>
        <v/>
      </c>
      <c r="I42" s="448">
        <f>IF(I37&lt;I38,I38/I37-1,I37/I38-1)</f>
        <v>0.2167631538500947</v>
      </c>
      <c r="J42" s="449" t="str">
        <f>IF(OR(I42&gt;=0.3,I42&lt;=-0.3),"超过30%","")</f>
        <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f>IF(E38&lt;G38,G38/E38-1,E38/G38-1)</f>
        <v>0.31669536758595274</v>
      </c>
      <c r="F43" s="449" t="str">
        <f>IF(OR(E43&gt;=0.2,E43&lt;=-0.2),"超过20%","")</f>
        <v>超过20%</v>
      </c>
      <c r="G43" s="448">
        <f>IF(G38&lt;I38,I38/G38-1,G38/I38-1)</f>
        <v>1.6045703577424186E-2</v>
      </c>
      <c r="H43" s="449" t="str">
        <f>IF(OR(G43&gt;=0.2,G43&lt;=-0.2),"超过20%","")</f>
        <v/>
      </c>
      <c r="I43" s="448">
        <f>IF(I38&lt;E38,E38/I38-1,I38/E38-1)</f>
        <v>0.33782267115600439</v>
      </c>
      <c r="J43" s="449" t="str">
        <f>IF(OR(I43&gt;=0.2,I43&lt;=-0.2),"超过20%","")</f>
        <v>超过20%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f>IF(E37&lt;G37,G37/E37-1,E37/G37-1)</f>
        <v>0.16874999999999996</v>
      </c>
      <c r="F44" s="449" t="str">
        <f>IF(OR(E44&gt;=0.3,E44&lt;=-0.3),"超过30%","")</f>
        <v/>
      </c>
      <c r="G44" s="448">
        <f>IF(G37&lt;I37,I37/G37-1,G37/I37-1)</f>
        <v>1.6042780748663166E-2</v>
      </c>
      <c r="H44" s="449" t="str">
        <f>IF(OR(G44&gt;=0.3,G44&lt;=-0.3),"超过30%","")</f>
        <v/>
      </c>
      <c r="I44" s="448">
        <f>IF(I37&lt;E37,E37/I37-1,I37/E37-1)</f>
        <v>0.1875</v>
      </c>
      <c r="J44" s="449" t="str">
        <f>IF(OR(I44&gt;=0.3,I44&lt;=-0.3),"超过30%","")</f>
        <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3464" t="s">
        <v>3399</v>
      </c>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3463">
        <v>105</v>
      </c>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t="str">
        <f>C9</f>
        <v>车库</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98</v>
      </c>
      <c r="E64" s="493">
        <f>D64-$K14</f>
        <v>96</v>
      </c>
      <c r="F64" s="493">
        <f>E64-$K14</f>
        <v>94</v>
      </c>
      <c r="G64" s="493">
        <f>F64-$K14</f>
        <v>92</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90</v>
      </c>
      <c r="E66" s="493">
        <f>D66-$K16</f>
        <v>80</v>
      </c>
      <c r="F66" s="493">
        <f>E66-$K16</f>
        <v>70</v>
      </c>
      <c r="G66" s="493">
        <f>F66-$K16</f>
        <v>60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99</v>
      </c>
      <c r="E68" s="493">
        <f>D68-$K18</f>
        <v>98</v>
      </c>
      <c r="F68" s="493">
        <f>E68-$K18</f>
        <v>97</v>
      </c>
      <c r="G68" s="493">
        <f>F68-$K18</f>
        <v>96</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98</v>
      </c>
      <c r="E70" s="493">
        <f>D70-$K20</f>
        <v>96</v>
      </c>
      <c r="F70" s="493">
        <f>E70-$K20</f>
        <v>94</v>
      </c>
      <c r="G70" s="493">
        <f>F70-$K20</f>
        <v>92</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v>-1</v>
      </c>
      <c r="D71" s="503">
        <v>-2</v>
      </c>
      <c r="E71" s="503">
        <v>-3</v>
      </c>
      <c r="F71" s="503">
        <v>-4</v>
      </c>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95</v>
      </c>
      <c r="E72" s="493">
        <f>D72-$K22</f>
        <v>90</v>
      </c>
      <c r="F72" s="493">
        <f>E72-$K22</f>
        <v>85</v>
      </c>
      <c r="G72" s="493">
        <f>F72-$K22</f>
        <v>80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住宅</v>
      </c>
      <c r="D79" s="3465" t="s">
        <v>3476</v>
      </c>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3468" t="s">
        <v>3477</v>
      </c>
      <c r="D81" s="3468" t="s">
        <v>3478</v>
      </c>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3467">
        <v>97</v>
      </c>
      <c r="D82" s="3466">
        <v>100</v>
      </c>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3469" t="s">
        <v>3479</v>
      </c>
      <c r="D83" s="3469" t="s">
        <v>3480</v>
      </c>
      <c r="E83" s="3470" t="s">
        <v>3481</v>
      </c>
      <c r="F83" s="3470" t="s">
        <v>3438</v>
      </c>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85</v>
      </c>
      <c r="E84" s="493">
        <f t="shared" si="18"/>
        <v>70</v>
      </c>
      <c r="F84" s="493">
        <f t="shared" si="18"/>
        <v>55</v>
      </c>
      <c r="G84" s="493">
        <f t="shared" si="18"/>
        <v>40</v>
      </c>
      <c r="H84" s="493">
        <f t="shared" si="18"/>
        <v>25</v>
      </c>
      <c r="I84" s="493">
        <f t="shared" si="18"/>
        <v>10</v>
      </c>
      <c r="J84" s="493">
        <f t="shared" si="18"/>
        <v>-5</v>
      </c>
      <c r="K84" s="493">
        <f t="shared" si="18"/>
        <v>-20</v>
      </c>
      <c r="L84" s="493">
        <f t="shared" si="18"/>
        <v>-35</v>
      </c>
      <c r="M84" s="494">
        <f t="shared" si="18"/>
        <v>-50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100.5</v>
      </c>
      <c r="E87" s="493">
        <f t="shared" ref="E87:M87" si="19">D87+$K$29</f>
        <v>101</v>
      </c>
      <c r="F87" s="493">
        <f t="shared" si="19"/>
        <v>101.5</v>
      </c>
      <c r="G87" s="493">
        <f t="shared" si="19"/>
        <v>102</v>
      </c>
      <c r="H87" s="493">
        <f t="shared" si="19"/>
        <v>102.5</v>
      </c>
      <c r="I87" s="493">
        <f t="shared" si="19"/>
        <v>103</v>
      </c>
      <c r="J87" s="493">
        <f t="shared" si="19"/>
        <v>103.5</v>
      </c>
      <c r="K87" s="493">
        <f t="shared" si="19"/>
        <v>104</v>
      </c>
      <c r="L87" s="493">
        <f t="shared" si="19"/>
        <v>104.5</v>
      </c>
      <c r="M87" s="493">
        <f t="shared" si="19"/>
        <v>105</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3471" t="s">
        <v>3482</v>
      </c>
      <c r="D88" s="3471" t="s">
        <v>3433</v>
      </c>
      <c r="E88" s="3471" t="s">
        <v>3428</v>
      </c>
      <c r="F88" s="3472" t="s">
        <v>3429</v>
      </c>
      <c r="G88" s="3472" t="s">
        <v>3483</v>
      </c>
      <c r="H88" s="3471"/>
      <c r="I88" s="3471"/>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103</v>
      </c>
      <c r="E89" s="493">
        <f t="shared" si="20"/>
        <v>106</v>
      </c>
      <c r="F89" s="493">
        <f t="shared" si="20"/>
        <v>109</v>
      </c>
      <c r="G89" s="493">
        <f t="shared" si="20"/>
        <v>112</v>
      </c>
      <c r="H89" s="493">
        <f t="shared" si="20"/>
        <v>115</v>
      </c>
      <c r="I89" s="493">
        <f t="shared" si="20"/>
        <v>118</v>
      </c>
      <c r="J89" s="493">
        <f t="shared" si="20"/>
        <v>121</v>
      </c>
      <c r="K89" s="493">
        <f t="shared" si="20"/>
        <v>124</v>
      </c>
      <c r="L89" s="493">
        <f t="shared" si="20"/>
        <v>127</v>
      </c>
      <c r="M89" s="493">
        <f t="shared" si="20"/>
        <v>130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0(含)-25</v>
      </c>
      <c r="D90" s="527" t="str">
        <f t="shared" ref="D90:L90" si="21">D91&amp;"(含)"&amp;"-"&amp;E91</f>
        <v>25(含)-30</v>
      </c>
      <c r="E90" s="527" t="str">
        <f t="shared" si="21"/>
        <v>30(含)-35</v>
      </c>
      <c r="F90" s="527" t="str">
        <f t="shared" si="21"/>
        <v>35(含)-40</v>
      </c>
      <c r="G90" s="527" t="str">
        <f t="shared" si="21"/>
        <v>40(含)-45</v>
      </c>
      <c r="H90" s="527" t="str">
        <f t="shared" si="21"/>
        <v>45(含)-50</v>
      </c>
      <c r="I90" s="527" t="str">
        <f t="shared" si="21"/>
        <v>50(含)-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3475">
        <v>0</v>
      </c>
      <c r="D91" s="3475">
        <v>25</v>
      </c>
      <c r="E91" s="3475">
        <v>30</v>
      </c>
      <c r="F91" s="3475">
        <v>35</v>
      </c>
      <c r="G91" s="3475">
        <v>40</v>
      </c>
      <c r="H91" s="3475">
        <v>45</v>
      </c>
      <c r="I91" s="3475">
        <v>50</v>
      </c>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3474">
        <v>94</v>
      </c>
      <c r="D92" s="3473">
        <v>97</v>
      </c>
      <c r="E92" s="3473">
        <v>100</v>
      </c>
      <c r="F92" s="3473">
        <v>103</v>
      </c>
      <c r="G92" s="3473">
        <v>106</v>
      </c>
      <c r="H92" s="3473">
        <v>109</v>
      </c>
      <c r="I92" s="3473">
        <v>112</v>
      </c>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3476" t="s">
        <v>3484</v>
      </c>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3477" t="s">
        <v>3485</v>
      </c>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3481" t="s">
        <v>3392</v>
      </c>
      <c r="D97" s="3479"/>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3480">
        <v>100</v>
      </c>
      <c r="D98" s="3478"/>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3481" t="s">
        <v>3392</v>
      </c>
      <c r="D99" s="3481" t="s">
        <v>3485</v>
      </c>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3480">
        <v>100</v>
      </c>
      <c r="D100" s="3478">
        <v>105</v>
      </c>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formatCells="0" formatColumns="0" formatRows="0"/>
  <mergeCells count="40">
    <mergeCell ref="G5:H5"/>
    <mergeCell ref="Y9:Y13"/>
    <mergeCell ref="P8:Q8"/>
    <mergeCell ref="Y8:Z8"/>
    <mergeCell ref="P7:Q7"/>
    <mergeCell ref="P9:P13"/>
    <mergeCell ref="AA4:AA6"/>
    <mergeCell ref="AB4:AB6"/>
    <mergeCell ref="Y7:Z7"/>
    <mergeCell ref="R4:S6"/>
    <mergeCell ref="AC4:AC6"/>
    <mergeCell ref="C4:D4"/>
    <mergeCell ref="E4:F4"/>
    <mergeCell ref="G4:H4"/>
    <mergeCell ref="I4:J4"/>
    <mergeCell ref="P4:Q6"/>
    <mergeCell ref="T4:U6"/>
    <mergeCell ref="V4:W6"/>
    <mergeCell ref="I6:J6"/>
    <mergeCell ref="Y4:Z6"/>
    <mergeCell ref="C5:D5"/>
    <mergeCell ref="C6:D6"/>
    <mergeCell ref="E6:F6"/>
    <mergeCell ref="G6:H6"/>
    <mergeCell ref="E5:F5"/>
    <mergeCell ref="I5:J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c r="A5" s="358"/>
      <c r="B5" s="359"/>
      <c r="C5" s="3731" t="s">
        <v>1673</v>
      </c>
      <c r="D5" s="3732"/>
      <c r="E5" s="3738" t="s">
        <v>1674</v>
      </c>
      <c r="F5" s="3739"/>
      <c r="G5" s="3731" t="s">
        <v>1675</v>
      </c>
      <c r="H5" s="3732"/>
      <c r="I5" s="3731" t="s">
        <v>1676</v>
      </c>
      <c r="J5" s="3732"/>
      <c r="K5" s="559"/>
      <c r="L5" s="2714"/>
      <c r="M5" s="2715"/>
      <c r="N5" s="2715"/>
      <c r="O5" s="2715"/>
      <c r="P5" s="3718"/>
      <c r="Q5" s="3719"/>
      <c r="R5" s="3724"/>
      <c r="S5" s="3725"/>
      <c r="T5" s="3724"/>
      <c r="U5" s="3725"/>
      <c r="V5" s="3728"/>
      <c r="W5" s="3728"/>
      <c r="X5" s="1355"/>
      <c r="Y5" s="3724"/>
      <c r="Z5" s="3725"/>
      <c r="AA5" s="3710"/>
      <c r="AB5" s="3710"/>
      <c r="AC5" s="3710"/>
    </row>
    <row r="6" spans="1:29" ht="15" thickBot="1">
      <c r="A6" s="360"/>
      <c r="B6" s="361"/>
      <c r="C6" s="3729" t="s">
        <v>1677</v>
      </c>
      <c r="D6" s="3730"/>
      <c r="E6" s="3736" t="s">
        <v>1677</v>
      </c>
      <c r="F6" s="3737"/>
      <c r="G6" s="3729" t="s">
        <v>1677</v>
      </c>
      <c r="H6" s="3730"/>
      <c r="I6" s="3729" t="s">
        <v>1677</v>
      </c>
      <c r="J6" s="3730"/>
      <c r="K6" s="559" t="s">
        <v>1678</v>
      </c>
      <c r="L6" s="2714"/>
      <c r="M6" s="2715"/>
      <c r="N6" s="2715"/>
      <c r="O6" s="2715"/>
      <c r="P6" s="3720"/>
      <c r="Q6" s="3721"/>
      <c r="R6" s="3724"/>
      <c r="S6" s="3725"/>
      <c r="T6" s="3726"/>
      <c r="U6" s="3727"/>
      <c r="V6" s="3728"/>
      <c r="W6" s="3728"/>
      <c r="X6" s="1355"/>
      <c r="Y6" s="3726"/>
      <c r="Z6" s="3727"/>
      <c r="AA6" s="3711"/>
      <c r="AB6" s="3711"/>
      <c r="AC6" s="3711"/>
    </row>
    <row r="7" spans="1:29" s="108" customFormat="1" ht="15" thickBot="1">
      <c r="A7" s="362" t="s">
        <v>1679</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0"/>
      <c r="Q15" s="1352"/>
      <c r="R15" s="705"/>
      <c r="S15" s="706"/>
      <c r="T15" s="705"/>
      <c r="U15" s="706"/>
      <c r="V15" s="705"/>
      <c r="W15" s="706"/>
      <c r="X15" s="1355"/>
      <c r="Y15" s="370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0"/>
      <c r="Q17" s="1352"/>
      <c r="R17" s="705"/>
      <c r="S17" s="706"/>
      <c r="T17" s="705"/>
      <c r="U17" s="706"/>
      <c r="V17" s="705"/>
      <c r="W17" s="706"/>
      <c r="X17" s="1355"/>
      <c r="Y17" s="370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0"/>
      <c r="Q19" s="1352"/>
      <c r="R19" s="705"/>
      <c r="S19" s="706"/>
      <c r="T19" s="705"/>
      <c r="U19" s="706"/>
      <c r="V19" s="705"/>
      <c r="W19" s="706"/>
      <c r="X19" s="1355"/>
      <c r="Y19" s="370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94" t="str">
        <f>A37</f>
        <v>估价对象XX用房的比较价值（楼面单价，元/平方米）</v>
      </c>
      <c r="Q37" s="3695"/>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c r="A5" s="358"/>
      <c r="B5" s="359"/>
      <c r="C5" s="3731" t="s">
        <v>1673</v>
      </c>
      <c r="D5" s="3732"/>
      <c r="E5" s="3738" t="s">
        <v>1674</v>
      </c>
      <c r="F5" s="3739"/>
      <c r="G5" s="3731" t="s">
        <v>1675</v>
      </c>
      <c r="H5" s="3732"/>
      <c r="I5" s="3731" t="s">
        <v>1676</v>
      </c>
      <c r="J5" s="3732"/>
      <c r="K5" s="559"/>
      <c r="L5" s="2714"/>
      <c r="M5" s="2715"/>
      <c r="N5" s="2715"/>
      <c r="O5" s="2715"/>
      <c r="P5" s="3718"/>
      <c r="Q5" s="3719"/>
      <c r="R5" s="3724"/>
      <c r="S5" s="3725"/>
      <c r="T5" s="3724"/>
      <c r="U5" s="3725"/>
      <c r="V5" s="3728"/>
      <c r="W5" s="3728"/>
      <c r="X5" s="1355"/>
      <c r="Y5" s="3724"/>
      <c r="Z5" s="3725"/>
      <c r="AA5" s="3710"/>
      <c r="AB5" s="3710"/>
      <c r="AC5" s="3710"/>
    </row>
    <row r="6" spans="1:30" ht="15" thickBot="1">
      <c r="A6" s="360"/>
      <c r="B6" s="361"/>
      <c r="C6" s="3729" t="s">
        <v>1677</v>
      </c>
      <c r="D6" s="3730"/>
      <c r="E6" s="3736" t="s">
        <v>1677</v>
      </c>
      <c r="F6" s="3737"/>
      <c r="G6" s="3729" t="s">
        <v>1677</v>
      </c>
      <c r="H6" s="3730"/>
      <c r="I6" s="3729" t="s">
        <v>1677</v>
      </c>
      <c r="J6" s="3730"/>
      <c r="K6" s="559" t="s">
        <v>1678</v>
      </c>
      <c r="L6" s="2714"/>
      <c r="M6" s="2715"/>
      <c r="N6" s="2715"/>
      <c r="O6" s="2715"/>
      <c r="P6" s="3720"/>
      <c r="Q6" s="3721"/>
      <c r="R6" s="3724"/>
      <c r="S6" s="3725"/>
      <c r="T6" s="3726"/>
      <c r="U6" s="3727"/>
      <c r="V6" s="3728"/>
      <c r="W6" s="3728"/>
      <c r="X6" s="1355"/>
      <c r="Y6" s="3726"/>
      <c r="Z6" s="3727"/>
      <c r="AA6" s="3711"/>
      <c r="AB6" s="3711"/>
      <c r="AC6" s="3711"/>
    </row>
    <row r="7" spans="1:30" s="108" customFormat="1" ht="15" thickBot="1">
      <c r="A7" s="362" t="s">
        <v>1679</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7"/>
      <c r="Q10" s="1343" t="str">
        <f t="shared" si="6"/>
        <v>土地使用年限（年）</v>
      </c>
      <c r="R10" s="701" t="s">
        <v>14</v>
      </c>
      <c r="S10" s="702" t="e">
        <f t="shared" si="0"/>
        <v>#DIV/0!</v>
      </c>
      <c r="T10" s="701" t="s">
        <v>14</v>
      </c>
      <c r="U10" s="702" t="e">
        <f t="shared" si="1"/>
        <v>#DIV/0!</v>
      </c>
      <c r="V10" s="701" t="s">
        <v>14</v>
      </c>
      <c r="W10" s="702" t="e">
        <f t="shared" si="2"/>
        <v>#DIV/0!</v>
      </c>
      <c r="X10" s="703"/>
      <c r="Y10" s="357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7"/>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0"/>
      <c r="Q20" s="1352"/>
      <c r="R20" s="705"/>
      <c r="S20" s="706"/>
      <c r="T20" s="705"/>
      <c r="U20" s="706"/>
      <c r="V20" s="705"/>
      <c r="W20" s="706"/>
      <c r="X20" s="1355"/>
      <c r="Y20" s="370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0"/>
      <c r="Q24" s="1352"/>
      <c r="R24" s="705"/>
      <c r="S24" s="706"/>
      <c r="T24" s="705"/>
      <c r="U24" s="706"/>
      <c r="V24" s="705"/>
      <c r="W24" s="706"/>
      <c r="X24" s="1355"/>
      <c r="Y24" s="370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0"/>
      <c r="Q26" s="1352"/>
      <c r="R26" s="705"/>
      <c r="S26" s="706"/>
      <c r="T26" s="705"/>
      <c r="U26" s="706"/>
      <c r="V26" s="705"/>
      <c r="W26" s="706"/>
      <c r="X26" s="1355"/>
      <c r="Y26" s="370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00"/>
      <c r="Q28" s="1343"/>
      <c r="R28" s="701"/>
      <c r="S28" s="702"/>
      <c r="T28" s="701"/>
      <c r="U28" s="702"/>
      <c r="V28" s="701"/>
      <c r="W28" s="702"/>
      <c r="X28" s="703"/>
      <c r="Y28" s="370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7"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3"/>
      <c r="M46" s="2724"/>
      <c r="N46" s="2715"/>
      <c r="O46" s="2724"/>
      <c r="P46" s="3697" t="str">
        <f>A46</f>
        <v>成交单价</v>
      </c>
      <c r="Q46" s="3697"/>
      <c r="R46" s="3728">
        <f>E46</f>
        <v>0</v>
      </c>
      <c r="S46" s="3728"/>
      <c r="T46" s="3728">
        <f>G46</f>
        <v>0</v>
      </c>
      <c r="U46" s="3728"/>
      <c r="V46" s="3728">
        <f>I46</f>
        <v>0</v>
      </c>
      <c r="W46" s="3728"/>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7" t="str">
        <f>A47</f>
        <v>比较价值（元/平方米）</v>
      </c>
      <c r="Q47" s="3697"/>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4" t="str">
        <f>A48</f>
        <v>估价对象XX用房的比较价值（楼面单价，元/平方米）</v>
      </c>
      <c r="Q48" s="3695"/>
      <c r="R48" s="3764" t="e">
        <f>ROUND(IF(D47="简单平均",AVERAGE(R47:W47),R47*F47+T47*H47+V47*J47),0)</f>
        <v>#DIV/0!</v>
      </c>
      <c r="S48" s="3764"/>
      <c r="T48" s="3764"/>
      <c r="U48" s="3764"/>
      <c r="V48" s="3764"/>
      <c r="W48" s="376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12" t="s">
        <v>1887</v>
      </c>
      <c r="H55" s="376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8234.93</v>
      </c>
      <c r="F56" s="886" t="e">
        <f t="shared" ref="F56:F64" si="15">ROUND(B56*E56/10000,0)</f>
        <v>#DIV/0!</v>
      </c>
      <c r="G56" s="3708"/>
      <c r="H56" s="369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55835.09</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64070.02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c r="A5" s="358"/>
      <c r="B5" s="359"/>
      <c r="C5" s="3731" t="s">
        <v>1673</v>
      </c>
      <c r="D5" s="3732"/>
      <c r="E5" s="3738" t="s">
        <v>1674</v>
      </c>
      <c r="F5" s="3739"/>
      <c r="G5" s="3731" t="s">
        <v>1675</v>
      </c>
      <c r="H5" s="3732"/>
      <c r="I5" s="3731" t="s">
        <v>1676</v>
      </c>
      <c r="J5" s="3732"/>
      <c r="K5" s="559"/>
      <c r="L5" s="2714"/>
      <c r="M5" s="2715"/>
      <c r="N5" s="2715"/>
      <c r="O5" s="2715"/>
      <c r="P5" s="3718"/>
      <c r="Q5" s="3719"/>
      <c r="R5" s="3724"/>
      <c r="S5" s="3725"/>
      <c r="T5" s="3724"/>
      <c r="U5" s="3725"/>
      <c r="V5" s="3728"/>
      <c r="W5" s="3728"/>
      <c r="X5" s="1355"/>
      <c r="Y5" s="3724"/>
      <c r="Z5" s="3725"/>
      <c r="AA5" s="3710"/>
      <c r="AB5" s="3710"/>
      <c r="AC5" s="3710"/>
    </row>
    <row r="6" spans="1:29" ht="15" thickBot="1">
      <c r="A6" s="360"/>
      <c r="B6" s="361"/>
      <c r="C6" s="3766" t="s">
        <v>1919</v>
      </c>
      <c r="D6" s="3767"/>
      <c r="E6" s="3768" t="s">
        <v>1919</v>
      </c>
      <c r="F6" s="3769"/>
      <c r="G6" s="3766" t="s">
        <v>1919</v>
      </c>
      <c r="H6" s="3767"/>
      <c r="I6" s="3766" t="s">
        <v>1919</v>
      </c>
      <c r="J6" s="3767"/>
      <c r="K6" s="559" t="s">
        <v>1678</v>
      </c>
      <c r="L6" s="2714"/>
      <c r="M6" s="2715"/>
      <c r="N6" s="2715"/>
      <c r="O6" s="2715"/>
      <c r="P6" s="3720"/>
      <c r="Q6" s="3721"/>
      <c r="R6" s="3724"/>
      <c r="S6" s="3725"/>
      <c r="T6" s="3726"/>
      <c r="U6" s="3727"/>
      <c r="V6" s="3728"/>
      <c r="W6" s="3728"/>
      <c r="X6" s="1355"/>
      <c r="Y6" s="3726"/>
      <c r="Z6" s="3727"/>
      <c r="AA6" s="3711"/>
      <c r="AB6" s="3711"/>
      <c r="AC6" s="3711"/>
    </row>
    <row r="7" spans="1:29" s="108" customFormat="1" ht="15" thickBot="1">
      <c r="A7" s="362" t="s">
        <v>1679</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7"/>
      <c r="Q10" s="1343" t="str">
        <f t="shared" si="6"/>
        <v>土地使用年限（年）</v>
      </c>
      <c r="R10" s="701" t="s">
        <v>14</v>
      </c>
      <c r="S10" s="702" t="e">
        <f t="shared" si="0"/>
        <v>#DIV/0!</v>
      </c>
      <c r="T10" s="701" t="s">
        <v>14</v>
      </c>
      <c r="U10" s="702" t="e">
        <f t="shared" si="1"/>
        <v>#DIV/0!</v>
      </c>
      <c r="V10" s="701" t="s">
        <v>14</v>
      </c>
      <c r="W10" s="702" t="e">
        <f t="shared" si="2"/>
        <v>#DIV/0!</v>
      </c>
      <c r="X10" s="703"/>
      <c r="Y10" s="357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0"/>
      <c r="Q20" s="1352"/>
      <c r="R20" s="705"/>
      <c r="S20" s="706"/>
      <c r="T20" s="705"/>
      <c r="U20" s="706"/>
      <c r="V20" s="705"/>
      <c r="W20" s="706"/>
      <c r="X20" s="1355"/>
      <c r="Y20" s="370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00"/>
      <c r="Q24" s="1343"/>
      <c r="R24" s="701"/>
      <c r="S24" s="702"/>
      <c r="T24" s="701"/>
      <c r="U24" s="702"/>
      <c r="V24" s="701"/>
      <c r="W24" s="702"/>
      <c r="X24" s="703"/>
      <c r="Y24" s="370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7"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3"/>
      <c r="M41" s="2715"/>
      <c r="N41" s="2715"/>
      <c r="O41" s="2724"/>
      <c r="P41" s="3697" t="str">
        <f>A41</f>
        <v>成交单价</v>
      </c>
      <c r="Q41" s="3697"/>
      <c r="R41" s="3728">
        <f>E41</f>
        <v>0</v>
      </c>
      <c r="S41" s="3728"/>
      <c r="T41" s="3728">
        <f>G41</f>
        <v>0</v>
      </c>
      <c r="U41" s="3728"/>
      <c r="V41" s="3728">
        <f>I41</f>
        <v>0</v>
      </c>
      <c r="W41" s="3728"/>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7" t="str">
        <f>A42</f>
        <v>比较价值（元/平方米）</v>
      </c>
      <c r="Q42" s="3697"/>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4" t="str">
        <f>A43</f>
        <v>估价对象XX用房的比较价值（楼面单价，元/平方米）</v>
      </c>
      <c r="Q43" s="3695"/>
      <c r="R43" s="3764" t="e">
        <f>ROUND(IF(D42="简单平均",AVERAGE(R42:W42),R42*F42+T42*H42+V42*J42),0)</f>
        <v>#DIV/0!</v>
      </c>
      <c r="S43" s="3764"/>
      <c r="T43" s="3764"/>
      <c r="U43" s="3764"/>
      <c r="V43" s="3764"/>
      <c r="W43" s="376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712" t="s">
        <v>1887</v>
      </c>
      <c r="H50" s="3765"/>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8234.93</v>
      </c>
      <c r="F51" s="639" t="e">
        <f t="shared" ref="F51:F60" si="15">ROUND(B51*E51/10000,0)</f>
        <v>#DIV/0!</v>
      </c>
      <c r="G51" s="3708"/>
      <c r="H51" s="369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55835.09</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2"/>
      <c r="G1" s="2792"/>
      <c r="H1" s="2792"/>
      <c r="I1" s="2792"/>
      <c r="J1" s="2792"/>
      <c r="K1" s="2792"/>
      <c r="L1" s="2792"/>
      <c r="M1" s="2792"/>
      <c r="N1" s="2792"/>
      <c r="O1" s="2792"/>
      <c r="P1" s="2792"/>
    </row>
    <row r="2" spans="1:16" ht="15.6">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6">
      <c r="A3" s="2144" t="s">
        <v>2076</v>
      </c>
      <c r="B3" s="2601" t="e">
        <f ca="1">ROUND(B2*10000/E2,0)</f>
        <v>#DIV/0!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K37" sqref="K37"/>
    </sheetView>
  </sheetViews>
  <sheetFormatPr defaultRowHeight="14.4"/>
  <sheetData>
    <row r="1" spans="1:8">
      <c r="A1" s="3456"/>
      <c r="B1" s="3458" t="s">
        <v>3445</v>
      </c>
      <c r="C1" s="3458" t="s">
        <v>3446</v>
      </c>
      <c r="D1" s="3458" t="s">
        <v>3447</v>
      </c>
      <c r="E1" s="3458" t="s">
        <v>3448</v>
      </c>
      <c r="F1" s="3458" t="s">
        <v>3444</v>
      </c>
      <c r="G1" s="3458" t="s">
        <v>3449</v>
      </c>
      <c r="H1" s="3458" t="s">
        <v>3450</v>
      </c>
    </row>
    <row r="2" spans="1:8">
      <c r="A2" s="3458" t="s">
        <v>3451</v>
      </c>
      <c r="B2" s="3461" t="s">
        <v>3452</v>
      </c>
      <c r="C2" s="3456"/>
      <c r="D2" s="3458">
        <v>34.14</v>
      </c>
      <c r="E2" s="3458">
        <v>42000</v>
      </c>
      <c r="F2" s="3458">
        <v>148957</v>
      </c>
      <c r="G2" s="3460">
        <v>4363.1224370240188</v>
      </c>
      <c r="H2" s="3459">
        <v>0.10388386754819093</v>
      </c>
    </row>
    <row r="3" spans="1:8">
      <c r="A3" s="3458" t="s">
        <v>3453</v>
      </c>
      <c r="B3" s="3461" t="s">
        <v>3454</v>
      </c>
      <c r="C3" s="3458">
        <v>2023.8</v>
      </c>
      <c r="D3" s="3458">
        <v>35</v>
      </c>
      <c r="E3" s="3458">
        <v>37000</v>
      </c>
      <c r="F3" s="3458">
        <v>126700</v>
      </c>
      <c r="G3" s="3460">
        <v>3620</v>
      </c>
      <c r="H3" s="3459">
        <v>9.7837837837837838E-2</v>
      </c>
    </row>
    <row r="4" spans="1:8">
      <c r="A4" s="3458" t="s">
        <v>3455</v>
      </c>
      <c r="B4" s="3461" t="s">
        <v>3454</v>
      </c>
      <c r="C4" s="3458">
        <v>2023.4</v>
      </c>
      <c r="D4" s="3458">
        <v>26.33</v>
      </c>
      <c r="E4" s="3458">
        <v>43000</v>
      </c>
      <c r="F4" s="3458">
        <v>228100</v>
      </c>
      <c r="G4" s="3460">
        <v>8663.1219141663514</v>
      </c>
      <c r="H4" s="3459">
        <v>0.20146795149224073</v>
      </c>
    </row>
    <row r="5" spans="1:8">
      <c r="A5" s="3458" t="s">
        <v>3456</v>
      </c>
      <c r="B5" s="3461" t="s">
        <v>3457</v>
      </c>
      <c r="C5" s="3456"/>
      <c r="D5" s="3458">
        <v>42.6</v>
      </c>
      <c r="E5" s="3458">
        <v>24000</v>
      </c>
      <c r="F5" s="3458">
        <v>160000</v>
      </c>
      <c r="G5" s="3460">
        <v>3755.868544600939</v>
      </c>
      <c r="H5" s="3459">
        <v>0.1564945226917058</v>
      </c>
    </row>
    <row r="6" spans="1:8">
      <c r="A6" s="3458" t="s">
        <v>3458</v>
      </c>
      <c r="B6" s="3461" t="s">
        <v>3459</v>
      </c>
      <c r="C6" s="3456"/>
      <c r="D6" s="3458">
        <v>28.94</v>
      </c>
      <c r="E6" s="3458">
        <v>55630</v>
      </c>
      <c r="F6" s="3458">
        <v>187000</v>
      </c>
      <c r="G6" s="3460">
        <v>6461.6447823082235</v>
      </c>
      <c r="H6" s="3459">
        <v>0.11615395977544893</v>
      </c>
    </row>
    <row r="7" spans="1:8">
      <c r="A7" s="3458" t="s">
        <v>3460</v>
      </c>
      <c r="B7" s="3461" t="s">
        <v>3454</v>
      </c>
      <c r="C7" s="3456"/>
      <c r="D7" s="3458">
        <v>13.52</v>
      </c>
      <c r="E7" s="3458">
        <v>71000</v>
      </c>
      <c r="F7" s="3458">
        <v>280000</v>
      </c>
      <c r="G7" s="3460">
        <v>20710.059171597633</v>
      </c>
      <c r="H7" s="3459">
        <v>0.29169097424785401</v>
      </c>
    </row>
    <row r="8" spans="1:8">
      <c r="A8" s="3458" t="s">
        <v>3461</v>
      </c>
      <c r="B8" s="3461" t="s">
        <v>3462</v>
      </c>
      <c r="C8" s="3456"/>
      <c r="D8" s="3458">
        <v>52.4</v>
      </c>
      <c r="E8" s="3458">
        <v>62000</v>
      </c>
      <c r="F8" s="3458">
        <v>320000</v>
      </c>
      <c r="G8" s="3460">
        <v>6106.8702290076335</v>
      </c>
      <c r="H8" s="3459">
        <v>9.8497906919477962E-2</v>
      </c>
    </row>
    <row r="9" spans="1:8">
      <c r="A9" s="3458" t="s">
        <v>3463</v>
      </c>
      <c r="B9" s="3461" t="s">
        <v>3464</v>
      </c>
      <c r="C9" s="3456"/>
      <c r="D9" s="3458">
        <v>36.229999999999997</v>
      </c>
      <c r="E9" s="3458">
        <v>53000</v>
      </c>
      <c r="F9" s="3458">
        <v>230000</v>
      </c>
      <c r="G9" s="3460">
        <v>6348.3301131658855</v>
      </c>
      <c r="H9" s="3459">
        <v>0.1197798134559601</v>
      </c>
    </row>
    <row r="10" spans="1:8">
      <c r="A10" s="3458" t="s">
        <v>3465</v>
      </c>
      <c r="B10" s="3461" t="s">
        <v>3454</v>
      </c>
      <c r="C10" s="3456"/>
      <c r="D10" s="3458">
        <v>40.090000000000003</v>
      </c>
      <c r="E10" s="3458">
        <v>71000</v>
      </c>
      <c r="F10" s="3458">
        <v>430000</v>
      </c>
      <c r="G10" s="3460">
        <v>10725.866799700672</v>
      </c>
      <c r="H10" s="3459">
        <v>0.15106854647465737</v>
      </c>
    </row>
    <row r="11" spans="1:8">
      <c r="A11" s="3458" t="s">
        <v>3466</v>
      </c>
      <c r="B11" s="3461" t="s">
        <v>3454</v>
      </c>
      <c r="C11" s="3456"/>
      <c r="D11" s="3458">
        <v>32.32</v>
      </c>
      <c r="E11" s="3458">
        <v>80000</v>
      </c>
      <c r="F11" s="3458">
        <v>300000</v>
      </c>
      <c r="G11" s="3460">
        <v>9282.1782178217818</v>
      </c>
      <c r="H11" s="3459">
        <v>0.11602722772277227</v>
      </c>
    </row>
    <row r="12" spans="1:8">
      <c r="A12" s="3458" t="s">
        <v>3467</v>
      </c>
      <c r="B12" s="3461" t="s">
        <v>3462</v>
      </c>
      <c r="C12" s="3456"/>
      <c r="D12" s="3458">
        <v>29.96</v>
      </c>
      <c r="E12" s="3458">
        <v>65000</v>
      </c>
      <c r="F12" s="3458">
        <v>410000</v>
      </c>
      <c r="G12" s="3460">
        <v>13684.913217623498</v>
      </c>
      <c r="H12" s="3459">
        <v>0.21053712642497691</v>
      </c>
    </row>
    <row r="13" spans="1:8">
      <c r="A13" s="3458" t="s">
        <v>3468</v>
      </c>
      <c r="B13" s="3461" t="s">
        <v>3457</v>
      </c>
      <c r="C13" s="3456"/>
      <c r="D13" s="3458">
        <v>31.28</v>
      </c>
      <c r="E13" s="3458">
        <v>71000</v>
      </c>
      <c r="F13" s="3458">
        <v>160000</v>
      </c>
      <c r="G13" s="3460">
        <v>5115.0895140664961</v>
      </c>
      <c r="H13" s="3459">
        <v>7.2043514282626703E-2</v>
      </c>
    </row>
    <row r="14" spans="1:8">
      <c r="A14" s="3458" t="s">
        <v>3469</v>
      </c>
      <c r="B14" s="3461" t="s">
        <v>3470</v>
      </c>
      <c r="C14" s="3456"/>
      <c r="D14" s="3458">
        <v>25.25</v>
      </c>
      <c r="E14" s="3458">
        <v>73000</v>
      </c>
      <c r="F14" s="3458">
        <v>450000</v>
      </c>
      <c r="G14" s="3460">
        <v>17821.782178217822</v>
      </c>
      <c r="H14" s="3459">
        <v>0.24413400244134001</v>
      </c>
    </row>
    <row r="15" spans="1:8">
      <c r="A15" s="3456"/>
      <c r="B15" s="3456"/>
      <c r="C15" s="3456"/>
      <c r="D15" s="3456"/>
      <c r="E15" s="3456"/>
      <c r="F15" s="3456"/>
      <c r="G15" s="3460"/>
      <c r="H15" s="3459"/>
    </row>
    <row r="16" spans="1:8">
      <c r="A16" s="3456"/>
      <c r="B16" s="3456"/>
      <c r="C16" s="3456"/>
      <c r="D16" s="3456"/>
      <c r="E16" s="3456"/>
      <c r="F16" s="3456"/>
      <c r="G16" s="3456"/>
      <c r="H16" s="3459"/>
    </row>
    <row r="19" spans="1:5">
      <c r="A19" s="3457" t="s">
        <v>3471</v>
      </c>
      <c r="B19" s="3457" t="s">
        <v>3472</v>
      </c>
      <c r="C19" s="3457" t="s">
        <v>3473</v>
      </c>
      <c r="D19" s="3457" t="s">
        <v>3447</v>
      </c>
      <c r="E19" s="3457" t="s">
        <v>3474</v>
      </c>
    </row>
    <row r="20" spans="1:5">
      <c r="A20" s="3457" t="s">
        <v>3456</v>
      </c>
      <c r="B20" s="3457" t="s">
        <v>3475</v>
      </c>
      <c r="C20" s="3457">
        <v>-2</v>
      </c>
      <c r="D20" s="3457">
        <v>42.6</v>
      </c>
      <c r="E20" s="3457">
        <v>160000</v>
      </c>
    </row>
    <row r="21" spans="1:5">
      <c r="A21" s="3457" t="s">
        <v>3458</v>
      </c>
      <c r="B21" s="3457" t="s">
        <v>3475</v>
      </c>
      <c r="C21" s="3457">
        <v>-2</v>
      </c>
      <c r="D21" s="3457">
        <v>28.94</v>
      </c>
      <c r="E21" s="3457">
        <v>187000</v>
      </c>
    </row>
    <row r="22" spans="1:5">
      <c r="A22" s="3457" t="s">
        <v>3458</v>
      </c>
      <c r="B22" s="3457" t="s">
        <v>3475</v>
      </c>
      <c r="C22" s="3457">
        <v>-2</v>
      </c>
      <c r="D22" s="3457">
        <v>28.94</v>
      </c>
      <c r="E22" s="3457">
        <v>190000</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1"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83"/>
      <c r="B4" s="3784"/>
      <c r="C4" s="3784"/>
      <c r="D4" s="3785"/>
      <c r="E4" s="3785"/>
      <c r="F4" s="3785"/>
      <c r="G4" s="3785"/>
      <c r="H4" s="3785"/>
      <c r="I4" s="3785"/>
      <c r="J4" s="3786"/>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2"/>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1985</v>
      </c>
      <c r="C14" s="2040"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787" t="s">
        <v>3256</v>
      </c>
      <c r="B20" s="167" t="s">
        <v>1994</v>
      </c>
      <c r="C20" s="3324" t="e">
        <f>ROUND(IF(F21="与级别开发程度一致",0,(G21-E21)/C21),0)</f>
        <v>#DIV/0!</v>
      </c>
      <c r="D20" s="3340" t="s">
        <v>1998</v>
      </c>
      <c r="E20" s="3341"/>
      <c r="F20" s="3793" t="s">
        <v>1995</v>
      </c>
      <c r="G20" s="3794"/>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78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3" t="s">
        <v>2002</v>
      </c>
      <c r="E23" s="761">
        <v>44197</v>
      </c>
      <c r="F23" s="2053" t="s">
        <v>2003</v>
      </c>
      <c r="G23" s="762">
        <f>'数据-取费表'!B2</f>
        <v>45533</v>
      </c>
      <c r="H23" s="3342" t="s">
        <v>3258</v>
      </c>
      <c r="I23" s="3343" t="str">
        <f>IF(H23="季度增幅（自定义）",SUMIF(N25:N28,E2,O25:O28),"")</f>
        <v/>
      </c>
      <c r="J23" s="3445" t="s">
        <v>3257</v>
      </c>
      <c r="K23" s="1125"/>
      <c r="L23" s="2054" t="s">
        <v>2004</v>
      </c>
      <c r="M23" s="1328">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v>
      </c>
      <c r="D24" s="2059" t="s">
        <v>2007</v>
      </c>
      <c r="E24" s="1335">
        <f>存贷款利率!E26/100</f>
        <v>4.3499999999999997E-2</v>
      </c>
      <c r="F24" s="2059" t="s">
        <v>1999</v>
      </c>
      <c r="G24" s="768">
        <f>SUMIF(M30:Q30,E2,M33:Q33)</f>
        <v>5.5E-2</v>
      </c>
      <c r="H24" s="2059" t="s">
        <v>2008</v>
      </c>
      <c r="I24" s="769">
        <f>SUMIF('数据-取费表'!C6:C15,E2,'数据-取费表'!F6:F15)/COUNTIF('数据-取费表'!C6:C15,E2)</f>
        <v>0</v>
      </c>
      <c r="J24" s="770">
        <f>IF(E2="住宅",70,IF(E2="商业",40,50))</f>
        <v>40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3337</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5" t="s">
        <v>2014</v>
      </c>
      <c r="B26" s="2069"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9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9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92"/>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f>IF(E2="商业",SUMIF(L1:L12,G2,N1:N12),"——")</f>
        <v>0</v>
      </c>
      <c r="G50" s="1063"/>
      <c r="H50" s="1066">
        <f t="shared" ref="H50:H58" si="8">IFERROR(ROUNDDOWN($F$50*I50/2,4),"——")</f>
        <v>0</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f t="shared" si="8"/>
        <v>0</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f t="shared" si="8"/>
        <v>0</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f t="shared" si="8"/>
        <v>0</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f t="shared" si="8"/>
        <v>0</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f t="shared" si="8"/>
        <v>0</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f t="shared" si="8"/>
        <v>0</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f t="shared" si="8"/>
        <v>0</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f t="shared" si="8"/>
        <v>0</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9" t="s">
        <v>3296</v>
      </c>
      <c r="B103" s="3789"/>
      <c r="C103" s="3789"/>
      <c r="D103" s="3789"/>
      <c r="E103" s="3789"/>
      <c r="F103" s="3789"/>
      <c r="G103" s="3789"/>
      <c r="H103" s="3789"/>
      <c r="I103" s="3789"/>
      <c r="J103" s="3789"/>
      <c r="K103" s="3389"/>
      <c r="L103" s="3389"/>
      <c r="M103" s="3389"/>
      <c r="N103" s="3389"/>
    </row>
    <row r="104" spans="1:14">
      <c r="A104" s="3790" t="s">
        <v>3297</v>
      </c>
      <c r="B104" s="3790" t="s">
        <v>3298</v>
      </c>
      <c r="C104" s="3390" t="s">
        <v>3299</v>
      </c>
      <c r="D104" s="3391"/>
      <c r="E104" s="3391"/>
      <c r="F104" s="3391"/>
      <c r="G104" s="3391"/>
      <c r="H104" s="3391"/>
      <c r="I104" s="3391"/>
      <c r="J104" s="3392"/>
      <c r="K104" s="3393"/>
      <c r="L104" s="3393"/>
      <c r="M104" s="3393"/>
      <c r="N104" s="3393"/>
    </row>
    <row r="105" spans="1:14">
      <c r="A105" s="3790"/>
      <c r="B105" s="3790"/>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76"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7"/>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9" t="s">
        <v>3313</v>
      </c>
      <c r="B113" s="3779"/>
      <c r="C113" s="3779"/>
      <c r="D113" s="3779"/>
      <c r="E113" s="3779"/>
      <c r="F113" s="3779"/>
      <c r="G113" s="3779"/>
      <c r="H113" s="3779"/>
      <c r="I113" s="3779"/>
      <c r="J113" s="377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t="str">
        <f>E2</f>
        <v>商业</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51" sqref="F51"/>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0</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0</v>
      </c>
      <c r="C5" s="2511">
        <f ca="1">IF(B5=D14,结果表!H102,ROUND(B5*10000/$B$1,0))</f>
        <v>0</v>
      </c>
      <c r="D5" s="2511" t="e">
        <f>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c r="C14" s="2517"/>
      <c r="D14" s="2517"/>
      <c r="E14" s="2517" t="e">
        <f>ROUND(D14*10000/B14,0)</f>
        <v>#DIV/0!</v>
      </c>
      <c r="F14" s="2517" t="e">
        <f>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804" t="s">
        <v>2609</v>
      </c>
      <c r="B20" s="3799" t="s">
        <v>2630</v>
      </c>
      <c r="C20" s="3102" t="s">
        <v>2441</v>
      </c>
      <c r="D20" s="3103"/>
      <c r="E20" s="3104">
        <v>1</v>
      </c>
      <c r="F20" s="3105" t="s">
        <v>2442</v>
      </c>
      <c r="G20" s="3105"/>
    </row>
    <row r="21" spans="1:13" ht="19.5" customHeight="1">
      <c r="A21" s="3805"/>
      <c r="B21" s="3798"/>
      <c r="C21" s="3106" t="s">
        <v>2443</v>
      </c>
      <c r="D21" s="3107"/>
      <c r="E21" s="3108">
        <v>1</v>
      </c>
      <c r="F21" s="3105" t="s">
        <v>2444</v>
      </c>
      <c r="G21" s="3105"/>
    </row>
    <row r="22" spans="1:13" ht="19.5" customHeight="1">
      <c r="A22" s="3805"/>
      <c r="B22" s="3798"/>
      <c r="C22" s="3106" t="s">
        <v>2445</v>
      </c>
      <c r="D22" s="3107"/>
      <c r="E22" s="3108">
        <v>0.9</v>
      </c>
      <c r="F22" s="3105" t="s">
        <v>2446</v>
      </c>
      <c r="G22" s="3105"/>
    </row>
    <row r="23" spans="1:13" ht="19.5" customHeight="1">
      <c r="A23" s="3805"/>
      <c r="B23" s="3798"/>
      <c r="C23" s="3106" t="s">
        <v>2447</v>
      </c>
      <c r="D23" s="3107"/>
      <c r="E23" s="3108">
        <v>0.9</v>
      </c>
      <c r="F23" s="3105" t="s">
        <v>2448</v>
      </c>
      <c r="G23" s="3105"/>
    </row>
    <row r="24" spans="1:13" ht="19.5" customHeight="1">
      <c r="A24" s="3805"/>
      <c r="B24" s="3798"/>
      <c r="C24" s="3106" t="s">
        <v>2449</v>
      </c>
      <c r="D24" s="3107"/>
      <c r="E24" s="3108">
        <v>0.8</v>
      </c>
      <c r="F24" s="3105" t="s">
        <v>2450</v>
      </c>
      <c r="G24" s="3105"/>
    </row>
    <row r="25" spans="1:13" ht="19.5" customHeight="1" thickBot="1">
      <c r="A25" s="3806"/>
      <c r="B25" s="380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801" t="s">
        <v>2633</v>
      </c>
      <c r="B27" s="3799" t="s">
        <v>2614</v>
      </c>
      <c r="C27" s="3102" t="s">
        <v>2454</v>
      </c>
      <c r="D27" s="3103"/>
      <c r="E27" s="3104">
        <v>1</v>
      </c>
      <c r="F27" s="3105" t="s">
        <v>2455</v>
      </c>
      <c r="G27" s="3105"/>
    </row>
    <row r="28" spans="1:13" ht="19.5" customHeight="1">
      <c r="A28" s="3802"/>
      <c r="B28" s="3798"/>
      <c r="C28" s="3106" t="s">
        <v>2456</v>
      </c>
      <c r="D28" s="3107"/>
      <c r="E28" s="3108">
        <v>1</v>
      </c>
      <c r="F28" s="3105" t="s">
        <v>2457</v>
      </c>
      <c r="G28" s="3105"/>
    </row>
    <row r="29" spans="1:13" ht="19.5" customHeight="1">
      <c r="A29" s="3802"/>
      <c r="B29" s="3798"/>
      <c r="C29" s="3106" t="s">
        <v>2458</v>
      </c>
      <c r="D29" s="3107"/>
      <c r="E29" s="3108">
        <v>0.8</v>
      </c>
      <c r="F29" s="3105" t="s">
        <v>2459</v>
      </c>
      <c r="G29" s="3105"/>
    </row>
    <row r="30" spans="1:13" ht="19.5" customHeight="1">
      <c r="A30" s="3802"/>
      <c r="B30" s="3798"/>
      <c r="C30" s="3106" t="s">
        <v>2460</v>
      </c>
      <c r="D30" s="3107"/>
      <c r="E30" s="3108">
        <v>0.8</v>
      </c>
      <c r="F30" s="3105" t="s">
        <v>2461</v>
      </c>
      <c r="G30" s="3105"/>
    </row>
    <row r="31" spans="1:13" ht="19.5" customHeight="1">
      <c r="A31" s="3802"/>
      <c r="B31" s="3798"/>
      <c r="C31" s="3106" t="s">
        <v>2462</v>
      </c>
      <c r="D31" s="3107"/>
      <c r="E31" s="3108">
        <v>0.8</v>
      </c>
      <c r="F31" s="3105" t="s">
        <v>2463</v>
      </c>
      <c r="G31" s="3105"/>
    </row>
    <row r="32" spans="1:13" ht="19.5" customHeight="1">
      <c r="A32" s="3802"/>
      <c r="B32" s="3798"/>
      <c r="C32" s="3106" t="s">
        <v>2464</v>
      </c>
      <c r="D32" s="3107"/>
      <c r="E32" s="3108">
        <v>0.7</v>
      </c>
      <c r="F32" s="3105" t="s">
        <v>2465</v>
      </c>
      <c r="G32" s="3105"/>
    </row>
    <row r="33" spans="1:7" ht="19.5" customHeight="1">
      <c r="A33" s="3802"/>
      <c r="B33" s="3798"/>
      <c r="C33" s="3106" t="s">
        <v>2466</v>
      </c>
      <c r="D33" s="3107"/>
      <c r="E33" s="3108">
        <v>0.8</v>
      </c>
      <c r="F33" s="3105" t="s">
        <v>2467</v>
      </c>
      <c r="G33" s="3105"/>
    </row>
    <row r="34" spans="1:7" ht="19.5" customHeight="1">
      <c r="A34" s="3802"/>
      <c r="B34" s="3798"/>
      <c r="C34" s="3106" t="s">
        <v>2468</v>
      </c>
      <c r="D34" s="3107"/>
      <c r="E34" s="3108">
        <v>0.6</v>
      </c>
      <c r="F34" s="3105" t="s">
        <v>2469</v>
      </c>
      <c r="G34" s="3105"/>
    </row>
    <row r="35" spans="1:7" ht="19.5" customHeight="1">
      <c r="A35" s="3802"/>
      <c r="B35" s="3798"/>
      <c r="C35" s="3106" t="s">
        <v>2470</v>
      </c>
      <c r="D35" s="3107"/>
      <c r="E35" s="3108">
        <v>0.2</v>
      </c>
      <c r="F35" s="3105" t="s">
        <v>2471</v>
      </c>
      <c r="G35" s="3105"/>
    </row>
    <row r="36" spans="1:7" ht="19.5" customHeight="1">
      <c r="A36" s="3802"/>
      <c r="B36" s="3798"/>
      <c r="C36" s="3106" t="s">
        <v>2472</v>
      </c>
      <c r="D36" s="3107"/>
      <c r="E36" s="3108">
        <v>0.2</v>
      </c>
      <c r="F36" s="3105" t="s">
        <v>2473</v>
      </c>
      <c r="G36" s="3105"/>
    </row>
    <row r="37" spans="1:7" ht="19.5" customHeight="1">
      <c r="A37" s="3802"/>
      <c r="B37" s="3796" t="s">
        <v>2634</v>
      </c>
      <c r="C37" s="3106" t="s">
        <v>2474</v>
      </c>
      <c r="D37" s="3107"/>
      <c r="E37" s="3108">
        <v>0.6</v>
      </c>
      <c r="F37" s="3105" t="s">
        <v>2475</v>
      </c>
      <c r="G37" s="3105"/>
    </row>
    <row r="38" spans="1:7" ht="19.5" customHeight="1">
      <c r="A38" s="3802"/>
      <c r="B38" s="3798"/>
      <c r="C38" s="3106" t="s">
        <v>2476</v>
      </c>
      <c r="D38" s="3107"/>
      <c r="E38" s="3108">
        <v>0.6</v>
      </c>
      <c r="F38" s="3105" t="s">
        <v>2477</v>
      </c>
      <c r="G38" s="3105"/>
    </row>
    <row r="39" spans="1:7" ht="19.5" customHeight="1" thickBot="1">
      <c r="A39" s="3803"/>
      <c r="B39" s="380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804" t="s">
        <v>2612</v>
      </c>
      <c r="B41" s="3799" t="s">
        <v>2636</v>
      </c>
      <c r="C41" s="3102" t="s">
        <v>2481</v>
      </c>
      <c r="D41" s="3103"/>
      <c r="E41" s="3104">
        <v>1</v>
      </c>
      <c r="F41" s="3105" t="s">
        <v>2482</v>
      </c>
      <c r="G41" s="3105"/>
    </row>
    <row r="42" spans="1:7" ht="19.5" customHeight="1">
      <c r="A42" s="3805"/>
      <c r="B42" s="3798"/>
      <c r="C42" s="3106" t="s">
        <v>2483</v>
      </c>
      <c r="D42" s="3107"/>
      <c r="E42" s="3108">
        <v>1</v>
      </c>
      <c r="F42" s="3105" t="s">
        <v>2484</v>
      </c>
      <c r="G42" s="3105"/>
    </row>
    <row r="43" spans="1:7" ht="19.5" customHeight="1">
      <c r="A43" s="3805"/>
      <c r="B43" s="3797"/>
      <c r="C43" s="3106" t="s">
        <v>2485</v>
      </c>
      <c r="D43" s="3107"/>
      <c r="E43" s="3108">
        <v>1.5</v>
      </c>
      <c r="F43" s="3105" t="s">
        <v>2486</v>
      </c>
      <c r="G43" s="3105"/>
    </row>
    <row r="44" spans="1:7" ht="19.5" customHeight="1">
      <c r="A44" s="3805"/>
      <c r="B44" s="3117" t="s">
        <v>2637</v>
      </c>
      <c r="C44" s="3106" t="s">
        <v>2638</v>
      </c>
      <c r="D44" s="3107"/>
      <c r="E44" s="3108">
        <v>2</v>
      </c>
      <c r="F44" s="3105" t="s">
        <v>2487</v>
      </c>
      <c r="G44" s="3105"/>
    </row>
    <row r="45" spans="1:7" ht="19.5" customHeight="1">
      <c r="A45" s="3805"/>
      <c r="B45" s="3796" t="s">
        <v>2639</v>
      </c>
      <c r="C45" s="3106" t="s">
        <v>2488</v>
      </c>
      <c r="D45" s="3107"/>
      <c r="E45" s="3108">
        <v>1</v>
      </c>
      <c r="F45" s="3105" t="s">
        <v>2489</v>
      </c>
      <c r="G45" s="3105"/>
    </row>
    <row r="46" spans="1:7" ht="19.5" customHeight="1">
      <c r="A46" s="3805"/>
      <c r="B46" s="3798"/>
      <c r="C46" s="3106" t="s">
        <v>2490</v>
      </c>
      <c r="D46" s="3107"/>
      <c r="E46" s="3108">
        <v>1</v>
      </c>
      <c r="F46" s="3105" t="s">
        <v>2491</v>
      </c>
      <c r="G46" s="3105"/>
    </row>
    <row r="47" spans="1:7" ht="19.5" customHeight="1">
      <c r="A47" s="3805"/>
      <c r="B47" s="3798"/>
      <c r="C47" s="3106" t="s">
        <v>2492</v>
      </c>
      <c r="D47" s="3107"/>
      <c r="E47" s="3108">
        <v>1</v>
      </c>
      <c r="F47" s="3105" t="s">
        <v>2493</v>
      </c>
      <c r="G47" s="3105"/>
    </row>
    <row r="48" spans="1:7" ht="19.5" customHeight="1">
      <c r="A48" s="3805"/>
      <c r="B48" s="3798"/>
      <c r="C48" s="3106" t="s">
        <v>2494</v>
      </c>
      <c r="D48" s="3107"/>
      <c r="E48" s="3108">
        <v>1</v>
      </c>
      <c r="F48" s="3105" t="s">
        <v>2495</v>
      </c>
      <c r="G48" s="3105"/>
    </row>
    <row r="49" spans="1:7" ht="19.5" customHeight="1">
      <c r="A49" s="3805"/>
      <c r="B49" s="3798"/>
      <c r="C49" s="3106" t="s">
        <v>2496</v>
      </c>
      <c r="D49" s="3107"/>
      <c r="E49" s="3108">
        <v>1</v>
      </c>
      <c r="F49" s="3105" t="s">
        <v>2497</v>
      </c>
      <c r="G49" s="3105"/>
    </row>
    <row r="50" spans="1:7" ht="19.5" customHeight="1">
      <c r="A50" s="3805"/>
      <c r="B50" s="3798"/>
      <c r="C50" s="3106" t="s">
        <v>2498</v>
      </c>
      <c r="D50" s="3107"/>
      <c r="E50" s="3108">
        <v>1</v>
      </c>
      <c r="F50" s="3105" t="s">
        <v>2499</v>
      </c>
      <c r="G50" s="3105"/>
    </row>
    <row r="51" spans="1:7" ht="19.5" customHeight="1" thickBot="1">
      <c r="A51" s="3806"/>
      <c r="B51" s="380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96" t="s">
        <v>2653</v>
      </c>
      <c r="C73" s="3091" t="s">
        <v>2654</v>
      </c>
      <c r="D73" s="3091" t="s">
        <v>2655</v>
      </c>
      <c r="E73" s="3117">
        <v>0.2</v>
      </c>
      <c r="F73" s="3117">
        <v>25</v>
      </c>
    </row>
    <row r="74" spans="1:7" ht="24">
      <c r="A74" s="3117">
        <v>2</v>
      </c>
      <c r="B74" s="3798"/>
      <c r="C74" s="3091" t="s">
        <v>2656</v>
      </c>
      <c r="D74" s="3091" t="s">
        <v>2657</v>
      </c>
      <c r="E74" s="3117">
        <v>0.2</v>
      </c>
      <c r="F74" s="3117">
        <v>25</v>
      </c>
    </row>
    <row r="75" spans="1:7" ht="24">
      <c r="A75" s="3117">
        <v>3</v>
      </c>
      <c r="B75" s="3798"/>
      <c r="C75" s="3091" t="s">
        <v>2658</v>
      </c>
      <c r="D75" s="3091" t="s">
        <v>2659</v>
      </c>
      <c r="E75" s="3117">
        <v>0.2</v>
      </c>
      <c r="F75" s="3117">
        <v>25</v>
      </c>
    </row>
    <row r="76" spans="1:7" ht="14.4">
      <c r="A76" s="3117">
        <v>4</v>
      </c>
      <c r="B76" s="3798"/>
      <c r="C76" s="3091" t="s">
        <v>2660</v>
      </c>
      <c r="D76" s="3091" t="s">
        <v>2661</v>
      </c>
      <c r="E76" s="3117">
        <v>0.15</v>
      </c>
      <c r="F76" s="3117">
        <v>20</v>
      </c>
    </row>
    <row r="77" spans="1:7" ht="24">
      <c r="A77" s="3117">
        <v>5</v>
      </c>
      <c r="B77" s="3798"/>
      <c r="C77" s="3091" t="s">
        <v>2662</v>
      </c>
      <c r="D77" s="3091" t="s">
        <v>2663</v>
      </c>
      <c r="E77" s="3117">
        <v>0.15</v>
      </c>
      <c r="F77" s="3117">
        <v>20</v>
      </c>
    </row>
    <row r="78" spans="1:7" ht="24">
      <c r="A78" s="3117">
        <v>6</v>
      </c>
      <c r="B78" s="3798"/>
      <c r="C78" s="3091" t="s">
        <v>2664</v>
      </c>
      <c r="D78" s="3091" t="s">
        <v>2665</v>
      </c>
      <c r="E78" s="3117">
        <v>0.15</v>
      </c>
      <c r="F78" s="3117">
        <v>20</v>
      </c>
    </row>
    <row r="79" spans="1:7" ht="24">
      <c r="A79" s="3117">
        <v>7</v>
      </c>
      <c r="B79" s="3798"/>
      <c r="C79" s="3091" t="s">
        <v>2666</v>
      </c>
      <c r="D79" s="3091" t="s">
        <v>2667</v>
      </c>
      <c r="E79" s="3117">
        <v>0.15</v>
      </c>
      <c r="F79" s="3117">
        <v>20</v>
      </c>
    </row>
    <row r="80" spans="1:7" ht="24">
      <c r="A80" s="3117">
        <v>8</v>
      </c>
      <c r="B80" s="3798"/>
      <c r="C80" s="3091" t="s">
        <v>2668</v>
      </c>
      <c r="D80" s="3091" t="s">
        <v>2669</v>
      </c>
      <c r="E80" s="3117">
        <v>0.1</v>
      </c>
      <c r="F80" s="3117">
        <v>15</v>
      </c>
    </row>
    <row r="81" spans="1:6" ht="24">
      <c r="A81" s="3117">
        <v>9</v>
      </c>
      <c r="B81" s="3798"/>
      <c r="C81" s="3091" t="s">
        <v>2670</v>
      </c>
      <c r="D81" s="3091" t="s">
        <v>2671</v>
      </c>
      <c r="E81" s="3117">
        <v>0.1</v>
      </c>
      <c r="F81" s="3117">
        <v>15</v>
      </c>
    </row>
    <row r="82" spans="1:6" ht="24">
      <c r="A82" s="3117">
        <v>10</v>
      </c>
      <c r="B82" s="3798"/>
      <c r="C82" s="3091" t="s">
        <v>2672</v>
      </c>
      <c r="D82" s="3091" t="s">
        <v>2673</v>
      </c>
      <c r="E82" s="3117">
        <v>0.1</v>
      </c>
      <c r="F82" s="3117">
        <v>15</v>
      </c>
    </row>
    <row r="83" spans="1:6" ht="24">
      <c r="A83" s="3117">
        <v>11</v>
      </c>
      <c r="B83" s="3798"/>
      <c r="C83" s="3091" t="s">
        <v>2674</v>
      </c>
      <c r="D83" s="3091" t="s">
        <v>2675</v>
      </c>
      <c r="E83" s="3117">
        <v>0.1</v>
      </c>
      <c r="F83" s="3117">
        <v>15</v>
      </c>
    </row>
    <row r="84" spans="1:6" ht="24">
      <c r="A84" s="3117">
        <v>12</v>
      </c>
      <c r="B84" s="3798"/>
      <c r="C84" s="3091" t="s">
        <v>2676</v>
      </c>
      <c r="D84" s="3091" t="s">
        <v>2677</v>
      </c>
      <c r="E84" s="3117">
        <v>0.1</v>
      </c>
      <c r="F84" s="3117">
        <v>15</v>
      </c>
    </row>
    <row r="85" spans="1:6" ht="24">
      <c r="A85" s="3117">
        <v>13</v>
      </c>
      <c r="B85" s="3798"/>
      <c r="C85" s="3091" t="s">
        <v>2678</v>
      </c>
      <c r="D85" s="3091" t="s">
        <v>2679</v>
      </c>
      <c r="E85" s="3117">
        <v>0.1</v>
      </c>
      <c r="F85" s="3117">
        <v>15</v>
      </c>
    </row>
    <row r="86" spans="1:6" ht="24">
      <c r="A86" s="3117">
        <v>14</v>
      </c>
      <c r="B86" s="3798"/>
      <c r="C86" s="3091" t="s">
        <v>2680</v>
      </c>
      <c r="D86" s="3091" t="s">
        <v>2681</v>
      </c>
      <c r="E86" s="3117">
        <v>0.1</v>
      </c>
      <c r="F86" s="3117">
        <v>15</v>
      </c>
    </row>
    <row r="87" spans="1:6" ht="24">
      <c r="A87" s="3117">
        <v>15</v>
      </c>
      <c r="B87" s="3798"/>
      <c r="C87" s="3091" t="s">
        <v>2682</v>
      </c>
      <c r="D87" s="3091" t="s">
        <v>2683</v>
      </c>
      <c r="E87" s="3117">
        <v>0.1</v>
      </c>
      <c r="F87" s="3117">
        <v>15</v>
      </c>
    </row>
    <row r="88" spans="1:6" ht="24">
      <c r="A88" s="3117">
        <v>16</v>
      </c>
      <c r="B88" s="3798"/>
      <c r="C88" s="3091" t="s">
        <v>2684</v>
      </c>
      <c r="D88" s="3091" t="s">
        <v>2685</v>
      </c>
      <c r="E88" s="3117">
        <v>0.1</v>
      </c>
      <c r="F88" s="3117">
        <v>15</v>
      </c>
    </row>
    <row r="89" spans="1:6" ht="24">
      <c r="A89" s="3117">
        <v>17</v>
      </c>
      <c r="B89" s="3797"/>
      <c r="C89" s="3091" t="s">
        <v>2686</v>
      </c>
      <c r="D89" s="3091" t="s">
        <v>2687</v>
      </c>
      <c r="E89" s="3117">
        <v>0.1</v>
      </c>
      <c r="F89" s="3117">
        <v>15</v>
      </c>
    </row>
    <row r="90" spans="1:6" ht="14.4">
      <c r="A90" s="3117">
        <v>18</v>
      </c>
      <c r="B90" s="3796" t="s">
        <v>2688</v>
      </c>
      <c r="C90" s="3091" t="s">
        <v>2689</v>
      </c>
      <c r="D90" s="3091" t="s">
        <v>2690</v>
      </c>
      <c r="E90" s="3117">
        <v>0.2</v>
      </c>
      <c r="F90" s="3117">
        <v>25</v>
      </c>
    </row>
    <row r="91" spans="1:6" ht="24">
      <c r="A91" s="3117">
        <v>19</v>
      </c>
      <c r="B91" s="3798"/>
      <c r="C91" s="3091" t="s">
        <v>2691</v>
      </c>
      <c r="D91" s="3091" t="s">
        <v>2692</v>
      </c>
      <c r="E91" s="3117">
        <v>0.2</v>
      </c>
      <c r="F91" s="3117">
        <v>25</v>
      </c>
    </row>
    <row r="92" spans="1:6" ht="14.4">
      <c r="A92" s="3117">
        <v>20</v>
      </c>
      <c r="B92" s="3798"/>
      <c r="C92" s="3091" t="s">
        <v>2693</v>
      </c>
      <c r="D92" s="3091" t="s">
        <v>2694</v>
      </c>
      <c r="E92" s="3117">
        <v>0.15</v>
      </c>
      <c r="F92" s="3117">
        <v>20</v>
      </c>
    </row>
    <row r="93" spans="1:6" ht="24">
      <c r="A93" s="3117">
        <v>21</v>
      </c>
      <c r="B93" s="3798"/>
      <c r="C93" s="3091" t="s">
        <v>2695</v>
      </c>
      <c r="D93" s="3091" t="s">
        <v>2696</v>
      </c>
      <c r="E93" s="3117">
        <v>0.15</v>
      </c>
      <c r="F93" s="3117">
        <v>20</v>
      </c>
    </row>
    <row r="94" spans="1:6" ht="24">
      <c r="A94" s="3117">
        <v>22</v>
      </c>
      <c r="B94" s="3798"/>
      <c r="C94" s="3091" t="s">
        <v>2697</v>
      </c>
      <c r="D94" s="3091" t="s">
        <v>2698</v>
      </c>
      <c r="E94" s="3117">
        <v>0.15</v>
      </c>
      <c r="F94" s="3117">
        <v>20</v>
      </c>
    </row>
    <row r="95" spans="1:6" ht="36">
      <c r="A95" s="3117">
        <v>23</v>
      </c>
      <c r="B95" s="3798"/>
      <c r="C95" s="3091" t="s">
        <v>2699</v>
      </c>
      <c r="D95" s="3091" t="s">
        <v>2700</v>
      </c>
      <c r="E95" s="3117">
        <v>0.15</v>
      </c>
      <c r="F95" s="3117">
        <v>20</v>
      </c>
    </row>
    <row r="96" spans="1:6" ht="24">
      <c r="A96" s="3117">
        <v>24</v>
      </c>
      <c r="B96" s="3798"/>
      <c r="C96" s="3091" t="s">
        <v>2701</v>
      </c>
      <c r="D96" s="3091" t="s">
        <v>2702</v>
      </c>
      <c r="E96" s="3117">
        <v>0.1</v>
      </c>
      <c r="F96" s="3117">
        <v>15</v>
      </c>
    </row>
    <row r="97" spans="1:6" ht="24">
      <c r="A97" s="3117">
        <v>25</v>
      </c>
      <c r="B97" s="3798"/>
      <c r="C97" s="3091" t="s">
        <v>2703</v>
      </c>
      <c r="D97" s="3091" t="s">
        <v>2704</v>
      </c>
      <c r="E97" s="3117">
        <v>0.1</v>
      </c>
      <c r="F97" s="3117">
        <v>15</v>
      </c>
    </row>
    <row r="98" spans="1:6" ht="24">
      <c r="A98" s="3117">
        <v>26</v>
      </c>
      <c r="B98" s="3798"/>
      <c r="C98" s="3091" t="s">
        <v>2705</v>
      </c>
      <c r="D98" s="3091" t="s">
        <v>2706</v>
      </c>
      <c r="E98" s="3117">
        <v>0.1</v>
      </c>
      <c r="F98" s="3117">
        <v>15</v>
      </c>
    </row>
    <row r="99" spans="1:6" ht="24">
      <c r="A99" s="3117">
        <v>27</v>
      </c>
      <c r="B99" s="3798"/>
      <c r="C99" s="3091" t="s">
        <v>2707</v>
      </c>
      <c r="D99" s="3091" t="s">
        <v>2708</v>
      </c>
      <c r="E99" s="3117">
        <v>0.1</v>
      </c>
      <c r="F99" s="3117">
        <v>15</v>
      </c>
    </row>
    <row r="100" spans="1:6" ht="24">
      <c r="A100" s="3117">
        <v>28</v>
      </c>
      <c r="B100" s="3798"/>
      <c r="C100" s="3091" t="s">
        <v>2709</v>
      </c>
      <c r="D100" s="3091" t="s">
        <v>2710</v>
      </c>
      <c r="E100" s="3117">
        <v>0.1</v>
      </c>
      <c r="F100" s="3117">
        <v>15</v>
      </c>
    </row>
    <row r="101" spans="1:6" ht="24">
      <c r="A101" s="3117">
        <v>29</v>
      </c>
      <c r="B101" s="3798"/>
      <c r="C101" s="3091" t="s">
        <v>2711</v>
      </c>
      <c r="D101" s="3091" t="s">
        <v>2712</v>
      </c>
      <c r="E101" s="3117">
        <v>0.1</v>
      </c>
      <c r="F101" s="3117">
        <v>15</v>
      </c>
    </row>
    <row r="102" spans="1:6" ht="24">
      <c r="A102" s="3117">
        <v>30</v>
      </c>
      <c r="B102" s="3798"/>
      <c r="C102" s="3091" t="s">
        <v>2713</v>
      </c>
      <c r="D102" s="3091" t="s">
        <v>2714</v>
      </c>
      <c r="E102" s="3117">
        <v>0.1</v>
      </c>
      <c r="F102" s="3117">
        <v>15</v>
      </c>
    </row>
    <row r="103" spans="1:6" ht="24">
      <c r="A103" s="3117">
        <v>31</v>
      </c>
      <c r="B103" s="3798"/>
      <c r="C103" s="3091" t="s">
        <v>2715</v>
      </c>
      <c r="D103" s="3091" t="s">
        <v>2716</v>
      </c>
      <c r="E103" s="3117">
        <v>0.1</v>
      </c>
      <c r="F103" s="3117">
        <v>15</v>
      </c>
    </row>
    <row r="104" spans="1:6" ht="24">
      <c r="A104" s="3117">
        <v>32</v>
      </c>
      <c r="B104" s="3798"/>
      <c r="C104" s="3091" t="s">
        <v>2717</v>
      </c>
      <c r="D104" s="3091" t="s">
        <v>2718</v>
      </c>
      <c r="E104" s="3117">
        <v>0.1</v>
      </c>
      <c r="F104" s="3117">
        <v>15</v>
      </c>
    </row>
    <row r="105" spans="1:6" ht="24">
      <c r="A105" s="3117">
        <v>33</v>
      </c>
      <c r="B105" s="3798"/>
      <c r="C105" s="3091" t="s">
        <v>2719</v>
      </c>
      <c r="D105" s="3091" t="s">
        <v>2720</v>
      </c>
      <c r="E105" s="3117">
        <v>0.1</v>
      </c>
      <c r="F105" s="3117">
        <v>15</v>
      </c>
    </row>
    <row r="106" spans="1:6" ht="24">
      <c r="A106" s="3117">
        <v>34</v>
      </c>
      <c r="B106" s="3797"/>
      <c r="C106" s="3091" t="s">
        <v>2721</v>
      </c>
      <c r="D106" s="3091" t="s">
        <v>2722</v>
      </c>
      <c r="E106" s="3117">
        <v>0.1</v>
      </c>
      <c r="F106" s="3117">
        <v>15</v>
      </c>
    </row>
    <row r="107" spans="1:6" ht="36">
      <c r="A107" s="3117">
        <v>35</v>
      </c>
      <c r="B107" s="3796" t="s">
        <v>2723</v>
      </c>
      <c r="C107" s="3117" t="s">
        <v>2724</v>
      </c>
      <c r="D107" s="3091" t="s">
        <v>2725</v>
      </c>
      <c r="E107" s="3117">
        <v>0.15</v>
      </c>
      <c r="F107" s="3117">
        <v>20</v>
      </c>
    </row>
    <row r="108" spans="1:6" ht="24">
      <c r="A108" s="3117">
        <v>36</v>
      </c>
      <c r="B108" s="3798"/>
      <c r="C108" s="3117" t="s">
        <v>2726</v>
      </c>
      <c r="D108" s="3091" t="s">
        <v>2727</v>
      </c>
      <c r="E108" s="3117">
        <v>0.15</v>
      </c>
      <c r="F108" s="3117">
        <v>20</v>
      </c>
    </row>
    <row r="109" spans="1:6" ht="24">
      <c r="A109" s="3117">
        <v>37</v>
      </c>
      <c r="B109" s="3798"/>
      <c r="C109" s="3117" t="s">
        <v>2728</v>
      </c>
      <c r="D109" s="3091" t="s">
        <v>2729</v>
      </c>
      <c r="E109" s="3117">
        <v>0.15</v>
      </c>
      <c r="F109" s="3117">
        <v>20</v>
      </c>
    </row>
    <row r="110" spans="1:6" ht="24">
      <c r="A110" s="3117">
        <v>38</v>
      </c>
      <c r="B110" s="3798"/>
      <c r="C110" s="3117" t="s">
        <v>2730</v>
      </c>
      <c r="D110" s="3091" t="s">
        <v>2731</v>
      </c>
      <c r="E110" s="3117">
        <v>0.1</v>
      </c>
      <c r="F110" s="3117">
        <v>15</v>
      </c>
    </row>
    <row r="111" spans="1:6" ht="24">
      <c r="A111" s="3117">
        <v>39</v>
      </c>
      <c r="B111" s="3798"/>
      <c r="C111" s="3117" t="s">
        <v>2732</v>
      </c>
      <c r="D111" s="3091" t="s">
        <v>2733</v>
      </c>
      <c r="E111" s="3117">
        <v>0.1</v>
      </c>
      <c r="F111" s="3117">
        <v>15</v>
      </c>
    </row>
    <row r="112" spans="1:6" ht="24">
      <c r="A112" s="3117">
        <v>40</v>
      </c>
      <c r="B112" s="3797"/>
      <c r="C112" s="3117" t="s">
        <v>2734</v>
      </c>
      <c r="D112" s="3091" t="s">
        <v>2735</v>
      </c>
      <c r="E112" s="3117">
        <v>0.1</v>
      </c>
      <c r="F112" s="3117">
        <v>15</v>
      </c>
    </row>
    <row r="113" spans="1:6" ht="24">
      <c r="A113" s="3117">
        <v>41</v>
      </c>
      <c r="B113" s="3795" t="s">
        <v>2736</v>
      </c>
      <c r="C113" s="3117" t="s">
        <v>2737</v>
      </c>
      <c r="D113" s="3091" t="s">
        <v>2738</v>
      </c>
      <c r="E113" s="3117">
        <v>0.1</v>
      </c>
      <c r="F113" s="3117">
        <v>15</v>
      </c>
    </row>
    <row r="114" spans="1:6" ht="24">
      <c r="A114" s="3117">
        <v>42</v>
      </c>
      <c r="B114" s="3795"/>
      <c r="C114" s="3117" t="s">
        <v>2739</v>
      </c>
      <c r="D114" s="3091" t="s">
        <v>2740</v>
      </c>
      <c r="E114" s="3117">
        <v>0.1</v>
      </c>
      <c r="F114" s="3117">
        <v>15</v>
      </c>
    </row>
    <row r="115" spans="1:6" ht="24">
      <c r="A115" s="3117">
        <v>43</v>
      </c>
      <c r="B115" s="3795"/>
      <c r="C115" s="3117" t="s">
        <v>2741</v>
      </c>
      <c r="D115" s="3091" t="s">
        <v>2742</v>
      </c>
      <c r="E115" s="3117">
        <v>0.1</v>
      </c>
      <c r="F115" s="3117">
        <v>15</v>
      </c>
    </row>
    <row r="116" spans="1:6" ht="24">
      <c r="A116" s="3117">
        <v>44</v>
      </c>
      <c r="B116" s="3796" t="s">
        <v>2743</v>
      </c>
      <c r="C116" s="3117" t="s">
        <v>2744</v>
      </c>
      <c r="D116" s="3091" t="s">
        <v>2745</v>
      </c>
      <c r="E116" s="3117">
        <v>0.1</v>
      </c>
      <c r="F116" s="3117">
        <v>15</v>
      </c>
    </row>
    <row r="117" spans="1:6" ht="24">
      <c r="A117" s="3117">
        <v>45</v>
      </c>
      <c r="B117" s="3797"/>
      <c r="C117" s="3091" t="s">
        <v>2746</v>
      </c>
      <c r="D117" s="3091" t="s">
        <v>2747</v>
      </c>
      <c r="E117" s="3117">
        <v>0.1</v>
      </c>
      <c r="F117" s="3117">
        <v>15</v>
      </c>
    </row>
    <row r="118" spans="1:6" ht="24">
      <c r="A118" s="3117">
        <v>46</v>
      </c>
      <c r="B118" s="3796" t="s">
        <v>2748</v>
      </c>
      <c r="C118" s="3117" t="s">
        <v>2749</v>
      </c>
      <c r="D118" s="3091" t="s">
        <v>2750</v>
      </c>
      <c r="E118" s="3117">
        <v>0.1</v>
      </c>
      <c r="F118" s="3117">
        <v>15</v>
      </c>
    </row>
    <row r="119" spans="1:6" ht="24">
      <c r="A119" s="3117">
        <v>47</v>
      </c>
      <c r="B119" s="3797"/>
      <c r="C119" s="3117" t="s">
        <v>2751</v>
      </c>
      <c r="D119" s="3091" t="s">
        <v>2752</v>
      </c>
      <c r="E119" s="3117">
        <v>0.1</v>
      </c>
      <c r="F119" s="3117">
        <v>15</v>
      </c>
    </row>
    <row r="120" spans="1:6" ht="24">
      <c r="A120" s="3117">
        <v>48</v>
      </c>
      <c r="B120" s="3796" t="s">
        <v>2753</v>
      </c>
      <c r="C120" s="3117" t="s">
        <v>2754</v>
      </c>
      <c r="D120" s="3091" t="s">
        <v>2755</v>
      </c>
      <c r="E120" s="3117">
        <v>0.1</v>
      </c>
      <c r="F120" s="3117">
        <v>15</v>
      </c>
    </row>
    <row r="121" spans="1:6" ht="24">
      <c r="A121" s="3117">
        <v>49</v>
      </c>
      <c r="B121" s="3797"/>
      <c r="C121" s="3117" t="s">
        <v>2756</v>
      </c>
      <c r="D121" s="3091" t="s">
        <v>2757</v>
      </c>
      <c r="E121" s="3117">
        <v>0.1</v>
      </c>
      <c r="F121" s="3117">
        <v>15</v>
      </c>
    </row>
    <row r="122" spans="1:6" ht="24">
      <c r="A122" s="3117">
        <v>50</v>
      </c>
      <c r="B122" s="3795" t="s">
        <v>2758</v>
      </c>
      <c r="C122" s="3117" t="s">
        <v>2759</v>
      </c>
      <c r="D122" s="3091" t="s">
        <v>2760</v>
      </c>
      <c r="E122" s="3117">
        <v>0.1</v>
      </c>
      <c r="F122" s="3117">
        <v>15</v>
      </c>
    </row>
    <row r="123" spans="1:6" ht="24">
      <c r="A123" s="3117">
        <v>51</v>
      </c>
      <c r="B123" s="3795"/>
      <c r="C123" s="3117" t="s">
        <v>2761</v>
      </c>
      <c r="D123" s="3091" t="s">
        <v>2762</v>
      </c>
      <c r="E123" s="3117">
        <v>0.1</v>
      </c>
      <c r="F123" s="3117">
        <v>15</v>
      </c>
    </row>
    <row r="124" spans="1:6" ht="24">
      <c r="A124" s="3117">
        <v>52</v>
      </c>
      <c r="B124" s="3795" t="s">
        <v>2763</v>
      </c>
      <c r="C124" s="3117" t="s">
        <v>2764</v>
      </c>
      <c r="D124" s="3091" t="s">
        <v>2765</v>
      </c>
      <c r="E124" s="3117">
        <v>0.1</v>
      </c>
      <c r="F124" s="3117">
        <v>15</v>
      </c>
    </row>
    <row r="125" spans="1:6" ht="24">
      <c r="A125" s="3117">
        <v>53</v>
      </c>
      <c r="B125" s="3795"/>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95" t="s">
        <v>2771</v>
      </c>
      <c r="C127" s="3117" t="s">
        <v>2772</v>
      </c>
      <c r="D127" s="3091" t="s">
        <v>2773</v>
      </c>
      <c r="E127" s="3117">
        <v>0.1</v>
      </c>
      <c r="F127" s="3117">
        <v>15</v>
      </c>
    </row>
    <row r="128" spans="1:6" ht="24">
      <c r="A128" s="3117">
        <v>56</v>
      </c>
      <c r="B128" s="3795"/>
      <c r="C128" s="3117" t="s">
        <v>2774</v>
      </c>
      <c r="D128" s="3091" t="s">
        <v>2775</v>
      </c>
      <c r="E128" s="3117">
        <v>0.1</v>
      </c>
      <c r="F128" s="3117">
        <v>15</v>
      </c>
    </row>
    <row r="129" spans="1:6" ht="24">
      <c r="A129" s="3117">
        <v>57</v>
      </c>
      <c r="B129" s="3795"/>
      <c r="C129" s="3117" t="s">
        <v>2776</v>
      </c>
      <c r="D129" s="3091" t="s">
        <v>2777</v>
      </c>
      <c r="E129" s="3117">
        <v>0.1</v>
      </c>
      <c r="F129" s="3117">
        <v>15</v>
      </c>
    </row>
    <row r="130" spans="1:6" ht="24">
      <c r="A130" s="3117">
        <v>58</v>
      </c>
      <c r="B130" s="3795" t="s">
        <v>2778</v>
      </c>
      <c r="C130" s="3117" t="s">
        <v>2779</v>
      </c>
      <c r="D130" s="3091" t="s">
        <v>2780</v>
      </c>
      <c r="E130" s="3117">
        <v>0.1</v>
      </c>
      <c r="F130" s="3117">
        <v>15</v>
      </c>
    </row>
    <row r="131" spans="1:6" ht="24">
      <c r="A131" s="3117">
        <v>59</v>
      </c>
      <c r="B131" s="3795"/>
      <c r="C131" s="3117" t="s">
        <v>2781</v>
      </c>
      <c r="D131" s="3091" t="s">
        <v>2782</v>
      </c>
      <c r="E131" s="3117">
        <v>0.1</v>
      </c>
      <c r="F131" s="3117">
        <v>15</v>
      </c>
    </row>
    <row r="132" spans="1:6" ht="24">
      <c r="A132" s="3117">
        <v>60</v>
      </c>
      <c r="B132" s="3796" t="s">
        <v>2783</v>
      </c>
      <c r="C132" s="3117" t="s">
        <v>2784</v>
      </c>
      <c r="D132" s="3091" t="s">
        <v>2785</v>
      </c>
      <c r="E132" s="3117">
        <v>0.1</v>
      </c>
      <c r="F132" s="3117">
        <v>15</v>
      </c>
    </row>
    <row r="133" spans="1:6" ht="24">
      <c r="A133" s="3117">
        <v>61</v>
      </c>
      <c r="B133" s="379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95" t="s">
        <v>2791</v>
      </c>
      <c r="C135" s="3117" t="s">
        <v>2792</v>
      </c>
      <c r="D135" s="3091" t="s">
        <v>2793</v>
      </c>
      <c r="E135" s="3117">
        <v>0.1</v>
      </c>
      <c r="F135" s="3117">
        <v>15</v>
      </c>
    </row>
    <row r="136" spans="1:6" ht="24">
      <c r="A136" s="3117">
        <v>64</v>
      </c>
      <c r="B136" s="3795"/>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73129</v>
      </c>
      <c r="C2" s="2" t="s">
        <v>106</v>
      </c>
      <c r="D2" s="199"/>
      <c r="E2" s="199"/>
      <c r="F2" s="199"/>
      <c r="G2" s="199"/>
    </row>
    <row r="3" spans="1:7" s="200" customFormat="1" ht="18" customHeight="1" thickBot="1">
      <c r="A3" s="203" t="s">
        <v>58</v>
      </c>
      <c r="B3" s="204">
        <f ca="1">ROUND(B2*10000/'数据-汇总表'!E3,0)</f>
        <v>7402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1976</v>
      </c>
      <c r="D10" s="845">
        <f>'数据-汇总表'!E6</f>
        <v>98801.98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1976</v>
      </c>
      <c r="D19" s="849">
        <f>'数据-汇总表'!E3</f>
        <v>98801.98</v>
      </c>
      <c r="E19" s="211">
        <f>'数据-取费表'!B31</f>
        <v>200</v>
      </c>
      <c r="F19" s="231"/>
      <c r="G19" s="1" t="s">
        <v>436</v>
      </c>
    </row>
    <row r="20" spans="1:7" s="214" customFormat="1" ht="13.5" customHeight="1">
      <c r="A20" s="777" t="s">
        <v>419</v>
      </c>
      <c r="B20" s="210" t="s">
        <v>77</v>
      </c>
      <c r="C20" s="232">
        <f>ROUND((C5+C19)*F20,0)</f>
        <v>452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2369</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2141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205</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2765</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2765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30513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32951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29641</v>
      </c>
      <c r="D34" s="217"/>
      <c r="E34" s="220"/>
      <c r="F34" s="257">
        <f>IF('数据-取费表'!B24=0,1,'数据-取费表'!N16)</f>
        <v>1</v>
      </c>
      <c r="G34" s="219" t="s">
        <v>89</v>
      </c>
    </row>
    <row r="35" spans="1:7" ht="13.5" customHeight="1">
      <c r="A35" s="780" t="s">
        <v>351</v>
      </c>
      <c r="B35" s="215" t="s">
        <v>33</v>
      </c>
      <c r="C35" s="220">
        <f>ROUND(C34*F35,0)</f>
        <v>889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1976</v>
      </c>
      <c r="D37" s="217">
        <f>'数据-汇总表'!E3</f>
        <v>98801.98</v>
      </c>
      <c r="E37" s="249">
        <f>'数据-取费表'!B35</f>
        <v>200</v>
      </c>
      <c r="F37" s="259"/>
      <c r="G37" s="261" t="s">
        <v>92</v>
      </c>
    </row>
    <row r="38" spans="1:7" ht="13.5" customHeight="1">
      <c r="A38" s="780" t="s">
        <v>354</v>
      </c>
      <c r="B38" s="215" t="s">
        <v>36</v>
      </c>
      <c r="C38" s="220">
        <f>ROUND(C34*F38,0)</f>
        <v>445</v>
      </c>
      <c r="D38" s="220"/>
      <c r="E38" s="220"/>
      <c r="F38" s="259">
        <f>'数据-取费表'!B36</f>
        <v>1.4999999999999999E-2</v>
      </c>
      <c r="G38" s="219" t="s">
        <v>90</v>
      </c>
    </row>
    <row r="39" spans="1:7" s="214" customFormat="1" ht="13.5" customHeight="1">
      <c r="A39" s="777" t="s">
        <v>338</v>
      </c>
      <c r="B39" s="210" t="s">
        <v>77</v>
      </c>
      <c r="C39" s="232">
        <f>ROUND(C33*F20,0)</f>
        <v>659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1703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1670</v>
      </c>
      <c r="D42" s="238"/>
      <c r="E42" s="238"/>
      <c r="F42" s="239"/>
      <c r="G42" s="3665" t="s">
        <v>94</v>
      </c>
    </row>
    <row r="43" spans="1:7" ht="13.5" customHeight="1">
      <c r="A43" s="780" t="s">
        <v>347</v>
      </c>
      <c r="B43" s="215" t="s">
        <v>426</v>
      </c>
      <c r="C43" s="238">
        <f ca="1">ROUND(IF('数据-取费表'!B22&lt;=1,C39*F22*'数据-取费表'!B21/2,C39*(POWER((1+F22),'数据-取费表'!B21/2)-1)),0)</f>
        <v>33</v>
      </c>
      <c r="D43" s="238"/>
      <c r="E43" s="238"/>
      <c r="F43" s="239"/>
      <c r="G43" s="3666"/>
    </row>
    <row r="44" spans="1:7" ht="13.5" customHeight="1">
      <c r="A44" s="780" t="s">
        <v>348</v>
      </c>
      <c r="B44" s="215" t="s">
        <v>428</v>
      </c>
      <c r="C44" s="238">
        <f ca="1">ROUND(IF('数据-取费表'!B22&lt;=1,C40*F22*'数据-取费表'!B21/2,C40*(POWER((1+F22),'数据-取费表'!B21/2)-1)),4)</f>
        <v>1E-3</v>
      </c>
      <c r="D44" s="238"/>
      <c r="E44" s="238"/>
      <c r="F44" s="239"/>
      <c r="G44" s="3667"/>
    </row>
    <row r="45" spans="1:7" s="214" customFormat="1" ht="13.5" customHeight="1">
      <c r="A45" s="777" t="s">
        <v>341</v>
      </c>
      <c r="B45" s="244" t="s">
        <v>85</v>
      </c>
      <c r="C45" s="245">
        <f>C46</f>
        <v>4033</v>
      </c>
      <c r="D45" s="235">
        <f>C47</f>
        <v>2.3999999999999998E-3</v>
      </c>
      <c r="E45" s="236" t="s">
        <v>102</v>
      </c>
      <c r="F45" s="246"/>
      <c r="G45" s="247" t="s">
        <v>434</v>
      </c>
    </row>
    <row r="46" spans="1:7" s="214" customFormat="1" ht="13.5" customHeight="1">
      <c r="A46" s="780" t="s">
        <v>349</v>
      </c>
      <c r="B46" s="248" t="s">
        <v>427</v>
      </c>
      <c r="C46" s="249">
        <f>ROUND((C33+C39)*F27,0)</f>
        <v>4033</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42616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42616</v>
      </c>
      <c r="D51" s="232"/>
      <c r="E51" s="232"/>
      <c r="F51" s="264"/>
      <c r="G51" s="234" t="s">
        <v>37</v>
      </c>
    </row>
    <row r="52" spans="1:7" s="208" customFormat="1" ht="16.8" thickBot="1">
      <c r="A52" s="265" t="s">
        <v>38</v>
      </c>
      <c r="B52" s="266"/>
      <c r="C52" s="267">
        <f ca="1">C31+C51</f>
        <v>73129</v>
      </c>
      <c r="D52" s="266"/>
      <c r="E52" s="266"/>
      <c r="F52" s="266"/>
      <c r="G52" s="268"/>
    </row>
    <row r="55" spans="1:7" ht="15">
      <c r="B55" s="270" t="s">
        <v>39</v>
      </c>
      <c r="C55" s="271"/>
    </row>
    <row r="56" spans="1:7">
      <c r="B56" s="273" t="s">
        <v>40</v>
      </c>
      <c r="C56" s="274">
        <f ca="1">ROUND(C51/C52,3)</f>
        <v>0.58299999999999996</v>
      </c>
    </row>
    <row r="57" spans="1:7">
      <c r="B57" s="273" t="s">
        <v>41</v>
      </c>
      <c r="C57" s="275">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9" t="s">
        <v>2841</v>
      </c>
      <c r="B1" s="3809"/>
      <c r="C1" s="3809"/>
      <c r="D1" s="3809"/>
      <c r="E1" s="3809"/>
      <c r="F1" s="3809"/>
      <c r="G1" s="381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80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80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11" t="s">
        <v>3183</v>
      </c>
      <c r="B1" s="3811"/>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12" t="s">
        <v>3234</v>
      </c>
      <c r="B1" s="3812"/>
      <c r="C1" s="3812"/>
      <c r="D1" s="3812"/>
      <c r="E1" s="3812"/>
      <c r="F1" s="381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3373</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814" t="s">
        <v>2829</v>
      </c>
      <c r="S24" s="3815"/>
      <c r="T24" s="3815"/>
      <c r="U24" s="3815"/>
      <c r="V24" s="3815"/>
      <c r="W24" s="3815"/>
      <c r="X24" s="3164"/>
      <c r="Y24" s="3814" t="s">
        <v>2830</v>
      </c>
      <c r="Z24" s="3815"/>
      <c r="AA24" s="3815"/>
      <c r="AB24" s="3815"/>
      <c r="AC24" s="3815"/>
      <c r="AD24" s="3815"/>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1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1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2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1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1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1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1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1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1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1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1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1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1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1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1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1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1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3</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6">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98801.98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6">
      <c r="A6" s="3495" t="str">
        <f>结果表!A120</f>
        <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6">
      <c r="A8" s="3495" t="str">
        <f>结果表!A122</f>
        <v/>
      </c>
      <c r="B8" s="3495"/>
      <c r="C8" s="3495"/>
      <c r="D8" s="3495" t="e">
        <f ca="1">结果表!D122</f>
        <v>#REF!</v>
      </c>
      <c r="E8" s="3495"/>
      <c r="F8" s="3495"/>
      <c r="G8" s="3495"/>
      <c r="H8" s="3495"/>
      <c r="I8" s="3495"/>
    </row>
    <row r="9" spans="1:9" ht="15">
      <c r="A9" s="3496" t="s">
        <v>927</v>
      </c>
      <c r="B9" s="3496"/>
      <c r="C9" s="3496"/>
      <c r="D9" s="3496" t="e">
        <f ca="1">结果表!D123</f>
        <v>#REF!</v>
      </c>
      <c r="E9" s="3496"/>
      <c r="F9" s="3496"/>
      <c r="G9" s="3496"/>
      <c r="H9" s="3496"/>
      <c r="I9" s="3496"/>
    </row>
    <row r="10" spans="1:9" ht="15.6">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6">
      <c r="A12" s="3495" t="str">
        <f>结果表!A126</f>
        <v/>
      </c>
      <c r="B12" s="3495"/>
      <c r="C12" s="3495"/>
      <c r="D12" s="3495" t="str">
        <f>结果表!D126</f>
        <v>——</v>
      </c>
      <c r="E12" s="3495"/>
      <c r="F12" s="3495"/>
      <c r="G12" s="3495"/>
      <c r="H12" s="3495"/>
      <c r="I12" s="3495"/>
    </row>
    <row r="13" spans="1:9" ht="15.6" thickBot="1">
      <c r="A13" s="3493" t="s">
        <v>927</v>
      </c>
      <c r="B13" s="3493"/>
      <c r="C13" s="3493"/>
      <c r="D13" s="3493" t="e">
        <f>结果表!D127</f>
        <v>#VALUE!</v>
      </c>
      <c r="E13" s="3493"/>
      <c r="F13" s="3493"/>
      <c r="G13" s="3493"/>
      <c r="H13" s="3493"/>
      <c r="I13" s="3493"/>
    </row>
    <row r="14" spans="1:9" ht="14.4" thickTop="1">
      <c r="A14" s="3494" t="s">
        <v>932</v>
      </c>
      <c r="B14" s="3494"/>
      <c r="C14" s="3494"/>
      <c r="D14" s="3494"/>
      <c r="E14" s="3494"/>
      <c r="F14" s="3494"/>
      <c r="G14" s="3494"/>
      <c r="H14" s="3494"/>
      <c r="I14" s="349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8" t="s">
        <v>949</v>
      </c>
      <c r="B1" s="3508"/>
      <c r="C1" s="3508"/>
      <c r="D1" s="3508"/>
    </row>
    <row r="2" spans="1:4" ht="17.399999999999999">
      <c r="A2" s="3509" t="s">
        <v>933</v>
      </c>
      <c r="B2" s="3509"/>
      <c r="C2" s="3509"/>
      <c r="D2" s="350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9" t="s">
        <v>939</v>
      </c>
      <c r="B6" s="3509"/>
      <c r="C6" s="3509"/>
      <c r="D6" s="350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0" t="s">
        <v>942</v>
      </c>
      <c r="B11" s="3502"/>
      <c r="C11" s="3502"/>
      <c r="D11" s="3502"/>
    </row>
    <row r="12" spans="1:4" ht="15.6">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2" t="str">
        <f>IF(项目基本情况!B8="抵押","3.抵押双方在办理抵押登记手续时，应使用本公司出具的正式《房地产评估报告》，特提醒报告使用者注意。","——")</f>
        <v>——</v>
      </c>
      <c r="B13" s="3507"/>
      <c r="C13" s="3507"/>
      <c r="D13" s="3507"/>
    </row>
    <row r="14" spans="1:4" ht="15.75" customHeight="1">
      <c r="A14" s="3502" t="str">
        <f>IF(项目基本情况!B8="抵押","4.本次评估估价师所知悉的法定优先受偿款情况说明如下：","——")</f>
        <v>——</v>
      </c>
      <c r="B14" s="3507"/>
      <c r="C14" s="3507"/>
      <c r="D14" s="3507"/>
    </row>
    <row r="15" spans="1:4" ht="42" customHeight="1">
      <c r="A15" s="3502" t="str">
        <f>IF(项目基本情况!B8="抵押","（1）"&amp;CONCATENATE(项目基本情况!L20,项目基本情况!L21,项目基本情况!L22),"——")</f>
        <v>——</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45765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t="str">
        <f ca="1">IF(C10&lt;B2,"已过期",1120100036)</f>
        <v>已过期</v>
      </c>
      <c r="C10" s="2349">
        <v>45752</v>
      </c>
      <c r="D10" s="2345" t="str">
        <f t="shared" ca="1" si="0"/>
        <v>崔锴（注册号：已过期）</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2"/>
      <c r="E18" s="3521" t="s">
        <v>2162</v>
      </c>
      <c r="F18" s="3520"/>
      <c r="G18" s="352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151</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汇总表</vt:lpstr>
      <vt:lpstr>比较法-商业</vt:lpstr>
      <vt:lpstr>比较法-办公</vt:lpstr>
      <vt:lpstr>比较法-工业</vt:lpstr>
      <vt:lpstr>案例</vt:lpstr>
      <vt:lpstr>比较法-车位</vt:lpstr>
      <vt:lpstr>比较法-仓储</vt:lpstr>
      <vt:lpstr>土地比较法-住宅、综合</vt:lpstr>
      <vt:lpstr>土地比较法-工业</vt:lpstr>
      <vt:lpstr>典型户型修正</vt:lpstr>
      <vt:lpstr>基准地价（汇总）</vt:lpstr>
      <vt:lpstr>车位案例</vt:lpstr>
      <vt:lpstr>基准地价修正</vt:lpstr>
      <vt:lpstr>系统读取表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2025-04-18T06:10:16Z</dcterms:modified>
</cp:coreProperties>
</file>